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KRIPSI\Rekap Penjualan\"/>
    </mc:Choice>
  </mc:AlternateContent>
  <xr:revisionPtr revIDLastSave="0" documentId="13_ncr:1_{5AEC1E3D-9FDB-49B4-A475-6C761F0BB7E3}" xr6:coauthVersionLast="46" xr6:coauthVersionMax="46" xr10:uidLastSave="{00000000-0000-0000-0000-000000000000}"/>
  <bookViews>
    <workbookView xWindow="-120" yWindow="-120" windowWidth="20730" windowHeight="11160" xr2:uid="{CC1A323C-095D-46DE-AE1B-DD44CA1C0DF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N18" i="1"/>
  <c r="O18" i="1" s="1"/>
  <c r="O132" i="1"/>
  <c r="O133" i="1"/>
  <c r="O134" i="1"/>
  <c r="O184" i="1"/>
  <c r="N187" i="1"/>
  <c r="N185" i="1"/>
  <c r="N186" i="1"/>
  <c r="N180" i="1"/>
  <c r="N183" i="1"/>
  <c r="N182" i="1"/>
  <c r="N181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49" i="1"/>
  <c r="N154" i="1"/>
  <c r="N153" i="1"/>
  <c r="N152" i="1"/>
  <c r="N151" i="1"/>
  <c r="N150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02" i="1"/>
  <c r="N127" i="1"/>
  <c r="N130" i="1"/>
  <c r="N129" i="1"/>
  <c r="N131" i="1"/>
  <c r="N128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O162" i="1" l="1"/>
  <c r="O154" i="1"/>
  <c r="O146" i="1"/>
  <c r="O138" i="1"/>
  <c r="O186" i="1"/>
  <c r="O178" i="1"/>
  <c r="O170" i="1"/>
  <c r="O130" i="1"/>
  <c r="O122" i="1"/>
  <c r="O114" i="1"/>
  <c r="O106" i="1"/>
  <c r="O98" i="1"/>
  <c r="O90" i="1"/>
  <c r="O82" i="1"/>
  <c r="O74" i="1"/>
  <c r="O66" i="1"/>
  <c r="O58" i="1"/>
  <c r="O50" i="1"/>
  <c r="O42" i="1"/>
  <c r="O34" i="1"/>
  <c r="O26" i="1"/>
  <c r="O185" i="1"/>
  <c r="O177" i="1"/>
  <c r="O169" i="1"/>
  <c r="O161" i="1"/>
  <c r="O153" i="1"/>
  <c r="O145" i="1"/>
  <c r="O137" i="1"/>
  <c r="O129" i="1"/>
  <c r="O121" i="1"/>
  <c r="O113" i="1"/>
  <c r="O105" i="1"/>
  <c r="O97" i="1"/>
  <c r="O89" i="1"/>
  <c r="O81" i="1"/>
  <c r="O73" i="1"/>
  <c r="O65" i="1"/>
  <c r="O57" i="1"/>
  <c r="O49" i="1"/>
  <c r="O41" i="1"/>
  <c r="O33" i="1"/>
  <c r="O25" i="1"/>
  <c r="O176" i="1"/>
  <c r="O168" i="1"/>
  <c r="O160" i="1"/>
  <c r="O152" i="1"/>
  <c r="O144" i="1"/>
  <c r="O136" i="1"/>
  <c r="O128" i="1"/>
  <c r="O120" i="1"/>
  <c r="O112" i="1"/>
  <c r="O104" i="1"/>
  <c r="O96" i="1"/>
  <c r="O88" i="1"/>
  <c r="O80" i="1"/>
  <c r="O72" i="1"/>
  <c r="O64" i="1"/>
  <c r="O56" i="1"/>
  <c r="O48" i="1"/>
  <c r="O40" i="1"/>
  <c r="O32" i="1"/>
  <c r="O24" i="1"/>
  <c r="O183" i="1"/>
  <c r="O175" i="1"/>
  <c r="O167" i="1"/>
  <c r="O159" i="1"/>
  <c r="O151" i="1"/>
  <c r="O143" i="1"/>
  <c r="O135" i="1"/>
  <c r="O127" i="1"/>
  <c r="O119" i="1"/>
  <c r="O111" i="1"/>
  <c r="O103" i="1"/>
  <c r="O95" i="1"/>
  <c r="O87" i="1"/>
  <c r="O79" i="1"/>
  <c r="O71" i="1"/>
  <c r="O63" i="1"/>
  <c r="O55" i="1"/>
  <c r="O47" i="1"/>
  <c r="O39" i="1"/>
  <c r="O31" i="1"/>
  <c r="O23" i="1"/>
  <c r="O182" i="1"/>
  <c r="O174" i="1"/>
  <c r="O166" i="1"/>
  <c r="O158" i="1"/>
  <c r="O150" i="1"/>
  <c r="O142" i="1"/>
  <c r="O126" i="1"/>
  <c r="O118" i="1"/>
  <c r="O110" i="1"/>
  <c r="O102" i="1"/>
  <c r="O94" i="1"/>
  <c r="O86" i="1"/>
  <c r="O78" i="1"/>
  <c r="O70" i="1"/>
  <c r="O62" i="1"/>
  <c r="O54" i="1"/>
  <c r="O46" i="1"/>
  <c r="O38" i="1"/>
  <c r="O30" i="1"/>
  <c r="O22" i="1"/>
  <c r="O181" i="1"/>
  <c r="O173" i="1"/>
  <c r="O165" i="1"/>
  <c r="O157" i="1"/>
  <c r="O149" i="1"/>
  <c r="O141" i="1"/>
  <c r="O125" i="1"/>
  <c r="O117" i="1"/>
  <c r="O109" i="1"/>
  <c r="O101" i="1"/>
  <c r="O93" i="1"/>
  <c r="O85" i="1"/>
  <c r="O77" i="1"/>
  <c r="O69" i="1"/>
  <c r="O61" i="1"/>
  <c r="O53" i="1"/>
  <c r="O45" i="1"/>
  <c r="O37" i="1"/>
  <c r="O29" i="1"/>
  <c r="O21" i="1"/>
  <c r="O180" i="1"/>
  <c r="O172" i="1"/>
  <c r="O164" i="1"/>
  <c r="O156" i="1"/>
  <c r="O148" i="1"/>
  <c r="O140" i="1"/>
  <c r="O124" i="1"/>
  <c r="O116" i="1"/>
  <c r="O108" i="1"/>
  <c r="O100" i="1"/>
  <c r="O92" i="1"/>
  <c r="O84" i="1"/>
  <c r="O76" i="1"/>
  <c r="O68" i="1"/>
  <c r="O60" i="1"/>
  <c r="O52" i="1"/>
  <c r="O44" i="1"/>
  <c r="O36" i="1"/>
  <c r="O28" i="1"/>
  <c r="O20" i="1"/>
  <c r="O187" i="1"/>
  <c r="O179" i="1"/>
  <c r="O171" i="1"/>
  <c r="O163" i="1"/>
  <c r="O155" i="1"/>
  <c r="O147" i="1"/>
  <c r="O139" i="1"/>
  <c r="O131" i="1"/>
  <c r="O123" i="1"/>
  <c r="O115" i="1"/>
  <c r="O107" i="1"/>
  <c r="O99" i="1"/>
  <c r="O91" i="1"/>
  <c r="O83" i="1"/>
  <c r="O75" i="1"/>
  <c r="O67" i="1"/>
  <c r="O59" i="1"/>
  <c r="O51" i="1"/>
  <c r="O43" i="1"/>
  <c r="O35" i="1"/>
  <c r="O27" i="1"/>
  <c r="O19" i="1"/>
</calcChain>
</file>

<file path=xl/sharedStrings.xml><?xml version="1.0" encoding="utf-8"?>
<sst xmlns="http://schemas.openxmlformats.org/spreadsheetml/2006/main" count="4779" uniqueCount="703">
  <si>
    <t>Tanggal</t>
  </si>
  <si>
    <t>Nama Barang</t>
  </si>
  <si>
    <t>Jumlah</t>
  </si>
  <si>
    <t>Volume</t>
  </si>
  <si>
    <t xml:space="preserve">Harga </t>
  </si>
  <si>
    <t>Total</t>
  </si>
  <si>
    <t>02/01/2020</t>
  </si>
  <si>
    <t>Merbau Oven 500 x 3 x 35</t>
  </si>
  <si>
    <t>03/01/2020</t>
  </si>
  <si>
    <t>Samarinda Oven 400 x 4 x 20</t>
  </si>
  <si>
    <t>Samarinda Oven 400 x 4 x 30</t>
  </si>
  <si>
    <t>Samarinda Oven 400 x 6 x 12</t>
  </si>
  <si>
    <t>Samarinda Oven 400 x 6 x 17</t>
  </si>
  <si>
    <t>06/01/2020</t>
  </si>
  <si>
    <t>SO Merah 400 x 6 x 15</t>
  </si>
  <si>
    <t>Samarinda Oven 400 x 3 x 25</t>
  </si>
  <si>
    <t>Samarinda Oven 400 x 3 x 30</t>
  </si>
  <si>
    <t>Samarinda Oven 500 x 4 x 25</t>
  </si>
  <si>
    <t>07/01/2020</t>
  </si>
  <si>
    <t>Merbau Basah 230 x 6 x 15</t>
  </si>
  <si>
    <t>Merbau Oven 400 x 6 x 12</t>
  </si>
  <si>
    <t>Samarinda Oven 400 x 4 x 25</t>
  </si>
  <si>
    <t>08/01/2020</t>
  </si>
  <si>
    <t>Merbau Oven 400 x 5 x 15</t>
  </si>
  <si>
    <t>Merbau Oven 500 x 5 x 15</t>
  </si>
  <si>
    <t>Merbau Oven 400 x 4 x 15</t>
  </si>
  <si>
    <t>Merbau Oven 400 x 4 x 12</t>
  </si>
  <si>
    <t>Merbau Oven 400 x 8 x 15</t>
  </si>
  <si>
    <t>Merbau Basah 260 x 6 x 15</t>
  </si>
  <si>
    <t>Merbau Basah 500 x 8 x 15</t>
  </si>
  <si>
    <t>Merbau Basah 90 x 6 x 15</t>
  </si>
  <si>
    <t>09/01/2020</t>
  </si>
  <si>
    <t>Samarinda Oven 500 x 6 x 17</t>
  </si>
  <si>
    <t>10/01/2020</t>
  </si>
  <si>
    <t>Samarinda Oven 400 x 5 x 20</t>
  </si>
  <si>
    <t>Samarinda Oven 400 x 5 x 30</t>
  </si>
  <si>
    <t>Samarinda Oven 400 x 3 x 20</t>
  </si>
  <si>
    <t>Merbau Oven 250 x 4 x 25</t>
  </si>
  <si>
    <t>Merbau Oven 300 x 4 x 25</t>
  </si>
  <si>
    <t>Merbau Basah 220 x 6 x 15</t>
  </si>
  <si>
    <t>Merbau Basah 270 x 6 x 15</t>
  </si>
  <si>
    <t>Merbau Oven 500 x 5 x 20</t>
  </si>
  <si>
    <t>Merbau Oven 500 x 5 x 25</t>
  </si>
  <si>
    <t>13/01/2020</t>
  </si>
  <si>
    <t>Meranti Oven  400 x 6 x 15</t>
  </si>
  <si>
    <t>Samarinda Oven 500 x 4 x 30</t>
  </si>
  <si>
    <t>Merbau Oven 400 x 5 x 25</t>
  </si>
  <si>
    <t>14/01/2020</t>
  </si>
  <si>
    <t>Merbau Oven 400 x 5 x 35</t>
  </si>
  <si>
    <t>Merbau Oven 500 x 5 x 30</t>
  </si>
  <si>
    <t>Merbau Oven 500 x 5 x 35</t>
  </si>
  <si>
    <t>Merbau Oven 500 x 6 x 15</t>
  </si>
  <si>
    <t>15/01/2020</t>
  </si>
  <si>
    <t>17/01/2020</t>
  </si>
  <si>
    <t>SO Merah 400 x 3 x 30</t>
  </si>
  <si>
    <t>Samarinda Oven 250 x 4 x 25</t>
  </si>
  <si>
    <t>Samarinda Oven 500 x 5 x 15</t>
  </si>
  <si>
    <t>Merbau Oven 300 x 4 x 30</t>
  </si>
  <si>
    <t>Merbau Oven 300 x 5 x 30</t>
  </si>
  <si>
    <t>Merbau Oven 300 x 5 x 25</t>
  </si>
  <si>
    <t>Merbau Basah 500 x 5 x 20</t>
  </si>
  <si>
    <t>20/01/2020</t>
  </si>
  <si>
    <t>SO Merah 400 x 3 x 20</t>
  </si>
  <si>
    <t>Merbau Basah 100 x 6 x 15</t>
  </si>
  <si>
    <t>Merbau Basah 180 x 6 x 15</t>
  </si>
  <si>
    <t>Merbau Basah 240 x 6 x 15</t>
  </si>
  <si>
    <t>Merbau Oven 500 x 3 x 25</t>
  </si>
  <si>
    <t>24/01/2020</t>
  </si>
  <si>
    <t>Samarinda Oven 400 x 6 x 15</t>
  </si>
  <si>
    <t>Merbau Basah 400 x 2 x 20</t>
  </si>
  <si>
    <t>Merbau Basah 450 x 2 x 20</t>
  </si>
  <si>
    <t>04/02/2020</t>
  </si>
  <si>
    <t>Merbau Oven 500 x 3 x 30</t>
  </si>
  <si>
    <t>05/02/2020</t>
  </si>
  <si>
    <t>Merbau Basah 150 x 6 x 15</t>
  </si>
  <si>
    <t>06/02/2020</t>
  </si>
  <si>
    <t>Merbau Oven 400 x 3 x 25</t>
  </si>
  <si>
    <t>Merbau Oven 250 x 4 x 30</t>
  </si>
  <si>
    <t>Merbau Oven 300 x 4 x 20</t>
  </si>
  <si>
    <t>07/02/2020</t>
  </si>
  <si>
    <t>Merbau Oven 400 x 5 x 20</t>
  </si>
  <si>
    <t>10/02/2020</t>
  </si>
  <si>
    <t>Samarinda Oven 250 x 6 x 15</t>
  </si>
  <si>
    <t>Samarinda Oven 450 x 6 x 15</t>
  </si>
  <si>
    <t>SB Basah 400 x 4 x 6</t>
  </si>
  <si>
    <t>11/02/2020</t>
  </si>
  <si>
    <t>Samarinda Oven 300 x 4 x 25</t>
  </si>
  <si>
    <t>Samarinda Oven 450 x 4 x 25</t>
  </si>
  <si>
    <t>Merbau Oven 400 x 8 x 12</t>
  </si>
  <si>
    <t>Merbau Oven 400 x 5 x 30</t>
  </si>
  <si>
    <t>Merbau Oven 400 x 6 x 35</t>
  </si>
  <si>
    <t>13/02/2020</t>
  </si>
  <si>
    <t>Samarinda Oven 500 x 6 x 15</t>
  </si>
  <si>
    <t>14/02/2020</t>
  </si>
  <si>
    <t>Merbau Basah 300 x 6 x 15</t>
  </si>
  <si>
    <t>Merbau Basah 210 x 6 x 15</t>
  </si>
  <si>
    <t>Merbau Basah 250 x 6 x 15</t>
  </si>
  <si>
    <t>17/02/2020</t>
  </si>
  <si>
    <t>Samarinda Oven 400 x 5 x 15</t>
  </si>
  <si>
    <t>Samarinda Oven 300 x 6 x 15</t>
  </si>
  <si>
    <t>Merbau Oven 250 x 6 x 15</t>
  </si>
  <si>
    <t>Merbau Oven 500 x 6 x 12</t>
  </si>
  <si>
    <t>19/02/2020</t>
  </si>
  <si>
    <t>Merbau Oven 400 x 3 x 30</t>
  </si>
  <si>
    <t>Merbau Oven 400 x 4 x 25</t>
  </si>
  <si>
    <t>Merbau Oven 500 x 4 x 30</t>
  </si>
  <si>
    <t>20/02/2020</t>
  </si>
  <si>
    <t>21/02/2020</t>
  </si>
  <si>
    <t>22/02/2020</t>
  </si>
  <si>
    <t>Merbau Basah 400 x 5 x 7</t>
  </si>
  <si>
    <t>Bangkirai 400 x 8 x 15</t>
  </si>
  <si>
    <t>Samarinda Oven 400 x 8 x 12</t>
  </si>
  <si>
    <t>24/02/2020</t>
  </si>
  <si>
    <t>Merbau Oven 450 x 3 x 25</t>
  </si>
  <si>
    <t>Merbau Oven 500 x 3 x 20</t>
  </si>
  <si>
    <t>26/02/2020</t>
  </si>
  <si>
    <t>Samarinda Oven 500 x 5 x 30</t>
  </si>
  <si>
    <t>Merbau Basah 400 x 12 x 40</t>
  </si>
  <si>
    <t>Merbau Oven 500 x 8 x 15</t>
  </si>
  <si>
    <t>27/02/2020</t>
  </si>
  <si>
    <t>28/02/2020</t>
  </si>
  <si>
    <t>29/02/2020</t>
  </si>
  <si>
    <t>Merbau Oven 400 x 6 x 15</t>
  </si>
  <si>
    <t>Merbau Basah 400 x 5 x 10</t>
  </si>
  <si>
    <t>02/03/2020</t>
  </si>
  <si>
    <t>Samarinda Oven 400 x 5 x 25</t>
  </si>
  <si>
    <t>Samarinda Oven 500 x 6 x 12</t>
  </si>
  <si>
    <t>03/03/2020</t>
  </si>
  <si>
    <t>04/03/2020</t>
  </si>
  <si>
    <t>05/03/2020</t>
  </si>
  <si>
    <t>Merbau Oven 350 x 6 x 15</t>
  </si>
  <si>
    <t>Merbau Basah 200 x 6 x 15</t>
  </si>
  <si>
    <t>06/03/2020</t>
  </si>
  <si>
    <t>Samarinda Oven 500 x 4 x 20</t>
  </si>
  <si>
    <t>07/03/2020</t>
  </si>
  <si>
    <t>09/03/2020</t>
  </si>
  <si>
    <t>10/03/2020</t>
  </si>
  <si>
    <t>Merbau Oven 400 x 4 x 30</t>
  </si>
  <si>
    <t>Merbau Basah 500 x 4 x 30</t>
  </si>
  <si>
    <t>Merbau Oven 300 x 6 x 15</t>
  </si>
  <si>
    <t>11/03/2020</t>
  </si>
  <si>
    <t>12/03/2020</t>
  </si>
  <si>
    <t>13/03/2020</t>
  </si>
  <si>
    <t>Merbau Oven 400 x 4 x 20</t>
  </si>
  <si>
    <t>14/03/2020</t>
  </si>
  <si>
    <t>Samarinda Oven 500 x 8 x 15</t>
  </si>
  <si>
    <t>16/03/2020</t>
  </si>
  <si>
    <t>Merbau Basah 160 x 6 x 15</t>
  </si>
  <si>
    <t>Merbau Oven 500 x 6 x 17</t>
  </si>
  <si>
    <t>Merbau Oven 500 x 4 x 20</t>
  </si>
  <si>
    <t>Merbau Basah 280 x 6 x 15</t>
  </si>
  <si>
    <t>17/03/2020</t>
  </si>
  <si>
    <t>Merbau Oven 400 x 3 x 20</t>
  </si>
  <si>
    <t>Merbau Oven 500 x 4 x 25</t>
  </si>
  <si>
    <t>Merbau Basah 140 x 6 x 15</t>
  </si>
  <si>
    <t>Merbau Basah 170 x 6 x 15</t>
  </si>
  <si>
    <t>18/03/2020</t>
  </si>
  <si>
    <t>19/03/2020</t>
  </si>
  <si>
    <t>Merbau Basah 400 x 5 x 12</t>
  </si>
  <si>
    <t>20/03/2020</t>
  </si>
  <si>
    <t>21/03/2020</t>
  </si>
  <si>
    <t>Merbau Oven 240 x 4 x 20</t>
  </si>
  <si>
    <t>23/03/2020</t>
  </si>
  <si>
    <t>SB Basah 400 x 5 x 7</t>
  </si>
  <si>
    <t>26/03/2020</t>
  </si>
  <si>
    <t>27/03/2020</t>
  </si>
  <si>
    <t>Merbau Oven 250 x 4 x 20</t>
  </si>
  <si>
    <t>Merbau Basah 110 x 6 x 15</t>
  </si>
  <si>
    <t>28/03/2020</t>
  </si>
  <si>
    <t>30/03/2020</t>
  </si>
  <si>
    <t>SB Basah 400 x 12 x 12</t>
  </si>
  <si>
    <t>31/03/2020</t>
  </si>
  <si>
    <t>01/04/2020</t>
  </si>
  <si>
    <t>02/04/2020</t>
  </si>
  <si>
    <t>Merbau Oven 300 x 6 x 17</t>
  </si>
  <si>
    <t>04/04/2020</t>
  </si>
  <si>
    <t>SB Basah 400 x 3 x 4</t>
  </si>
  <si>
    <t>06/04/2020</t>
  </si>
  <si>
    <t>Samarinda Oven 400 x 8 x 15</t>
  </si>
  <si>
    <t>07/04/2020</t>
  </si>
  <si>
    <t>Merbau Basah 130 x 6 x 15</t>
  </si>
  <si>
    <t>08/04/2020</t>
  </si>
  <si>
    <t>Merbau Basah 120 x 6 x 15</t>
  </si>
  <si>
    <t>Merbau Basah 290 x 6 x 15</t>
  </si>
  <si>
    <t>Samarinda Oven 450 x 4 x 20</t>
  </si>
  <si>
    <t>09/04/2020</t>
  </si>
  <si>
    <t>Samarinda Oven 500 x 5 x 25</t>
  </si>
  <si>
    <t>11/04/2020</t>
  </si>
  <si>
    <t>14/04/2020</t>
  </si>
  <si>
    <t>Merbau Basah 400 x 4 x 6</t>
  </si>
  <si>
    <t>15/04/2020</t>
  </si>
  <si>
    <t>SB Basah 400 x 15 x 15</t>
  </si>
  <si>
    <t>16/04/2020</t>
  </si>
  <si>
    <t>18/04/2020</t>
  </si>
  <si>
    <t>Meranti Oven 400 x 3 x 30</t>
  </si>
  <si>
    <t>20/04/2020</t>
  </si>
  <si>
    <t>Merbau Oven 400 x 3 x 35</t>
  </si>
  <si>
    <t>21/04/2020</t>
  </si>
  <si>
    <t>22/04/2020</t>
  </si>
  <si>
    <t>23/04/2020</t>
  </si>
  <si>
    <t>24/04/2020</t>
  </si>
  <si>
    <t>Merbau Oven 400 x 6 x 17</t>
  </si>
  <si>
    <t>Merbau Oven 250 x 6 x 17</t>
  </si>
  <si>
    <t>25/04/2020</t>
  </si>
  <si>
    <t>27/04/2020</t>
  </si>
  <si>
    <t>Samarinda Oven 500 x 5 x 20</t>
  </si>
  <si>
    <t>28/04/2020</t>
  </si>
  <si>
    <t>Merbau Basah 400 x 2 x 25</t>
  </si>
  <si>
    <t>29/04/2020</t>
  </si>
  <si>
    <t>30/04/2020</t>
  </si>
  <si>
    <t>02/05/2020</t>
  </si>
  <si>
    <t>04/05/2020</t>
  </si>
  <si>
    <t xml:space="preserve">Samarinda Oven 450 x 6 x 17 </t>
  </si>
  <si>
    <t>05/05/2020</t>
  </si>
  <si>
    <t>Meranti Oven  400 x 3 x 25</t>
  </si>
  <si>
    <t>06/05/2020</t>
  </si>
  <si>
    <t>08/05/2020</t>
  </si>
  <si>
    <t>09/05/2020</t>
  </si>
  <si>
    <t>11/05/2020</t>
  </si>
  <si>
    <t>12/05/2020</t>
  </si>
  <si>
    <t>13/05/2020</t>
  </si>
  <si>
    <t>Merbau Basah 500 x 4 x 20</t>
  </si>
  <si>
    <t>Merbau Oven 400 x 6 x 30</t>
  </si>
  <si>
    <t>14/05/2020</t>
  </si>
  <si>
    <t>15/05/2020</t>
  </si>
  <si>
    <t>02/06/2020</t>
  </si>
  <si>
    <t>03/06/2020</t>
  </si>
  <si>
    <t>04/06/2020</t>
  </si>
  <si>
    <t>05/06/2020</t>
  </si>
  <si>
    <t>06/06/2020</t>
  </si>
  <si>
    <t>08/06/2020</t>
  </si>
  <si>
    <t>Merbau Basah 400 x 15 x 15</t>
  </si>
  <si>
    <t>10/06/2020</t>
  </si>
  <si>
    <t>Meranti Oven  400 x 4 x 25</t>
  </si>
  <si>
    <t>11/06/2020</t>
  </si>
  <si>
    <t>12/06/2020</t>
  </si>
  <si>
    <t>13/06/2020</t>
  </si>
  <si>
    <t>15/06/2020</t>
  </si>
  <si>
    <t>16/06/2020</t>
  </si>
  <si>
    <t>17/06/2020</t>
  </si>
  <si>
    <t>18/06/2020</t>
  </si>
  <si>
    <t>19/06/2020</t>
  </si>
  <si>
    <t>20/06/2020</t>
  </si>
  <si>
    <t>22/06/2020</t>
  </si>
  <si>
    <t>23/06/2020</t>
  </si>
  <si>
    <t>Merbau Oven 400 x 4 x 35</t>
  </si>
  <si>
    <t>24/06/2020</t>
  </si>
  <si>
    <t>25/06/2020</t>
  </si>
  <si>
    <t>Samarinda Oven 500 x 3 x 30</t>
  </si>
  <si>
    <t>26/06/2020</t>
  </si>
  <si>
    <t>27/06/2020</t>
  </si>
  <si>
    <t>29/06/2020</t>
  </si>
  <si>
    <t>30/06/2020</t>
  </si>
  <si>
    <t>02/07/2020</t>
  </si>
  <si>
    <t>SO Merah 400 x 3 x 25</t>
  </si>
  <si>
    <t>03/07/2020</t>
  </si>
  <si>
    <t>04/07/2020</t>
  </si>
  <si>
    <t>Merbau Basah 190 x 6 x 15</t>
  </si>
  <si>
    <t>05/07/2020</t>
  </si>
  <si>
    <t>06/07/2020</t>
  </si>
  <si>
    <t>Samarinda Oven 450 x 4 x 30</t>
  </si>
  <si>
    <t>08/07/2020</t>
  </si>
  <si>
    <t>09/07/2020</t>
  </si>
  <si>
    <t>10/07/2020</t>
  </si>
  <si>
    <t>Merbau Oven 260 x 4 x 20</t>
  </si>
  <si>
    <t>11/07/2020</t>
  </si>
  <si>
    <t>Merbau Basah 300 x 5 x 15</t>
  </si>
  <si>
    <t>Merbau Basah 350 x 5 x 15</t>
  </si>
  <si>
    <t>13/07/2020</t>
  </si>
  <si>
    <t>Merbau Basah 400 x 3 x 25</t>
  </si>
  <si>
    <t>Merbau Basah 400 x 4 x 25</t>
  </si>
  <si>
    <t>14/07/2020</t>
  </si>
  <si>
    <t xml:space="preserve">Meranti Oven  400 x 6 x 12 </t>
  </si>
  <si>
    <t>15/07/2020</t>
  </si>
  <si>
    <t>Merbau Basah 220 x 6 x 17</t>
  </si>
  <si>
    <t>16/07/2020</t>
  </si>
  <si>
    <t>17/07/2020</t>
  </si>
  <si>
    <t>18/07/2020</t>
  </si>
  <si>
    <t>20/07/2020</t>
  </si>
  <si>
    <t>21/07/2020</t>
  </si>
  <si>
    <t>22/07/2020</t>
  </si>
  <si>
    <t>23/07/2020</t>
  </si>
  <si>
    <t>25/07/2020</t>
  </si>
  <si>
    <t>27/07/2020</t>
  </si>
  <si>
    <t>SB Basah 400 x 8 x 15</t>
  </si>
  <si>
    <t>28/07/2020</t>
  </si>
  <si>
    <t>29/07/2020</t>
  </si>
  <si>
    <t>Merbau Basah 500 x 2 x 20</t>
  </si>
  <si>
    <t>30/07/2020</t>
  </si>
  <si>
    <t>Merbau Oven 500 x 4 x 35</t>
  </si>
  <si>
    <t>Merbau Oven 500 x 5 x 40</t>
  </si>
  <si>
    <t>01/08/2020</t>
  </si>
  <si>
    <t>03/08/2020</t>
  </si>
  <si>
    <t>04/08/2020</t>
  </si>
  <si>
    <t>05/08/2020</t>
  </si>
  <si>
    <t>06/08/2020</t>
  </si>
  <si>
    <t>08/08/2020</t>
  </si>
  <si>
    <t>10/08/2020</t>
  </si>
  <si>
    <t>Samarinda Oven 500 x 3 x 25</t>
  </si>
  <si>
    <t>11/08/2020</t>
  </si>
  <si>
    <t>12/08/2020</t>
  </si>
  <si>
    <t>13/08/2020</t>
  </si>
  <si>
    <t>14/08/2020</t>
  </si>
  <si>
    <t>15/08/2020</t>
  </si>
  <si>
    <t>Merbau Basah 400 x 2 x 30</t>
  </si>
  <si>
    <t>18/08/2020</t>
  </si>
  <si>
    <t>19/08/2020</t>
  </si>
  <si>
    <t>SB Basah 400 x 15 x 40</t>
  </si>
  <si>
    <t>21/08/2020</t>
  </si>
  <si>
    <t>24/08/2020</t>
  </si>
  <si>
    <t>25/08/2020</t>
  </si>
  <si>
    <t>26/08/2020</t>
  </si>
  <si>
    <t>27/08/2020</t>
  </si>
  <si>
    <t>28/08/2020</t>
  </si>
  <si>
    <t>Merbau Basah 250 x 6 x 17</t>
  </si>
  <si>
    <t>29/08/2020</t>
  </si>
  <si>
    <t>31/08/2020</t>
  </si>
  <si>
    <t>02/09/2020</t>
  </si>
  <si>
    <t>Merbau Basah 350 x 6 x 15</t>
  </si>
  <si>
    <t>03/09/2020</t>
  </si>
  <si>
    <t>04/09/2020</t>
  </si>
  <si>
    <t>05/09/2020</t>
  </si>
  <si>
    <t>07/09/2020</t>
  </si>
  <si>
    <t>Bangkirai 400 x 3 x 20</t>
  </si>
  <si>
    <t>08/09/2020</t>
  </si>
  <si>
    <t>09/09/2020</t>
  </si>
  <si>
    <t>10/09/2020</t>
  </si>
  <si>
    <t>Merbau Oven 450 x 6 x 15</t>
  </si>
  <si>
    <t>11/09/2020</t>
  </si>
  <si>
    <t>12/09/2020</t>
  </si>
  <si>
    <t>14/09/2020</t>
  </si>
  <si>
    <t>15/09/2020</t>
  </si>
  <si>
    <t>16/09/2020</t>
  </si>
  <si>
    <t>17/09/2020</t>
  </si>
  <si>
    <t>18/09/2020</t>
  </si>
  <si>
    <t>19/09/2020</t>
  </si>
  <si>
    <t>Merbau Basah 400 x 12 x 12</t>
  </si>
  <si>
    <t>21/09/2020</t>
  </si>
  <si>
    <t>22/09/2020</t>
  </si>
  <si>
    <t>23/09/2020</t>
  </si>
  <si>
    <t>24/09/2020</t>
  </si>
  <si>
    <t>25/09/2020</t>
  </si>
  <si>
    <t>26/09/2020</t>
  </si>
  <si>
    <t>28/09/2020</t>
  </si>
  <si>
    <t>Merbau Basah 500 x 4 x 70</t>
  </si>
  <si>
    <t>Merbau Basah 450 x 6 x 15</t>
  </si>
  <si>
    <t>29/09/2020</t>
  </si>
  <si>
    <t>30/09/2020</t>
  </si>
  <si>
    <t>01/10/2020</t>
  </si>
  <si>
    <t>Merbau Oven 500 x 4 x 40</t>
  </si>
  <si>
    <t>02/10/2020</t>
  </si>
  <si>
    <t>05/10/2020</t>
  </si>
  <si>
    <t>06/10/2020</t>
  </si>
  <si>
    <t>07/10/2020</t>
  </si>
  <si>
    <t>08/10/2020</t>
  </si>
  <si>
    <t>09/10/2020</t>
  </si>
  <si>
    <t>10/10/2020</t>
  </si>
  <si>
    <t>12/10/2020</t>
  </si>
  <si>
    <t>13/10/2020</t>
  </si>
  <si>
    <t>14/10/2020</t>
  </si>
  <si>
    <t>15/10/2020</t>
  </si>
  <si>
    <t>16/10/2020</t>
  </si>
  <si>
    <t>17/10/2020</t>
  </si>
  <si>
    <t>Merbau Oven 200 x 4 x 30</t>
  </si>
  <si>
    <t>19/10/2020</t>
  </si>
  <si>
    <t>20/10/2020</t>
  </si>
  <si>
    <t>22/10/2020</t>
  </si>
  <si>
    <t>Meranti Oven 400 x 4 x 30</t>
  </si>
  <si>
    <t>24/10/2020</t>
  </si>
  <si>
    <t>26/10/2020</t>
  </si>
  <si>
    <t>28/10/2020</t>
  </si>
  <si>
    <t>31/10/2020</t>
  </si>
  <si>
    <t>02/11/2020</t>
  </si>
  <si>
    <t>03/11/2020</t>
  </si>
  <si>
    <t>04/11/2020</t>
  </si>
  <si>
    <t>Merbau Oven 450 x 4 x 25</t>
  </si>
  <si>
    <t>05/11/2020</t>
  </si>
  <si>
    <t>06/11/2020</t>
  </si>
  <si>
    <t>Samarinda Oven 300 x 4 x 30</t>
  </si>
  <si>
    <t>07/11/2020</t>
  </si>
  <si>
    <t>09/11/2020</t>
  </si>
  <si>
    <t>10/11/2020</t>
  </si>
  <si>
    <t>11/11/2020</t>
  </si>
  <si>
    <t>12/11/2020</t>
  </si>
  <si>
    <t>13/11/2020</t>
  </si>
  <si>
    <t>14/11/2020</t>
  </si>
  <si>
    <t>16/11/2020</t>
  </si>
  <si>
    <t>Samarinda Oven 250 x 4 x 30</t>
  </si>
  <si>
    <t>17/11/2020</t>
  </si>
  <si>
    <t>18/11/2020</t>
  </si>
  <si>
    <t>19/11/2020</t>
  </si>
  <si>
    <t>20/11/2020</t>
  </si>
  <si>
    <t>21/11/2020</t>
  </si>
  <si>
    <t>23/11/2020</t>
  </si>
  <si>
    <t>24/11/2020</t>
  </si>
  <si>
    <t>25/11/2020</t>
  </si>
  <si>
    <t>26/11/2020</t>
  </si>
  <si>
    <t>28/11/2020</t>
  </si>
  <si>
    <t>30/11/2020</t>
  </si>
  <si>
    <t>01/12/2020</t>
  </si>
  <si>
    <t>02/12/2020</t>
  </si>
  <si>
    <t>03/12/2020</t>
  </si>
  <si>
    <t>04/12/2020</t>
  </si>
  <si>
    <t>05/12/2020</t>
  </si>
  <si>
    <t>07/12/2020</t>
  </si>
  <si>
    <t>08/12/2020</t>
  </si>
  <si>
    <t>09/12/2020</t>
  </si>
  <si>
    <t>10/12/2020</t>
  </si>
  <si>
    <t>SB Basah 400 x 10 x 10</t>
  </si>
  <si>
    <t>Samarinda Oven 450 x 5 x 25</t>
  </si>
  <si>
    <t>11/12/2020</t>
  </si>
  <si>
    <t>12/12/2020</t>
  </si>
  <si>
    <t>Merbau Basah 500 x 20 x 20</t>
  </si>
  <si>
    <t>14/12/2020</t>
  </si>
  <si>
    <t>15/12/2020</t>
  </si>
  <si>
    <t>16/12/2020</t>
  </si>
  <si>
    <t>17/12/2020</t>
  </si>
  <si>
    <t>18/12/2020</t>
  </si>
  <si>
    <t>19/12/2020</t>
  </si>
  <si>
    <t>21/12/2020</t>
  </si>
  <si>
    <t>Bangkirai 400 x 6 x 15</t>
  </si>
  <si>
    <t>22/12/2020</t>
  </si>
  <si>
    <t>Bangkirai 500 x 6 x 15</t>
  </si>
  <si>
    <t>23/12/2020</t>
  </si>
  <si>
    <t>24/12/2020</t>
  </si>
  <si>
    <t>Merbau Basah 400 x 15 x 40</t>
  </si>
  <si>
    <t>26/12/2020</t>
  </si>
  <si>
    <t>28/12/2020</t>
  </si>
  <si>
    <t>29/12/2020</t>
  </si>
  <si>
    <t>31/12/2020</t>
  </si>
  <si>
    <t>Label</t>
  </si>
  <si>
    <t>Kode Barang</t>
  </si>
  <si>
    <t>100.MBO.401</t>
  </si>
  <si>
    <t>100.SOP.085</t>
  </si>
  <si>
    <t>100.SOP.087</t>
  </si>
  <si>
    <t>100.SOP.094</t>
  </si>
  <si>
    <t>100.SOP.096</t>
  </si>
  <si>
    <t>100.SOM.142</t>
  </si>
  <si>
    <t>100.SOP.080</t>
  </si>
  <si>
    <t>100.SOP.081</t>
  </si>
  <si>
    <t>100.SOP.108</t>
  </si>
  <si>
    <t>100.MRB.020</t>
  </si>
  <si>
    <t>100.MBO.317</t>
  </si>
  <si>
    <t>100.SOP.086</t>
  </si>
  <si>
    <t>100.MBO.303</t>
  </si>
  <si>
    <t>100.MBO.413</t>
  </si>
  <si>
    <t>100.MBO.441</t>
  </si>
  <si>
    <t>100.MBO.291</t>
  </si>
  <si>
    <t>100.MBO.325</t>
  </si>
  <si>
    <t>100.MRB.039</t>
  </si>
  <si>
    <t>100.MRB.214</t>
  </si>
  <si>
    <t>100.MRB.215</t>
  </si>
  <si>
    <t>100.SOP.117</t>
  </si>
  <si>
    <t>100.SOP.091</t>
  </si>
  <si>
    <t>100.SOP.093</t>
  </si>
  <si>
    <t>100.SOP.079</t>
  </si>
  <si>
    <t>100.MBO.222</t>
  </si>
  <si>
    <t>100.MBO.240</t>
  </si>
  <si>
    <t>100.MRB.019</t>
  </si>
  <si>
    <t>100.MRB.041</t>
  </si>
  <si>
    <t>100.MBO.414</t>
  </si>
  <si>
    <t>100.MBO.415</t>
  </si>
  <si>
    <t>100.MRTI.006</t>
  </si>
  <si>
    <t>100.SOP.109</t>
  </si>
  <si>
    <t>100.MBO.305</t>
  </si>
  <si>
    <t>100.MBO.307</t>
  </si>
  <si>
    <t>100.MBO.416</t>
  </si>
  <si>
    <t>100.MBO.417</t>
  </si>
  <si>
    <t>100.MBO.420</t>
  </si>
  <si>
    <t>100.SOM.131</t>
  </si>
  <si>
    <t>100.SOP.061</t>
  </si>
  <si>
    <t>100.SOP.111</t>
  </si>
  <si>
    <t>100.MBO.241</t>
  </si>
  <si>
    <t>100.MBO.501</t>
  </si>
  <si>
    <t>100.MBO.503</t>
  </si>
  <si>
    <t>100.MRB.204</t>
  </si>
  <si>
    <t>100.SOM.129</t>
  </si>
  <si>
    <t>100.MRB.004</t>
  </si>
  <si>
    <t>100.MRB.012</t>
  </si>
  <si>
    <t>100.MRB.021</t>
  </si>
  <si>
    <t>100.MBO.399</t>
  </si>
  <si>
    <t>100.SOP.095</t>
  </si>
  <si>
    <t>100.MRB.106</t>
  </si>
  <si>
    <t>100.MRB.163</t>
  </si>
  <si>
    <t>100.MBO.400</t>
  </si>
  <si>
    <t>100.MRB.009</t>
  </si>
  <si>
    <t>100.MBO.287</t>
  </si>
  <si>
    <t>100.MBO.469</t>
  </si>
  <si>
    <t>100.MBO.471</t>
  </si>
  <si>
    <t>100.MBO.304</t>
  </si>
  <si>
    <t>100.SOP.064</t>
  </si>
  <si>
    <t>100.SOP.103</t>
  </si>
  <si>
    <t>100.SBS.029</t>
  </si>
  <si>
    <t>100.SOP.068</t>
  </si>
  <si>
    <t>100.SOP.100</t>
  </si>
  <si>
    <t>100.MBO.324</t>
  </si>
  <si>
    <t>100.MBO.306</t>
  </si>
  <si>
    <t>100.MBO.323</t>
  </si>
  <si>
    <t>100.SOP.116</t>
  </si>
  <si>
    <t>100.MRB.068</t>
  </si>
  <si>
    <t>100.MRB.017</t>
  </si>
  <si>
    <t>100.MRB.037</t>
  </si>
  <si>
    <t>100.SOP.090</t>
  </si>
  <si>
    <t>100.SOP.073</t>
  </si>
  <si>
    <t>100.MBO.228</t>
  </si>
  <si>
    <t>100.MBO.419</t>
  </si>
  <si>
    <t>100.MBO.288</t>
  </si>
  <si>
    <t>100.MBO.293</t>
  </si>
  <si>
    <t>100.MBO.404</t>
  </si>
  <si>
    <t>100.MRB.138</t>
  </si>
  <si>
    <t>100.BKR.013</t>
  </si>
  <si>
    <t>100.SOP.097</t>
  </si>
  <si>
    <t>100.MBO.366</t>
  </si>
  <si>
    <t>100.MBO.398</t>
  </si>
  <si>
    <t>100.SOP.114</t>
  </si>
  <si>
    <t>100.MRB.101</t>
  </si>
  <si>
    <t>100.MBO.423</t>
  </si>
  <si>
    <t>100.MBO.318</t>
  </si>
  <si>
    <t>100.MRB.126</t>
  </si>
  <si>
    <t>100.SOP.092</t>
  </si>
  <si>
    <t>100.SOP.115</t>
  </si>
  <si>
    <t>100.MBO.274</t>
  </si>
  <si>
    <t>100.MRB.016</t>
  </si>
  <si>
    <t>100.SOP.107</t>
  </si>
  <si>
    <t>100.MBO.294</t>
  </si>
  <si>
    <t>100.MRB.195</t>
  </si>
  <si>
    <t>100.MBO.249</t>
  </si>
  <si>
    <t>100.MBO.292</t>
  </si>
  <si>
    <t>100.SOP.119</t>
  </si>
  <si>
    <t>100.MRB.010</t>
  </si>
  <si>
    <t>100.MBO.421</t>
  </si>
  <si>
    <t>100.MBO.402</t>
  </si>
  <si>
    <t>100.MRB.043</t>
  </si>
  <si>
    <t>100.MBO.286</t>
  </si>
  <si>
    <t>100.MBO.403</t>
  </si>
  <si>
    <t>100.MRB.008</t>
  </si>
  <si>
    <t>100.MRB.011</t>
  </si>
  <si>
    <t>100.MRB.128</t>
  </si>
  <si>
    <t>100.MBO.513</t>
  </si>
  <si>
    <t>100.SBS.033</t>
  </si>
  <si>
    <t>100.MBO.468</t>
  </si>
  <si>
    <t>100.MRB.005</t>
  </si>
  <si>
    <t>100.SBS.014</t>
  </si>
  <si>
    <t>100.MBO.251</t>
  </si>
  <si>
    <t>100.SBS.025</t>
  </si>
  <si>
    <t>100.SOP.098</t>
  </si>
  <si>
    <t>100.MRB.007</t>
  </si>
  <si>
    <t>100.MRB.006</t>
  </si>
  <si>
    <t>100.MRB.044</t>
  </si>
  <si>
    <t>100.SOP.122</t>
  </si>
  <si>
    <t>100.SOP.113</t>
  </si>
  <si>
    <t>100.MRB.121</t>
  </si>
  <si>
    <t>100.SBS.017</t>
  </si>
  <si>
    <t>100.MRTI.002</t>
  </si>
  <si>
    <t>100.MBO.289</t>
  </si>
  <si>
    <t>100.MBO.319</t>
  </si>
  <si>
    <t>100.MBO.554</t>
  </si>
  <si>
    <t>100.SOP.112</t>
  </si>
  <si>
    <t>100.MRB.107</t>
  </si>
  <si>
    <t>100.SOP.124</t>
  </si>
  <si>
    <t>100.MRTI.005</t>
  </si>
  <si>
    <t>100.MRB.193</t>
  </si>
  <si>
    <t>100.MBO.322</t>
  </si>
  <si>
    <t>100.MRB.102</t>
  </si>
  <si>
    <t>100.MRTI.003</t>
  </si>
  <si>
    <t>100.MBO.295</t>
  </si>
  <si>
    <t>100.SOP.106</t>
  </si>
  <si>
    <t>100.SOM.130</t>
  </si>
  <si>
    <t>100.MRB.013</t>
  </si>
  <si>
    <t>100.SOP.123</t>
  </si>
  <si>
    <t>100.MBO.473</t>
  </si>
  <si>
    <t>100.MRB.058</t>
  </si>
  <si>
    <t>100.MRB.086</t>
  </si>
  <si>
    <t>100.MRB.111</t>
  </si>
  <si>
    <t>100.MRB.115</t>
  </si>
  <si>
    <t>100.MRTI.001</t>
  </si>
  <si>
    <t>100.MRB.402</t>
  </si>
  <si>
    <t>100.SBS.037</t>
  </si>
  <si>
    <t>100.MRB.185</t>
  </si>
  <si>
    <t>100.MBO.405</t>
  </si>
  <si>
    <t>100.MBO.556</t>
  </si>
  <si>
    <t>100.SOP.105</t>
  </si>
  <si>
    <t>100.MRB.108</t>
  </si>
  <si>
    <t>100.SBS.020</t>
  </si>
  <si>
    <t>100.MRB.422</t>
  </si>
  <si>
    <t>100.MRB.088</t>
  </si>
  <si>
    <t>100.BKR.004</t>
  </si>
  <si>
    <t>100.MBO.384</t>
  </si>
  <si>
    <t>100.MRB.100</t>
  </si>
  <si>
    <t>100.MRB.201</t>
  </si>
  <si>
    <t>100.MRB.175</t>
  </si>
  <si>
    <t>100.MBO.406</t>
  </si>
  <si>
    <t>100.MBO.559</t>
  </si>
  <si>
    <t>100.MRTI.007</t>
  </si>
  <si>
    <t>100.MBO.370</t>
  </si>
  <si>
    <t>100.SOP.135</t>
  </si>
  <si>
    <t>100.SOP.134</t>
  </si>
  <si>
    <t>100.SBS.013</t>
  </si>
  <si>
    <t>100.SOP.132</t>
  </si>
  <si>
    <t>100.MRB.188</t>
  </si>
  <si>
    <t>100.BKR.010</t>
  </si>
  <si>
    <t>100.BKR.021</t>
  </si>
  <si>
    <t>100.MRB.104</t>
  </si>
  <si>
    <t>MRB Basah 100 x 12 x 40</t>
  </si>
  <si>
    <t>MRB Basah 100 x 15 x 40</t>
  </si>
  <si>
    <t>SB Basah 100 x 12 x 40</t>
  </si>
  <si>
    <t>SB Basah 100 x 15 x 30</t>
  </si>
  <si>
    <t>100.BLK.014</t>
  </si>
  <si>
    <t>Merbau Basah 100 x 15 x 60</t>
  </si>
  <si>
    <t>Cingkil Oven 500 x 2 x 20</t>
  </si>
  <si>
    <t>Kayu Keras 400 x 6 x 15</t>
  </si>
  <si>
    <t>Kayu Keras 400 x 8 x 15</t>
  </si>
  <si>
    <t>Merbau Oven 260 x 6 x 15</t>
  </si>
  <si>
    <t>Merbau Oven 270 x 6 x 15</t>
  </si>
  <si>
    <t>Merbau Oven 300 x 5 x 20</t>
  </si>
  <si>
    <t>Merbau Oven 300 x 5 x 35</t>
  </si>
  <si>
    <t>Merbau Oven 340 x 6 x 15</t>
  </si>
  <si>
    <t>Merbau Oven 350 x 5 x 35</t>
  </si>
  <si>
    <t>Merbau Oven 400 x 5 x 45</t>
  </si>
  <si>
    <t>Merbau Oven 417 x 5 x 51</t>
  </si>
  <si>
    <t>Merbau Oven 475 x 5 x 51</t>
  </si>
  <si>
    <t>Merbau Oven 500 x 8 x 12</t>
  </si>
  <si>
    <t>Merbau Oven 310 x 6 x 15</t>
  </si>
  <si>
    <t>-Merbau Oven 250 x 4 x 30</t>
  </si>
  <si>
    <t>Merbau Oven 270 x 4 x 20</t>
  </si>
  <si>
    <t>Merbau Oven 260 x 5 x 20</t>
  </si>
  <si>
    <t>Merbau Oven 310 x 5 x 20</t>
  </si>
  <si>
    <t>Merbau Oven 260 x 5 x 30</t>
  </si>
  <si>
    <t>Merbau Oven 310 x 5 x 25</t>
  </si>
  <si>
    <t>Merbau Oven 440 x 5 x 45</t>
  </si>
  <si>
    <t>Merbau Oven 290 x 5 x 20</t>
  </si>
  <si>
    <t>Merbau Oven 250 x 5 x 25</t>
  </si>
  <si>
    <t>Merbau Oven 310 x 5 x 35</t>
  </si>
  <si>
    <t>Merbau Oven 500 x 6 x 20</t>
  </si>
  <si>
    <t>Merbau Oven 230 x 6 x 15</t>
  </si>
  <si>
    <t>Merbau Oven 240 x 6 x 15</t>
  </si>
  <si>
    <t>MRB KW II 400 x 5 x 20</t>
  </si>
  <si>
    <t>MRB KW II 320 x 4 x 12</t>
  </si>
  <si>
    <t>MRB KW II 340 x 3 x 25</t>
  </si>
  <si>
    <t>MRB KW II 340 x 3 x 30</t>
  </si>
  <si>
    <t>MBO KW II 400 x 3 x 20</t>
  </si>
  <si>
    <t>MBO KW II 400 x 3 x 30</t>
  </si>
  <si>
    <t>MBO KW II 400 x 3 x 35</t>
  </si>
  <si>
    <t>MBO KW II 400 x 4 x 20</t>
  </si>
  <si>
    <t>MBO KW II 400 x 4 x 25</t>
  </si>
  <si>
    <t>MBO KW II 400 x 6 x 15</t>
  </si>
  <si>
    <t>MBO KW II 400 x 8 x 15</t>
  </si>
  <si>
    <t>MBO KW II 500 x 4 x 20</t>
  </si>
  <si>
    <t>MBO KW II 500 x 5 x 25</t>
  </si>
  <si>
    <t>MBO KW II 500 x 6 x 15</t>
  </si>
  <si>
    <t>MBO KW II 500 x 8 x 15</t>
  </si>
  <si>
    <t>MBO KW II 300 x 4 x 20</t>
  </si>
  <si>
    <t>Merbau Basah 300 x 5 x 25</t>
  </si>
  <si>
    <t>Merbau Basah 400 x 10 x 10</t>
  </si>
  <si>
    <t>Merbau Basah 400 x 6 x 40</t>
  </si>
  <si>
    <t>Merbau Basah 400 x 6 x 50</t>
  </si>
  <si>
    <t>Merbau basah 400 x 6 x 60</t>
  </si>
  <si>
    <t>Merbau Basah 400 x 6 x 90</t>
  </si>
  <si>
    <t>Merbau Basah 250 x 5 x 25</t>
  </si>
  <si>
    <t>Merbau Basah 250 x 5 x 30</t>
  </si>
  <si>
    <t>Merbau Basah 310 x 5 x 24</t>
  </si>
  <si>
    <t xml:space="preserve">Merbau Basah 320 x 5 x 24 </t>
  </si>
  <si>
    <t>Merbau Basah 350 x 5 x 25</t>
  </si>
  <si>
    <t>Meranti Basah 400 x 6 x 15</t>
  </si>
  <si>
    <t>Meranti Basah 400 x 6 x 12</t>
  </si>
  <si>
    <t>SB Basah 100 x 15 x 40</t>
  </si>
  <si>
    <t>SB Basah 250 x 6 x 15</t>
  </si>
  <si>
    <t>SO Merah 250 x 3 x 30</t>
  </si>
  <si>
    <t>SO Merah 400 x 4 x 15</t>
  </si>
  <si>
    <t>SO Merah 400 x 4 x 20</t>
  </si>
  <si>
    <t>SO Merah 400 x 4 x 25</t>
  </si>
  <si>
    <t>SO Merah 400 x 4 x 30</t>
  </si>
  <si>
    <t>SO Merah 400 x 5 x 15</t>
  </si>
  <si>
    <t>SO Merah 400 x 6 x 12</t>
  </si>
  <si>
    <t>SO Merah 400 x 6 x 17</t>
  </si>
  <si>
    <t>SO Merah 400 x 8 x 12</t>
  </si>
  <si>
    <t>SO Merah 400 x 8 x 15</t>
  </si>
  <si>
    <t>SO Merah 500 x 3 x 20</t>
  </si>
  <si>
    <t>SO Merah 500 x 3 x 30</t>
  </si>
  <si>
    <t>SO Merah 500 x 6 x 12</t>
  </si>
  <si>
    <t>SO Merah 500 x 6 x 15</t>
  </si>
  <si>
    <t>SO Merah 500 x 8 x 15</t>
  </si>
  <si>
    <t>SO Merah 250 x 3 x 20</t>
  </si>
  <si>
    <t>SO Merah 250 x 3 x 25</t>
  </si>
  <si>
    <t>SO Merah 400 x 2.5 x 20</t>
  </si>
  <si>
    <t>SOM Promo 400 x 3 x 20</t>
  </si>
  <si>
    <t>SOM II 400 x 6 x 15</t>
  </si>
  <si>
    <t>Samarinda Oven 400 x 4 x 15</t>
  </si>
  <si>
    <t>Samarinda Oven 400 x 4 x 35</t>
  </si>
  <si>
    <t>REKAPAN PERTAHUN</t>
  </si>
  <si>
    <t>BARANG YANG TIDAK ADA PEMBELIAN DALAM SETAHUN(0)</t>
  </si>
  <si>
    <t>DATA PENJUALAN PERHARI</t>
  </si>
  <si>
    <t>Jenis Barang</t>
  </si>
  <si>
    <t>Kriteria</t>
  </si>
  <si>
    <t>Keterangan :</t>
  </si>
  <si>
    <t>Harga/barang = Mahal, Sedang, Murah</t>
  </si>
  <si>
    <t>Harga</t>
  </si>
  <si>
    <t>Jumlah Order</t>
  </si>
  <si>
    <t>Panjang</t>
  </si>
  <si>
    <t>Tinggi</t>
  </si>
  <si>
    <t>Lebar</t>
  </si>
  <si>
    <t>Jenis Barang= papan,  kaso, balken, balok</t>
  </si>
  <si>
    <t>Total per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</si>
</sst>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9"/>
      <color rgb="FF414141"/>
      <name val="Arial"/>
      <family val="2"/>
    </font>
    <font>
      <sz val="11"/>
      <color theme="0"/>
      <name val="Calibri"/>
      <family val="2"/>
      <scheme val="minor"/>
    </font>
    <font>
      <sz val="24"/>
      <color theme="0"/>
      <name val="Times New Roman"/>
      <family val="1"/>
    </font>
    <font>
      <sz val="12"/>
      <color theme="1"/>
      <name val="Times New Roman"/>
      <family val="1"/>
    </font>
    <font>
      <b/>
      <sz val="24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4" fillId="0" borderId="0" xfId="1" applyFont="1"/>
    <xf numFmtId="0" fontId="1" fillId="0" borderId="0" xfId="0" applyFont="1" applyBorder="1"/>
    <xf numFmtId="0" fontId="1" fillId="0" borderId="2" xfId="0" applyFont="1" applyBorder="1" applyProtection="1">
      <protection locked="0"/>
    </xf>
    <xf numFmtId="0" fontId="2" fillId="0" borderId="0" xfId="0" applyFont="1" applyProtection="1">
      <protection locked="0"/>
    </xf>
    <xf numFmtId="0" fontId="1" fillId="0" borderId="4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7" xfId="0" applyFont="1" applyBorder="1" applyProtection="1">
      <protection locked="0"/>
    </xf>
    <xf numFmtId="0" fontId="2" fillId="0" borderId="0" xfId="0" applyFont="1" applyBorder="1"/>
    <xf numFmtId="0" fontId="1" fillId="0" borderId="0" xfId="0" applyFont="1" applyBorder="1" applyProtection="1">
      <protection locked="0"/>
    </xf>
    <xf numFmtId="0" fontId="4" fillId="0" borderId="0" xfId="1" applyFont="1" applyProtection="1">
      <protection locked="0"/>
    </xf>
    <xf numFmtId="0" fontId="5" fillId="0" borderId="0" xfId="0" applyFont="1"/>
    <xf numFmtId="0" fontId="0" fillId="0" borderId="8" xfId="0" applyBorder="1"/>
    <xf numFmtId="0" fontId="0" fillId="3" borderId="0" xfId="0" applyFill="1"/>
    <xf numFmtId="0" fontId="0" fillId="4" borderId="0" xfId="0" applyFill="1"/>
    <xf numFmtId="0" fontId="0" fillId="4" borderId="0" xfId="0" applyFill="1" applyProtection="1">
      <protection locked="0"/>
    </xf>
    <xf numFmtId="0" fontId="7" fillId="4" borderId="0" xfId="0" applyFont="1" applyFill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8" fillId="0" borderId="0" xfId="0" applyFont="1"/>
    <xf numFmtId="0" fontId="8" fillId="0" borderId="8" xfId="0" applyFont="1" applyBorder="1" applyAlignment="1">
      <alignment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" fillId="2" borderId="8" xfId="0" applyFont="1" applyFill="1" applyBorder="1"/>
    <xf numFmtId="0" fontId="0" fillId="4" borderId="12" xfId="0" applyFill="1" applyBorder="1"/>
  </cellXfs>
  <cellStyles count="2">
    <cellStyle name="Normal" xfId="0" builtinId="0"/>
    <cellStyle name="Normal 2" xfId="1" xr:uid="{C8E1CF47-609D-463E-926B-8084410FB87F}"/>
  </cellStyles>
  <dxfs count="12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AF1474-8272-4001-A334-8BB05976F46A}" name="Table1" displayName="Table1" ref="A14:K4502" insertRowShift="1" totalsRowShown="0">
  <autoFilter ref="A14:K4502" xr:uid="{94965DAD-2C0B-472E-AF86-78F9DC37A1FE}">
    <filterColumn colId="2">
      <customFilters>
        <customFilter operator="notEqual" val=" "/>
      </customFilters>
    </filterColumn>
  </autoFilter>
  <tableColumns count="11">
    <tableColumn id="1" xr3:uid="{96D1F480-8F26-40B6-AD75-23AE40B5153B}" name="Tanggal"/>
    <tableColumn id="2" xr3:uid="{48AD986F-DBF3-4B5C-BC43-55A7EA972704}" name="Kode Barang"/>
    <tableColumn id="3" xr3:uid="{46DEEC06-1D09-41E6-974E-B03DD367CF2E}" name="Nama Barang"/>
    <tableColumn id="13" xr3:uid="{04441697-E9B2-4691-A454-3F4BF66E4735}" name="Panjang" dataDxfId="5"/>
    <tableColumn id="12" xr3:uid="{0FFD5324-8354-42F5-B344-D49DDABB5F1B}" name="Tinggi" dataDxfId="6"/>
    <tableColumn id="11" xr3:uid="{74C25FBB-6E95-4B5D-B805-1150D5A31408}" name="Lebar" dataDxfId="7"/>
    <tableColumn id="4" xr3:uid="{612AA232-CC1D-4C62-8072-9E417DA90366}" name="Jumlah"/>
    <tableColumn id="5" xr3:uid="{68B6B21F-99B1-4786-98D5-5DED85707103}" name="Volume"/>
    <tableColumn id="6" xr3:uid="{13108793-8A59-4450-A622-D2AD68A6EDF3}" name="Harga "/>
    <tableColumn id="7" xr3:uid="{26809724-D04C-4D25-B9AA-0B66633AF965}" name="Total" dataDxfId="11"/>
    <tableColumn id="8" xr3:uid="{E26D4DF6-06EA-4E42-AD11-6A324D4A658B}" name="Jenis Barang" dataDxfId="4">
      <calculatedColumnFormula>IF(AND(Table1[[#This Row],[Tinggi]]&lt;5,Table1[[#This Row],[Lebar]]&lt;51),"Papan",IF(AND(Table1[[#This Row],[Tinggi]]&lt;6,Table1[[#This Row],[Lebar]]&lt;8),"Kaso",IF(AND(Table1[[#This Row],[Tinggi]]&lt;7,Table1[[#This Row],[Lebar]]&lt;19),"Balok","Balken")))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813C4-F0B6-41FB-9A04-D6AB99472EE5}" name="Table3" displayName="Table3" ref="M17:O187" totalsRowShown="0" headerRowDxfId="0" headerRowBorderDxfId="9" tableBorderDxfId="10" totalsRowBorderDxfId="8">
  <autoFilter ref="M17:O187" xr:uid="{A62273FF-7B63-4969-AD5B-052D7EBEC319}"/>
  <tableColumns count="3">
    <tableColumn id="1" xr3:uid="{21153779-486B-4342-9512-63F62E0ED18B}" name="Nama Barang" dataDxfId="3"/>
    <tableColumn id="2" xr3:uid="{1BF2CF07-1DAB-4433-BED1-B1FC2CC97291}" name="Total per Tahun" dataDxfId="2"/>
    <tableColumn id="3" xr3:uid="{1D646A32-CCEC-40AA-9DD5-1FEAFB495264}" name="Label" dataDxfId="1">
      <calculatedColumnFormula>IF(N18&gt;200,"SANGAT LARIS",IF(N18&gt;100,"CUKUP LARIS","KURANG LARIS"))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733C3-80E2-4BE3-ADEF-61E5579C687B}">
  <dimension ref="A3:S4502"/>
  <sheetViews>
    <sheetView tabSelected="1" topLeftCell="G11" zoomScale="98" zoomScaleNormal="98" workbookViewId="0">
      <selection activeCell="Q21" sqref="Q21"/>
    </sheetView>
  </sheetViews>
  <sheetFormatPr defaultRowHeight="15" x14ac:dyDescent="0.25"/>
  <cols>
    <col min="1" max="1" width="19.5703125" customWidth="1"/>
    <col min="2" max="2" width="19.5703125" hidden="1" customWidth="1"/>
    <col min="3" max="3" width="31.5703125" customWidth="1"/>
    <col min="4" max="4" width="14.85546875" hidden="1" customWidth="1"/>
    <col min="5" max="5" width="14" hidden="1" customWidth="1"/>
    <col min="6" max="6" width="11.85546875" hidden="1" customWidth="1"/>
    <col min="7" max="7" width="16.140625" customWidth="1"/>
    <col min="8" max="8" width="13.85546875" customWidth="1"/>
    <col min="9" max="9" width="18.28515625" customWidth="1"/>
    <col min="10" max="10" width="17.5703125" customWidth="1"/>
    <col min="11" max="11" width="14.42578125" customWidth="1"/>
    <col min="13" max="13" width="27.28515625" customWidth="1"/>
    <col min="14" max="14" width="16.85546875" customWidth="1"/>
    <col min="15" max="15" width="18.28515625" customWidth="1"/>
    <col min="18" max="18" width="25.85546875" customWidth="1"/>
  </cols>
  <sheetData>
    <row r="3" spans="1:15" ht="30" x14ac:dyDescent="0.25">
      <c r="C3" s="32" t="s">
        <v>693</v>
      </c>
      <c r="D3" s="33"/>
      <c r="E3" s="33"/>
      <c r="F3" s="33"/>
      <c r="G3" s="33"/>
      <c r="H3" s="33"/>
      <c r="I3" s="34"/>
      <c r="K3" s="24" t="s">
        <v>694</v>
      </c>
    </row>
    <row r="4" spans="1:15" ht="15.75" x14ac:dyDescent="0.25">
      <c r="C4" s="31" t="s">
        <v>3</v>
      </c>
      <c r="D4" s="31"/>
      <c r="E4" s="31"/>
      <c r="F4" s="31"/>
      <c r="G4" s="31" t="s">
        <v>697</v>
      </c>
      <c r="H4" s="31" t="s">
        <v>696</v>
      </c>
      <c r="I4" s="31" t="s">
        <v>692</v>
      </c>
      <c r="K4" s="30" t="s">
        <v>695</v>
      </c>
    </row>
    <row r="5" spans="1:15" ht="15.75" x14ac:dyDescent="0.25">
      <c r="K5" s="30" t="s">
        <v>701</v>
      </c>
    </row>
    <row r="12" spans="1:15" ht="30.75" x14ac:dyDescent="0.45">
      <c r="C12" s="26" t="s">
        <v>691</v>
      </c>
      <c r="D12" s="26"/>
      <c r="E12" s="26"/>
      <c r="F12" s="26"/>
      <c r="G12" s="26"/>
      <c r="H12" s="26"/>
      <c r="I12" s="26"/>
      <c r="M12" s="27" t="s">
        <v>689</v>
      </c>
      <c r="N12" s="28"/>
      <c r="O12" s="29"/>
    </row>
    <row r="14" spans="1:15" x14ac:dyDescent="0.25">
      <c r="A14" s="24" t="s">
        <v>0</v>
      </c>
      <c r="B14" t="s">
        <v>431</v>
      </c>
      <c r="C14" s="24" t="s">
        <v>1</v>
      </c>
      <c r="D14" s="24" t="s">
        <v>698</v>
      </c>
      <c r="E14" s="24" t="s">
        <v>699</v>
      </c>
      <c r="F14" s="24" t="s">
        <v>700</v>
      </c>
      <c r="G14" s="24" t="s">
        <v>2</v>
      </c>
      <c r="H14" s="24" t="s">
        <v>3</v>
      </c>
      <c r="I14" s="24" t="s">
        <v>4</v>
      </c>
      <c r="J14" s="25" t="s">
        <v>5</v>
      </c>
      <c r="K14" s="24" t="s">
        <v>692</v>
      </c>
    </row>
    <row r="15" spans="1:15" x14ac:dyDescent="0.25">
      <c r="A15" s="2" t="s">
        <v>6</v>
      </c>
      <c r="B15" s="12" t="s">
        <v>432</v>
      </c>
      <c r="C15" s="3" t="s">
        <v>7</v>
      </c>
      <c r="D15">
        <v>500</v>
      </c>
      <c r="E15">
        <v>3</v>
      </c>
      <c r="F15">
        <v>35</v>
      </c>
      <c r="G15" s="3">
        <v>4</v>
      </c>
      <c r="H15" s="3">
        <v>0.21</v>
      </c>
      <c r="I15" s="3">
        <v>1365000</v>
      </c>
      <c r="J15" s="13">
        <v>5460000</v>
      </c>
      <c r="K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" spans="1:15" hidden="1" x14ac:dyDescent="0.25">
      <c r="A16" s="4"/>
      <c r="B16" s="12"/>
      <c r="C16" s="5"/>
      <c r="G16" s="5"/>
      <c r="H16" s="5"/>
      <c r="I16" s="5"/>
      <c r="J16" s="14"/>
      <c r="K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" spans="1:16" x14ac:dyDescent="0.25">
      <c r="A17" s="6" t="s">
        <v>8</v>
      </c>
      <c r="B17" s="12" t="s">
        <v>433</v>
      </c>
      <c r="C17" s="7" t="s">
        <v>9</v>
      </c>
      <c r="D17">
        <v>400</v>
      </c>
      <c r="E17">
        <v>4</v>
      </c>
      <c r="F17">
        <v>20</v>
      </c>
      <c r="G17" s="7">
        <v>2</v>
      </c>
      <c r="H17" s="7">
        <v>6.4000000000000001E-2</v>
      </c>
      <c r="I17" s="7">
        <v>350400</v>
      </c>
      <c r="J17" s="15">
        <v>700800</v>
      </c>
      <c r="K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" s="36" t="s">
        <v>1</v>
      </c>
      <c r="N17" s="36" t="s">
        <v>702</v>
      </c>
      <c r="O17" s="36" t="s">
        <v>430</v>
      </c>
    </row>
    <row r="18" spans="1:16" hidden="1" x14ac:dyDescent="0.25">
      <c r="A18" s="8"/>
      <c r="B18" s="12"/>
      <c r="C18" s="5"/>
      <c r="G18" s="4"/>
      <c r="H18" s="4"/>
      <c r="I18" s="4"/>
      <c r="J18" s="16"/>
      <c r="K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8" s="35" t="s">
        <v>7</v>
      </c>
      <c r="N18" s="22">
        <f>SUMIF(C15:C4502,"Merbau Oven 500 x 3 x 35",Table1[Jumlah])</f>
        <v>12</v>
      </c>
      <c r="O18" s="22" t="str">
        <f>IF(N18&gt;200,"SANGAT LARIS",IF(N18&gt;100,"CUKUP LARIS","KURANG LARIS"))</f>
        <v>KURANG LARIS</v>
      </c>
    </row>
    <row r="19" spans="1:16" x14ac:dyDescent="0.25">
      <c r="A19" s="8"/>
      <c r="B19" s="12" t="s">
        <v>434</v>
      </c>
      <c r="C19" s="5" t="s">
        <v>10</v>
      </c>
      <c r="D19">
        <v>400</v>
      </c>
      <c r="E19">
        <v>4</v>
      </c>
      <c r="F19">
        <v>30</v>
      </c>
      <c r="G19" s="4">
        <v>3</v>
      </c>
      <c r="H19" s="4">
        <v>0.14399999999999999</v>
      </c>
      <c r="I19" s="4">
        <v>540000</v>
      </c>
      <c r="J19" s="16">
        <v>1620000</v>
      </c>
      <c r="K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9" s="35" t="s">
        <v>9</v>
      </c>
      <c r="N19" s="22">
        <f>SUMIF(C15:C4502,"Samarinda Oven 400 x 4 x 20",Table1[Jumlah])</f>
        <v>292</v>
      </c>
      <c r="O19" s="22" t="str">
        <f t="shared" ref="O19:O82" si="0">IF(N19&gt;200,"SANGAT LARIS",IF(N19&gt;100,"CUKUP LARIS","KURANG LARIS"))</f>
        <v>SANGAT LARIS</v>
      </c>
      <c r="P19" s="21"/>
    </row>
    <row r="20" spans="1:16" hidden="1" x14ac:dyDescent="0.25">
      <c r="A20" s="8"/>
      <c r="B20" s="10"/>
      <c r="C20" s="5"/>
      <c r="G20" s="4"/>
      <c r="H20" s="4"/>
      <c r="I20" s="4"/>
      <c r="J20" s="16"/>
      <c r="K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0" s="22" t="s">
        <v>323</v>
      </c>
      <c r="N20" s="22">
        <f>SUMIF(C15:C4502,"Bangkirai 400 x 3 x 20",Table1[Jumlah])</f>
        <v>12</v>
      </c>
      <c r="O20" s="22" t="str">
        <f t="shared" si="0"/>
        <v>KURANG LARIS</v>
      </c>
    </row>
    <row r="21" spans="1:16" x14ac:dyDescent="0.25">
      <c r="A21" s="8"/>
      <c r="B21" s="5" t="s">
        <v>435</v>
      </c>
      <c r="C21" s="5" t="s">
        <v>11</v>
      </c>
      <c r="D21">
        <v>400</v>
      </c>
      <c r="E21">
        <v>6</v>
      </c>
      <c r="F21">
        <v>12</v>
      </c>
      <c r="G21" s="4">
        <v>2</v>
      </c>
      <c r="H21" s="4">
        <v>5.7599999999999998E-2</v>
      </c>
      <c r="I21" s="4">
        <v>300960</v>
      </c>
      <c r="J21" s="16">
        <v>601920</v>
      </c>
      <c r="K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21" s="22" t="s">
        <v>420</v>
      </c>
      <c r="N21" s="22">
        <f>SUMIF(C15:C4502,"Bangkirai 400 x 6 x 15",Table1[Jumlah])</f>
        <v>2</v>
      </c>
      <c r="O21" s="22" t="str">
        <f t="shared" si="0"/>
        <v>KURANG LARIS</v>
      </c>
    </row>
    <row r="22" spans="1:16" hidden="1" x14ac:dyDescent="0.25">
      <c r="A22" s="8"/>
      <c r="B22" s="7"/>
      <c r="C22" s="5"/>
      <c r="G22" s="4"/>
      <c r="H22" s="4"/>
      <c r="I22" s="4"/>
      <c r="J22" s="16"/>
      <c r="K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2" s="22" t="s">
        <v>110</v>
      </c>
      <c r="N22" s="22">
        <f>SUMIF(C15:C4502,"Bangkirai 400 x 8 x 15",Table1[Jumlah])</f>
        <v>2</v>
      </c>
      <c r="O22" s="22" t="str">
        <f t="shared" si="0"/>
        <v>KURANG LARIS</v>
      </c>
    </row>
    <row r="23" spans="1:16" x14ac:dyDescent="0.25">
      <c r="A23" s="9"/>
      <c r="B23" s="12" t="s">
        <v>436</v>
      </c>
      <c r="C23" s="10" t="s">
        <v>12</v>
      </c>
      <c r="D23">
        <v>400</v>
      </c>
      <c r="E23">
        <v>6</v>
      </c>
      <c r="F23">
        <v>17</v>
      </c>
      <c r="G23" s="10">
        <v>1</v>
      </c>
      <c r="H23" s="10">
        <v>4.0800000000000003E-2</v>
      </c>
      <c r="I23" s="10">
        <v>442680</v>
      </c>
      <c r="J23" s="17">
        <v>442680</v>
      </c>
      <c r="K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23" s="22" t="s">
        <v>422</v>
      </c>
      <c r="N23" s="22">
        <f>SUMIF(C15:C4502,"Bangkirai 500 x 6 x 15",Table1[Jumlah])</f>
        <v>2</v>
      </c>
      <c r="O23" s="22" t="str">
        <f t="shared" si="0"/>
        <v>KURANG LARIS</v>
      </c>
    </row>
    <row r="24" spans="1:16" hidden="1" x14ac:dyDescent="0.25">
      <c r="A24" s="5"/>
      <c r="B24" s="12"/>
      <c r="C24" s="5"/>
      <c r="G24" s="5"/>
      <c r="J24" s="1"/>
      <c r="K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4" s="22" t="s">
        <v>37</v>
      </c>
      <c r="N24" s="22">
        <f>SUMIF(C15:C4502,"Merbau Oven 250 x 4 x 25",Table1[Jumlah])</f>
        <v>97</v>
      </c>
      <c r="O24" s="22" t="str">
        <f t="shared" si="0"/>
        <v>KURANG LARIS</v>
      </c>
    </row>
    <row r="25" spans="1:16" x14ac:dyDescent="0.25">
      <c r="A25" s="6" t="s">
        <v>13</v>
      </c>
      <c r="B25" s="12" t="s">
        <v>437</v>
      </c>
      <c r="C25" s="7" t="s">
        <v>14</v>
      </c>
      <c r="D25">
        <v>400</v>
      </c>
      <c r="E25">
        <v>6</v>
      </c>
      <c r="F25">
        <v>15</v>
      </c>
      <c r="G25" s="7">
        <v>2</v>
      </c>
      <c r="H25" s="7">
        <v>7.1999999999999995E-2</v>
      </c>
      <c r="I25" s="7">
        <v>331200</v>
      </c>
      <c r="J25" s="15">
        <v>662400</v>
      </c>
      <c r="K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25" s="22" t="s">
        <v>100</v>
      </c>
      <c r="N25" s="22">
        <f>SUMIF(C15:C4502,"Merbau Oven 250 x 6 x 15",Table1[Jumlah])</f>
        <v>151</v>
      </c>
      <c r="O25" s="22" t="str">
        <f t="shared" si="0"/>
        <v>CUKUP LARIS</v>
      </c>
    </row>
    <row r="26" spans="1:16" hidden="1" x14ac:dyDescent="0.25">
      <c r="A26" s="8"/>
      <c r="B26" s="12"/>
      <c r="C26" s="5"/>
      <c r="G26" s="4"/>
      <c r="H26" s="4"/>
      <c r="I26" s="4"/>
      <c r="J26" s="16"/>
      <c r="K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6" s="22" t="s">
        <v>38</v>
      </c>
      <c r="N26" s="22">
        <f>SUMIF(C15:C4502,"Merbau Oven 300 x 4 x 25",Table1[Jumlah])</f>
        <v>17</v>
      </c>
      <c r="O26" s="22" t="str">
        <f t="shared" si="0"/>
        <v>KURANG LARIS</v>
      </c>
    </row>
    <row r="27" spans="1:16" x14ac:dyDescent="0.25">
      <c r="A27" s="8"/>
      <c r="B27" s="12" t="s">
        <v>438</v>
      </c>
      <c r="C27" s="5" t="s">
        <v>15</v>
      </c>
      <c r="D27">
        <v>400</v>
      </c>
      <c r="E27">
        <v>3</v>
      </c>
      <c r="F27">
        <v>25</v>
      </c>
      <c r="G27" s="4">
        <v>1</v>
      </c>
      <c r="H27" s="4">
        <v>0.03</v>
      </c>
      <c r="I27" s="4">
        <v>324000</v>
      </c>
      <c r="J27" s="16">
        <v>324000</v>
      </c>
      <c r="K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7" s="22" t="s">
        <v>57</v>
      </c>
      <c r="N27" s="22">
        <f>SUMIF(C15:C4502,"Merbau Oven 300 x 4 x 30",Table1[Jumlah])</f>
        <v>12</v>
      </c>
      <c r="O27" s="22" t="str">
        <f t="shared" si="0"/>
        <v>KURANG LARIS</v>
      </c>
    </row>
    <row r="28" spans="1:16" hidden="1" x14ac:dyDescent="0.25">
      <c r="A28" s="8"/>
      <c r="B28" s="12"/>
      <c r="C28" s="5"/>
      <c r="G28" s="4"/>
      <c r="H28" s="4"/>
      <c r="I28" s="4"/>
      <c r="J28" s="16"/>
      <c r="K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8" s="22" t="s">
        <v>139</v>
      </c>
      <c r="N28" s="22">
        <f>SUMIF(C15:C4502,"Merbau Oven 300 x 6 x 15",Table1[Jumlah])</f>
        <v>117</v>
      </c>
      <c r="O28" s="22" t="str">
        <f t="shared" si="0"/>
        <v>CUKUP LARIS</v>
      </c>
    </row>
    <row r="29" spans="1:16" x14ac:dyDescent="0.25">
      <c r="A29" s="8"/>
      <c r="B29" s="12" t="s">
        <v>439</v>
      </c>
      <c r="C29" s="5" t="s">
        <v>16</v>
      </c>
      <c r="D29">
        <v>400</v>
      </c>
      <c r="E29">
        <v>3</v>
      </c>
      <c r="F29">
        <v>30</v>
      </c>
      <c r="G29" s="4">
        <v>1</v>
      </c>
      <c r="H29" s="4">
        <v>3.5999999999999997E-2</v>
      </c>
      <c r="I29" s="4">
        <v>396000</v>
      </c>
      <c r="J29" s="16">
        <v>396000</v>
      </c>
      <c r="K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29" s="22" t="s">
        <v>174</v>
      </c>
      <c r="N29" s="22">
        <f>SUMIF(C15:C4502,"Merbau Oven 300 x 6 x 17",Table1[Jumlah])</f>
        <v>24</v>
      </c>
      <c r="O29" s="22" t="str">
        <f t="shared" si="0"/>
        <v>KURANG LARIS</v>
      </c>
    </row>
    <row r="30" spans="1:16" hidden="1" x14ac:dyDescent="0.25">
      <c r="A30" s="8"/>
      <c r="B30" s="12"/>
      <c r="C30" s="18"/>
      <c r="G30" s="12"/>
      <c r="H30" s="12"/>
      <c r="I30" s="12"/>
      <c r="J30" s="19"/>
      <c r="K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0" s="22" t="s">
        <v>130</v>
      </c>
      <c r="N30" s="22">
        <f>SUMIF(C15:C4502,"Merbau Oven 350 x 6 x 15",Table1[Jumlah])</f>
        <v>3</v>
      </c>
      <c r="O30" s="22" t="str">
        <f t="shared" si="0"/>
        <v>KURANG LARIS</v>
      </c>
    </row>
    <row r="31" spans="1:16" x14ac:dyDescent="0.25">
      <c r="A31" s="8"/>
      <c r="B31" s="5" t="s">
        <v>433</v>
      </c>
      <c r="C31" s="5" t="s">
        <v>9</v>
      </c>
      <c r="D31">
        <v>400</v>
      </c>
      <c r="E31">
        <v>4</v>
      </c>
      <c r="F31">
        <v>20</v>
      </c>
      <c r="G31" s="4">
        <v>2</v>
      </c>
      <c r="H31" s="4">
        <v>6.4000000000000001E-2</v>
      </c>
      <c r="I31" s="4">
        <v>342400</v>
      </c>
      <c r="J31" s="16">
        <v>684800</v>
      </c>
      <c r="K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1" s="22" t="s">
        <v>152</v>
      </c>
      <c r="N31" s="22">
        <f>SUMIF(C15:C4502,"Merbau Oven 400 x 3 x 20",Table1[Jumlah])</f>
        <v>39</v>
      </c>
      <c r="O31" s="22" t="str">
        <f t="shared" si="0"/>
        <v>KURANG LARIS</v>
      </c>
    </row>
    <row r="32" spans="1:16" hidden="1" x14ac:dyDescent="0.25">
      <c r="A32" s="8"/>
      <c r="B32" s="3"/>
      <c r="C32" s="5"/>
      <c r="G32" s="4"/>
      <c r="H32" s="4"/>
      <c r="I32" s="4"/>
      <c r="J32" s="16"/>
      <c r="K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2" s="22" t="s">
        <v>76</v>
      </c>
      <c r="N32" s="22">
        <f>SUMIF(C15:C4502,"Merbau Oven 400 x 3 x 25",Table1[Jumlah])</f>
        <v>36</v>
      </c>
      <c r="O32" s="22" t="str">
        <f t="shared" si="0"/>
        <v>KURANG LARIS</v>
      </c>
    </row>
    <row r="33" spans="1:15" x14ac:dyDescent="0.25">
      <c r="A33" s="9"/>
      <c r="B33" s="4" t="s">
        <v>440</v>
      </c>
      <c r="C33" s="10" t="s">
        <v>17</v>
      </c>
      <c r="D33">
        <v>500</v>
      </c>
      <c r="E33">
        <v>4</v>
      </c>
      <c r="F33">
        <v>25</v>
      </c>
      <c r="G33" s="10">
        <v>1</v>
      </c>
      <c r="H33" s="10">
        <v>0.05</v>
      </c>
      <c r="I33" s="10">
        <v>540000</v>
      </c>
      <c r="J33" s="17">
        <v>540000</v>
      </c>
      <c r="K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3" s="22" t="s">
        <v>103</v>
      </c>
      <c r="N33" s="22">
        <f>SUMIF(C15:C4502,"Merbau Oven 400 x 3 x 30",Table1[Jumlah])</f>
        <v>76</v>
      </c>
      <c r="O33" s="22" t="str">
        <f t="shared" si="0"/>
        <v>KURANG LARIS</v>
      </c>
    </row>
    <row r="34" spans="1:15" hidden="1" x14ac:dyDescent="0.25">
      <c r="A34" s="5"/>
      <c r="B34" s="4"/>
      <c r="C34" s="5"/>
      <c r="J34" s="1"/>
      <c r="K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4" s="22" t="s">
        <v>196</v>
      </c>
      <c r="N34" s="22">
        <f>SUMIF(C15:C4502,"Merbau Oven 400 x 3 x 35",Table1[Jumlah])</f>
        <v>16</v>
      </c>
      <c r="O34" s="22" t="str">
        <f t="shared" si="0"/>
        <v>KURANG LARIS</v>
      </c>
    </row>
    <row r="35" spans="1:15" x14ac:dyDescent="0.25">
      <c r="A35" s="2" t="s">
        <v>18</v>
      </c>
      <c r="B35" s="3" t="s">
        <v>441</v>
      </c>
      <c r="C35" s="3" t="s">
        <v>19</v>
      </c>
      <c r="D35">
        <v>230</v>
      </c>
      <c r="E35">
        <v>6</v>
      </c>
      <c r="F35">
        <v>15</v>
      </c>
      <c r="G35" s="3">
        <v>2</v>
      </c>
      <c r="H35" s="3">
        <v>4.1399999999999999E-2</v>
      </c>
      <c r="I35" s="3">
        <v>457470</v>
      </c>
      <c r="J35" s="13">
        <v>914940</v>
      </c>
      <c r="K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35" s="22" t="s">
        <v>26</v>
      </c>
      <c r="N35" s="22">
        <f>SUMIF(C15:C4502,"Merbau Oven 400 x 4 x 12",Table1[Jumlah])</f>
        <v>7</v>
      </c>
      <c r="O35" s="22" t="str">
        <f t="shared" si="0"/>
        <v>KURANG LARIS</v>
      </c>
    </row>
    <row r="36" spans="1:15" hidden="1" x14ac:dyDescent="0.25">
      <c r="A36" s="4"/>
      <c r="B36" s="4"/>
      <c r="C36" s="4"/>
      <c r="G36" s="4"/>
      <c r="H36" s="5"/>
      <c r="I36" s="5"/>
      <c r="J36" s="14"/>
      <c r="K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6" s="22" t="s">
        <v>143</v>
      </c>
      <c r="N36" s="22">
        <f>SUMIF(C15:C4502,"Merbau Oven 400 x 4 x 20",Table1[Jumlah])</f>
        <v>36</v>
      </c>
      <c r="O36" s="22" t="str">
        <f t="shared" si="0"/>
        <v>KURANG LARIS</v>
      </c>
    </row>
    <row r="37" spans="1:15" hidden="1" x14ac:dyDescent="0.25">
      <c r="A37" s="4"/>
      <c r="B37" s="4"/>
      <c r="C37" s="4"/>
      <c r="G37" s="4"/>
      <c r="H37" s="5"/>
      <c r="I37" s="5"/>
      <c r="J37" s="14"/>
      <c r="K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7" s="22" t="s">
        <v>104</v>
      </c>
      <c r="N37" s="22">
        <f>SUMIF(C15:C4502,"Merbau Oven 400 x 4 x 25",Table1[Jumlah])</f>
        <v>85</v>
      </c>
      <c r="O37" s="22" t="str">
        <f t="shared" si="0"/>
        <v>KURANG LARIS</v>
      </c>
    </row>
    <row r="38" spans="1:15" x14ac:dyDescent="0.25">
      <c r="A38" s="2" t="s">
        <v>18</v>
      </c>
      <c r="B38" s="7" t="s">
        <v>442</v>
      </c>
      <c r="C38" s="3" t="s">
        <v>20</v>
      </c>
      <c r="D38">
        <v>400</v>
      </c>
      <c r="E38">
        <v>6</v>
      </c>
      <c r="F38">
        <v>12</v>
      </c>
      <c r="G38" s="3">
        <v>6</v>
      </c>
      <c r="H38" s="3">
        <v>0.17280000000000001</v>
      </c>
      <c r="I38" s="3">
        <v>650880</v>
      </c>
      <c r="J38" s="13">
        <v>3905280</v>
      </c>
      <c r="K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38" s="22" t="s">
        <v>137</v>
      </c>
      <c r="N38" s="22">
        <f>SUMIF(C15:C4502,"Merbau Oven 400 x 4 x 30",Table1[Jumlah])</f>
        <v>30</v>
      </c>
      <c r="O38" s="22" t="str">
        <f t="shared" si="0"/>
        <v>KURANG LARIS</v>
      </c>
    </row>
    <row r="39" spans="1:15" hidden="1" x14ac:dyDescent="0.25">
      <c r="A39" s="4"/>
      <c r="B39" s="12"/>
      <c r="C39" s="4"/>
      <c r="G39" s="4"/>
      <c r="H39" s="5"/>
      <c r="I39" s="5"/>
      <c r="J39" s="14"/>
      <c r="K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39" s="22" t="s">
        <v>245</v>
      </c>
      <c r="N39" s="22">
        <f>SUMIF(C15:C4502,"Merbau Oven 400 x 4 x 35",Table1[Jumlah])</f>
        <v>4</v>
      </c>
      <c r="O39" s="22" t="str">
        <f t="shared" si="0"/>
        <v>KURANG LARIS</v>
      </c>
    </row>
    <row r="40" spans="1:15" hidden="1" x14ac:dyDescent="0.25">
      <c r="A40" s="4"/>
      <c r="B40" s="12"/>
      <c r="C40" s="4"/>
      <c r="G40" s="4"/>
      <c r="H40" s="5"/>
      <c r="I40" s="5"/>
      <c r="J40" s="14"/>
      <c r="K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0" s="22" t="s">
        <v>23</v>
      </c>
      <c r="N40" s="22">
        <f>SUMIF(C15:C4502,"Merbau Oven 400 x 5 x 15",Table1[Jumlah])</f>
        <v>52</v>
      </c>
      <c r="O40" s="22" t="str">
        <f t="shared" si="0"/>
        <v>KURANG LARIS</v>
      </c>
    </row>
    <row r="41" spans="1:15" x14ac:dyDescent="0.25">
      <c r="A41" s="6" t="s">
        <v>18</v>
      </c>
      <c r="B41" s="12" t="s">
        <v>437</v>
      </c>
      <c r="C41" s="7" t="s">
        <v>14</v>
      </c>
      <c r="D41">
        <v>400</v>
      </c>
      <c r="E41">
        <v>6</v>
      </c>
      <c r="F41">
        <v>15</v>
      </c>
      <c r="G41" s="7">
        <v>4</v>
      </c>
      <c r="H41" s="7">
        <v>0.14399999999999999</v>
      </c>
      <c r="I41" s="7">
        <v>331200</v>
      </c>
      <c r="J41" s="15">
        <v>1324800</v>
      </c>
      <c r="K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41" s="22" t="s">
        <v>80</v>
      </c>
      <c r="N41" s="22">
        <f>SUMIF(C15:C4502,"Merbau Oven 400 x 5 x 20",Table1[Jumlah])</f>
        <v>15</v>
      </c>
      <c r="O41" s="22" t="str">
        <f t="shared" si="0"/>
        <v>KURANG LARIS</v>
      </c>
    </row>
    <row r="42" spans="1:15" hidden="1" x14ac:dyDescent="0.25">
      <c r="A42" s="8"/>
      <c r="B42" s="12"/>
      <c r="C42" s="4"/>
      <c r="G42" s="4"/>
      <c r="H42" s="5"/>
      <c r="I42" s="5"/>
      <c r="J42" s="14"/>
      <c r="K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2" s="22" t="s">
        <v>46</v>
      </c>
      <c r="N42" s="22">
        <f>SUMIF(C15:C4502,"Merbau Oven 400 x 5 x 25",Table1[Jumlah])</f>
        <v>29</v>
      </c>
      <c r="O42" s="22" t="str">
        <f t="shared" si="0"/>
        <v>KURANG LARIS</v>
      </c>
    </row>
    <row r="43" spans="1:15" x14ac:dyDescent="0.25">
      <c r="A43" s="8"/>
      <c r="B43" s="12" t="s">
        <v>439</v>
      </c>
      <c r="C43" s="4" t="s">
        <v>16</v>
      </c>
      <c r="D43">
        <v>400</v>
      </c>
      <c r="E43">
        <v>3</v>
      </c>
      <c r="F43">
        <v>30</v>
      </c>
      <c r="G43" s="4">
        <v>1</v>
      </c>
      <c r="H43" s="5">
        <v>3.5999999999999997E-2</v>
      </c>
      <c r="I43" s="5">
        <v>396000</v>
      </c>
      <c r="J43" s="14">
        <v>396000</v>
      </c>
      <c r="K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3" s="22" t="s">
        <v>89</v>
      </c>
      <c r="N43" s="22">
        <f>SUMIF(C15:C4502,"Merbau Oven 400 x 5 x 30",Table1[Jumlah])</f>
        <v>25</v>
      </c>
      <c r="O43" s="22" t="str">
        <f t="shared" si="0"/>
        <v>KURANG LARIS</v>
      </c>
    </row>
    <row r="44" spans="1:15" hidden="1" x14ac:dyDescent="0.25">
      <c r="A44" s="8"/>
      <c r="B44" s="10"/>
      <c r="C44" s="4"/>
      <c r="G44" s="4"/>
      <c r="H44" s="5"/>
      <c r="I44" s="5"/>
      <c r="J44" s="14"/>
      <c r="K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4" s="22" t="s">
        <v>48</v>
      </c>
      <c r="N44" s="22">
        <f>SUMIF(C15:C4502,"Merbau Oven 400 x 5 x 35",Table1[Jumlah])</f>
        <v>12</v>
      </c>
      <c r="O44" s="22" t="str">
        <f t="shared" si="0"/>
        <v>KURANG LARIS</v>
      </c>
    </row>
    <row r="45" spans="1:15" x14ac:dyDescent="0.25">
      <c r="A45" s="8"/>
      <c r="B45" s="5" t="s">
        <v>433</v>
      </c>
      <c r="C45" s="4" t="s">
        <v>9</v>
      </c>
      <c r="D45">
        <v>400</v>
      </c>
      <c r="E45">
        <v>4</v>
      </c>
      <c r="F45">
        <v>20</v>
      </c>
      <c r="G45" s="4">
        <v>1</v>
      </c>
      <c r="H45" s="5">
        <v>3.2000000000000001E-2</v>
      </c>
      <c r="I45" s="5">
        <v>342400</v>
      </c>
      <c r="J45" s="14">
        <v>342400</v>
      </c>
      <c r="K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5" s="22" t="s">
        <v>20</v>
      </c>
      <c r="N45" s="22">
        <f>SUMIF(C15:C4502,"Merbau Oven 400 x 6 x 12",Table1[Jumlah])</f>
        <v>57</v>
      </c>
      <c r="O45" s="22" t="str">
        <f t="shared" si="0"/>
        <v>KURANG LARIS</v>
      </c>
    </row>
    <row r="46" spans="1:15" hidden="1" x14ac:dyDescent="0.25">
      <c r="A46" s="8"/>
      <c r="B46" s="5"/>
      <c r="C46" s="4"/>
      <c r="G46" s="4"/>
      <c r="H46" s="5"/>
      <c r="I46" s="5"/>
      <c r="J46" s="14"/>
      <c r="K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6" s="22" t="s">
        <v>122</v>
      </c>
      <c r="N46" s="22">
        <f>SUMIF(C15:C4502,"Merbau Oven 400 x 6 x 15",Table1[Jumlah])</f>
        <v>115</v>
      </c>
      <c r="O46" s="22" t="str">
        <f t="shared" si="0"/>
        <v>CUKUP LARIS</v>
      </c>
    </row>
    <row r="47" spans="1:15" x14ac:dyDescent="0.25">
      <c r="A47" s="9"/>
      <c r="B47" t="s">
        <v>443</v>
      </c>
      <c r="C47" s="10" t="s">
        <v>21</v>
      </c>
      <c r="D47">
        <v>400</v>
      </c>
      <c r="E47">
        <v>4</v>
      </c>
      <c r="F47">
        <v>25</v>
      </c>
      <c r="G47" s="10">
        <v>1</v>
      </c>
      <c r="H47" s="10">
        <v>0.04</v>
      </c>
      <c r="I47" s="10">
        <v>432000</v>
      </c>
      <c r="J47" s="17">
        <v>432000</v>
      </c>
      <c r="K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7" s="22" t="s">
        <v>201</v>
      </c>
      <c r="N47" s="22">
        <f>SUMIF(C15:C4502,"Merbau Oven 400 x 6 x 17",Table1[Jumlah])</f>
        <v>22</v>
      </c>
      <c r="O47" s="22" t="str">
        <f t="shared" si="0"/>
        <v>KURANG LARIS</v>
      </c>
    </row>
    <row r="48" spans="1:15" hidden="1" x14ac:dyDescent="0.25">
      <c r="A48" s="5"/>
      <c r="B48" s="5"/>
      <c r="G48" s="5"/>
      <c r="H48" s="5"/>
      <c r="I48" s="5"/>
      <c r="J48" s="14"/>
      <c r="K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8" s="22" t="s">
        <v>222</v>
      </c>
      <c r="N48" s="22">
        <f>SUMIF(C15:C4502,"Merbau Oven 400 x 6 x 30",Table1[Jumlah])</f>
        <v>4</v>
      </c>
      <c r="O48" s="22" t="str">
        <f t="shared" si="0"/>
        <v>KURANG LARIS</v>
      </c>
    </row>
    <row r="49" spans="1:15" hidden="1" x14ac:dyDescent="0.25">
      <c r="A49" s="5"/>
      <c r="B49" s="4"/>
      <c r="C49" s="5"/>
      <c r="G49" s="5"/>
      <c r="H49" s="5"/>
      <c r="I49" s="5"/>
      <c r="J49" s="14"/>
      <c r="K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49" s="22" t="s">
        <v>90</v>
      </c>
      <c r="N49" s="22">
        <f>SUMIF(C15:C4502,"Merbau Oven 400 x 6 x 35",Table1[Jumlah])</f>
        <v>5</v>
      </c>
      <c r="O49" s="22" t="str">
        <f t="shared" si="0"/>
        <v>KURANG LARIS</v>
      </c>
    </row>
    <row r="50" spans="1:15" hidden="1" x14ac:dyDescent="0.25">
      <c r="B50" s="5"/>
      <c r="C50" s="5"/>
      <c r="G50" s="5"/>
      <c r="H50" s="5"/>
      <c r="I50" s="5"/>
      <c r="J50" s="14"/>
      <c r="K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0" s="22" t="s">
        <v>88</v>
      </c>
      <c r="N50" s="22">
        <f>SUMIF(C15:C4502,"Merbau Oven 400 x 8 x 12",Table1[Jumlah])</f>
        <v>3</v>
      </c>
      <c r="O50" s="22" t="str">
        <f t="shared" si="0"/>
        <v>KURANG LARIS</v>
      </c>
    </row>
    <row r="51" spans="1:15" hidden="1" x14ac:dyDescent="0.25">
      <c r="A51" s="5"/>
      <c r="B51" s="5"/>
      <c r="G51" s="5"/>
      <c r="H51" s="5"/>
      <c r="I51" s="5"/>
      <c r="J51" s="14"/>
      <c r="K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1" s="22" t="s">
        <v>27</v>
      </c>
      <c r="N51" s="22">
        <f>SUMIF(C15:C4502,"Merbau Oven 400 x 8 x 15",Table1[Jumlah])</f>
        <v>18</v>
      </c>
      <c r="O51" s="22" t="str">
        <f t="shared" si="0"/>
        <v>KURANG LARIS</v>
      </c>
    </row>
    <row r="52" spans="1:15" x14ac:dyDescent="0.25">
      <c r="A52" s="4" t="s">
        <v>22</v>
      </c>
      <c r="B52" s="5" t="s">
        <v>444</v>
      </c>
      <c r="C52" s="4" t="s">
        <v>23</v>
      </c>
      <c r="D52">
        <v>400</v>
      </c>
      <c r="E52">
        <v>5</v>
      </c>
      <c r="F52">
        <v>15</v>
      </c>
      <c r="G52" s="5">
        <v>1</v>
      </c>
      <c r="H52" s="5">
        <v>0.03</v>
      </c>
      <c r="I52" s="5">
        <v>693000</v>
      </c>
      <c r="J52" s="14">
        <v>693000</v>
      </c>
      <c r="K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52" s="22" t="s">
        <v>113</v>
      </c>
      <c r="N52" s="22">
        <f>SUMIF(C15:C4502,"Merbau Oven 450 x 3 x 25",Table1[Jumlah])</f>
        <v>4</v>
      </c>
      <c r="O52" s="22" t="str">
        <f t="shared" si="0"/>
        <v>KURANG LARIS</v>
      </c>
    </row>
    <row r="53" spans="1:15" hidden="1" x14ac:dyDescent="0.25">
      <c r="A53" s="5"/>
      <c r="B53" s="5"/>
      <c r="C53" s="4"/>
      <c r="G53" s="5"/>
      <c r="H53" s="5"/>
      <c r="I53" s="5"/>
      <c r="J53" s="14"/>
      <c r="K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3" s="22" t="s">
        <v>375</v>
      </c>
      <c r="N53" s="22">
        <f>SUMIF(C15:C4502,"Merbau Oven 450 x 4 x 25",Table1[Jumlah])</f>
        <v>2</v>
      </c>
      <c r="O53" s="22" t="str">
        <f t="shared" si="0"/>
        <v>KURANG LARIS</v>
      </c>
    </row>
    <row r="54" spans="1:15" x14ac:dyDescent="0.25">
      <c r="A54" s="5"/>
      <c r="B54" s="5" t="s">
        <v>445</v>
      </c>
      <c r="C54" s="4" t="s">
        <v>24</v>
      </c>
      <c r="D54">
        <v>500</v>
      </c>
      <c r="E54">
        <v>5</v>
      </c>
      <c r="F54">
        <v>15</v>
      </c>
      <c r="G54" s="5">
        <v>2</v>
      </c>
      <c r="H54" s="5">
        <v>7.4999999999999997E-2</v>
      </c>
      <c r="I54" s="5">
        <v>885000</v>
      </c>
      <c r="J54" s="14">
        <v>1770000</v>
      </c>
      <c r="K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54" s="22" t="s">
        <v>327</v>
      </c>
      <c r="N54" s="22">
        <f>SUMIF(C15:C4502,"Merbau Oven 450 x 6 x 15",Table1[Jumlah])</f>
        <v>2</v>
      </c>
      <c r="O54" s="22" t="str">
        <f t="shared" si="0"/>
        <v>KURANG LARIS</v>
      </c>
    </row>
    <row r="55" spans="1:15" hidden="1" x14ac:dyDescent="0.25">
      <c r="A55" s="5"/>
      <c r="B55" s="5"/>
      <c r="C55" s="4"/>
      <c r="G55" s="5"/>
      <c r="H55" s="5"/>
      <c r="I55" s="5"/>
      <c r="J55" s="14"/>
      <c r="K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5" s="22" t="s">
        <v>114</v>
      </c>
      <c r="N55" s="22">
        <f>SUMIF(C15:C4502,"Merbau Oven 500 x 3 x 20",Table1[Jumlah])</f>
        <v>15</v>
      </c>
      <c r="O55" s="22" t="str">
        <f t="shared" si="0"/>
        <v>KURANG LARIS</v>
      </c>
    </row>
    <row r="56" spans="1:15" x14ac:dyDescent="0.25">
      <c r="A56" s="5"/>
      <c r="B56" s="5" t="s">
        <v>446</v>
      </c>
      <c r="C56" s="4" t="s">
        <v>25</v>
      </c>
      <c r="D56">
        <v>400</v>
      </c>
      <c r="E56">
        <v>4</v>
      </c>
      <c r="F56">
        <v>15</v>
      </c>
      <c r="G56" s="5">
        <v>2</v>
      </c>
      <c r="H56" s="5">
        <v>4.8000000000000001E-2</v>
      </c>
      <c r="I56" s="5">
        <v>566400</v>
      </c>
      <c r="J56" s="14">
        <v>1132800</v>
      </c>
      <c r="K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6" s="22" t="s">
        <v>66</v>
      </c>
      <c r="N56" s="22">
        <f>SUMIF(C15:C4502,"Merbau Oven 500 x 3 x 25",Table1[Jumlah])</f>
        <v>8</v>
      </c>
      <c r="O56" s="22" t="str">
        <f t="shared" si="0"/>
        <v>KURANG LARIS</v>
      </c>
    </row>
    <row r="57" spans="1:15" hidden="1" x14ac:dyDescent="0.25">
      <c r="A57" s="5"/>
      <c r="B57" s="5"/>
      <c r="C57" s="5"/>
      <c r="G57" s="5"/>
      <c r="H57" s="5"/>
      <c r="I57" s="5"/>
      <c r="J57" s="14"/>
      <c r="K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7" s="22" t="s">
        <v>72</v>
      </c>
      <c r="N57" s="22">
        <f>SUMIF(C15:C4502,"Merbau Oven 500 x 3 x 30",Table1[Jumlah])</f>
        <v>39</v>
      </c>
      <c r="O57" s="22" t="str">
        <f t="shared" si="0"/>
        <v>KURANG LARIS</v>
      </c>
    </row>
    <row r="58" spans="1:15" hidden="1" x14ac:dyDescent="0.25">
      <c r="A58" s="5"/>
      <c r="B58" s="5"/>
      <c r="C58" s="5"/>
      <c r="G58" s="5"/>
      <c r="H58" s="5"/>
      <c r="I58" s="5"/>
      <c r="J58" s="14"/>
      <c r="K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8" s="22" t="s">
        <v>7</v>
      </c>
      <c r="N58" s="22">
        <f>SUMIF(C15:C4502,"Merbau Oven 500 x 3 x 35",Table1[Jumlah])</f>
        <v>12</v>
      </c>
      <c r="O58" s="22" t="str">
        <f t="shared" si="0"/>
        <v>KURANG LARIS</v>
      </c>
    </row>
    <row r="59" spans="1:15" hidden="1" x14ac:dyDescent="0.25">
      <c r="A59" s="5"/>
      <c r="B59" s="5"/>
      <c r="C59" s="5"/>
      <c r="G59" s="5"/>
      <c r="H59" s="5"/>
      <c r="I59" s="5"/>
      <c r="J59" s="14"/>
      <c r="K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59" s="22" t="s">
        <v>149</v>
      </c>
      <c r="N59" s="22">
        <f>SUMIF(C15:C4502,"Merbau Oven 500 x 4 x 20",Table1[Jumlah])</f>
        <v>31</v>
      </c>
      <c r="O59" s="22" t="str">
        <f t="shared" si="0"/>
        <v>KURANG LARIS</v>
      </c>
    </row>
    <row r="60" spans="1:15" x14ac:dyDescent="0.25">
      <c r="A60" s="5" t="s">
        <v>22</v>
      </c>
      <c r="B60" s="5" t="s">
        <v>443</v>
      </c>
      <c r="C60" s="4" t="s">
        <v>21</v>
      </c>
      <c r="D60">
        <v>400</v>
      </c>
      <c r="E60">
        <v>4</v>
      </c>
      <c r="F60">
        <v>25</v>
      </c>
      <c r="G60" s="4">
        <v>6</v>
      </c>
      <c r="H60" s="4">
        <v>0.24</v>
      </c>
      <c r="I60" s="4">
        <v>432000</v>
      </c>
      <c r="J60" s="16">
        <v>2592000</v>
      </c>
      <c r="K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60" s="22" t="s">
        <v>153</v>
      </c>
      <c r="N60" s="22">
        <f>SUMIF(C15:C4502,"Merbau Oven 500 x 4 x 25",Table1[Jumlah])</f>
        <v>19</v>
      </c>
      <c r="O60" s="22" t="str">
        <f t="shared" si="0"/>
        <v>KURANG LARIS</v>
      </c>
    </row>
    <row r="61" spans="1:15" x14ac:dyDescent="0.25">
      <c r="A61" s="5" t="s">
        <v>22</v>
      </c>
      <c r="B61" s="5" t="s">
        <v>447</v>
      </c>
      <c r="C61" s="5" t="s">
        <v>26</v>
      </c>
      <c r="D61">
        <v>400</v>
      </c>
      <c r="E61">
        <v>4</v>
      </c>
      <c r="F61">
        <v>12</v>
      </c>
      <c r="G61" s="5">
        <v>1</v>
      </c>
      <c r="H61" s="5">
        <v>1.9199999999999998E-2</v>
      </c>
      <c r="I61" s="5">
        <v>453120</v>
      </c>
      <c r="J61" s="14">
        <v>453120</v>
      </c>
      <c r="K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61" s="22" t="s">
        <v>105</v>
      </c>
      <c r="N61" s="22">
        <f>SUMIF(C15:C4502,"Merbau Oven 500 x 4 x 30",Table1[Jumlah])</f>
        <v>10</v>
      </c>
      <c r="O61" s="22" t="str">
        <f t="shared" si="0"/>
        <v>KURANG LARIS</v>
      </c>
    </row>
    <row r="62" spans="1:15" x14ac:dyDescent="0.25">
      <c r="A62" s="5" t="s">
        <v>22</v>
      </c>
      <c r="B62" s="5" t="s">
        <v>448</v>
      </c>
      <c r="C62" s="5" t="s">
        <v>27</v>
      </c>
      <c r="D62">
        <v>400</v>
      </c>
      <c r="E62">
        <v>8</v>
      </c>
      <c r="F62">
        <v>15</v>
      </c>
      <c r="G62" s="5">
        <v>1</v>
      </c>
      <c r="H62" s="5">
        <v>4.8000000000000001E-2</v>
      </c>
      <c r="I62" s="5">
        <v>1108800</v>
      </c>
      <c r="J62" s="14">
        <v>1108800</v>
      </c>
      <c r="K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62" s="22" t="s">
        <v>289</v>
      </c>
      <c r="N62" s="22">
        <f>SUMIF(C15:C4502,"Merbau Oven 500 x 4 x 35",Table1[Jumlah])</f>
        <v>7</v>
      </c>
      <c r="O62" s="22" t="str">
        <f t="shared" si="0"/>
        <v>KURANG LARIS</v>
      </c>
    </row>
    <row r="63" spans="1:15" hidden="1" x14ac:dyDescent="0.25">
      <c r="A63" s="5"/>
      <c r="B63" s="5"/>
      <c r="C63" s="5"/>
      <c r="G63" s="5"/>
      <c r="H63" s="5"/>
      <c r="I63" s="5"/>
      <c r="J63" s="14"/>
      <c r="K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63" s="22" t="s">
        <v>349</v>
      </c>
      <c r="N63" s="22">
        <f>SUMIF(C15:C4502,"Merbau Oven 500 x 4 x 40",Table1[Jumlah])</f>
        <v>1</v>
      </c>
      <c r="O63" s="22" t="str">
        <f t="shared" si="0"/>
        <v>KURANG LARIS</v>
      </c>
    </row>
    <row r="64" spans="1:15" x14ac:dyDescent="0.25">
      <c r="A64" s="5"/>
      <c r="B64" s="5" t="s">
        <v>449</v>
      </c>
      <c r="C64" s="5" t="s">
        <v>28</v>
      </c>
      <c r="D64">
        <v>260</v>
      </c>
      <c r="E64">
        <v>6</v>
      </c>
      <c r="F64">
        <v>15</v>
      </c>
      <c r="G64" s="5">
        <v>6</v>
      </c>
      <c r="H64" s="5">
        <v>0.1404</v>
      </c>
      <c r="I64" s="5">
        <v>517140</v>
      </c>
      <c r="J64" s="14">
        <v>3102840</v>
      </c>
      <c r="K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64" s="22" t="s">
        <v>24</v>
      </c>
      <c r="N64" s="22">
        <f>SUMIF(C15:C4502,"Merbau Oven 500 x 5 x 15",Table1[Jumlah])</f>
        <v>108</v>
      </c>
      <c r="O64" s="22" t="str">
        <f t="shared" si="0"/>
        <v>CUKUP LARIS</v>
      </c>
    </row>
    <row r="65" spans="1:19" hidden="1" x14ac:dyDescent="0.25">
      <c r="A65" s="5"/>
      <c r="B65" s="5"/>
      <c r="C65" s="5"/>
      <c r="G65" s="5"/>
      <c r="H65" s="5"/>
      <c r="I65" s="5"/>
      <c r="J65" s="14"/>
      <c r="K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65" s="22" t="s">
        <v>41</v>
      </c>
      <c r="N65" s="22">
        <f>SUMIF(C15:C4502,"Merbau Oven 500 x 5 x 20",Table1[Jumlah])</f>
        <v>26</v>
      </c>
      <c r="O65" s="22" t="str">
        <f t="shared" si="0"/>
        <v>KURANG LARIS</v>
      </c>
    </row>
    <row r="66" spans="1:19" hidden="1" x14ac:dyDescent="0.25">
      <c r="A66" s="5"/>
      <c r="B66" s="5"/>
      <c r="C66" s="5"/>
      <c r="G66" s="5"/>
      <c r="H66" s="5"/>
      <c r="I66" s="5"/>
      <c r="J66" s="14"/>
      <c r="K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66" s="22" t="s">
        <v>42</v>
      </c>
      <c r="N66" s="22">
        <f>SUMIF(C15:C4502,"Merbau Oven 500 x 5 x 25",Table1[Jumlah])</f>
        <v>22</v>
      </c>
      <c r="O66" s="22" t="str">
        <f t="shared" si="0"/>
        <v>KURANG LARIS</v>
      </c>
    </row>
    <row r="67" spans="1:19" x14ac:dyDescent="0.25">
      <c r="A67" s="5"/>
      <c r="B67" s="5" t="s">
        <v>450</v>
      </c>
      <c r="C67" s="5" t="s">
        <v>29</v>
      </c>
      <c r="D67">
        <v>500</v>
      </c>
      <c r="E67">
        <v>8</v>
      </c>
      <c r="F67">
        <v>15</v>
      </c>
      <c r="G67" s="5">
        <v>5</v>
      </c>
      <c r="H67" s="5">
        <v>0.3</v>
      </c>
      <c r="I67" s="5">
        <v>1392000</v>
      </c>
      <c r="J67" s="14">
        <v>6960000</v>
      </c>
      <c r="K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67" s="22" t="s">
        <v>49</v>
      </c>
      <c r="N67" s="22">
        <f>SUMIF(C15:C4502,"Merbau Oven 500 x 5 x 30",Table1[Jumlah])</f>
        <v>37</v>
      </c>
      <c r="O67" s="22" t="str">
        <f t="shared" si="0"/>
        <v>KURANG LARIS</v>
      </c>
    </row>
    <row r="68" spans="1:19" hidden="1" x14ac:dyDescent="0.25">
      <c r="A68" s="5"/>
      <c r="B68" s="5"/>
      <c r="C68" s="5"/>
      <c r="G68" s="5"/>
      <c r="H68" s="5"/>
      <c r="I68" s="5"/>
      <c r="J68" s="14"/>
      <c r="K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68" s="22" t="s">
        <v>50</v>
      </c>
      <c r="N68" s="22">
        <f>SUMIF(C15:C4502,"Merbau Oven 500 x 5 x 35",Table1[Jumlah])</f>
        <v>16</v>
      </c>
      <c r="O68" s="22" t="str">
        <f t="shared" si="0"/>
        <v>KURANG LARIS</v>
      </c>
    </row>
    <row r="69" spans="1:19" x14ac:dyDescent="0.25">
      <c r="A69" s="5"/>
      <c r="B69" s="5" t="s">
        <v>451</v>
      </c>
      <c r="C69" s="5" t="s">
        <v>30</v>
      </c>
      <c r="D69">
        <v>90</v>
      </c>
      <c r="E69">
        <v>6</v>
      </c>
      <c r="F69">
        <v>15</v>
      </c>
      <c r="G69" s="5">
        <v>3</v>
      </c>
      <c r="H69" s="5">
        <v>2.4299999999999999E-2</v>
      </c>
      <c r="I69" s="5">
        <v>167670</v>
      </c>
      <c r="J69" s="14">
        <v>503010</v>
      </c>
      <c r="K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69" s="22" t="s">
        <v>101</v>
      </c>
      <c r="N69" s="22">
        <f>SUMIF(C15:C4502,"Merbau Oven 500 x 6 x 12",Table1[Jumlah])</f>
        <v>12</v>
      </c>
      <c r="O69" s="22" t="str">
        <f t="shared" si="0"/>
        <v>KURANG LARIS</v>
      </c>
    </row>
    <row r="70" spans="1:19" hidden="1" x14ac:dyDescent="0.25">
      <c r="A70" s="5"/>
      <c r="B70" s="5"/>
      <c r="C70" s="5"/>
      <c r="G70" s="5"/>
      <c r="H70" s="5"/>
      <c r="I70" s="5"/>
      <c r="J70" s="14"/>
      <c r="K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0" s="22" t="s">
        <v>51</v>
      </c>
      <c r="N70" s="22">
        <f>SUMIF(C15:C4502,"Merbau Oven 500 x 6 x 15",Table1[Jumlah])</f>
        <v>63</v>
      </c>
      <c r="O70" s="22" t="str">
        <f t="shared" si="0"/>
        <v>KURANG LARIS</v>
      </c>
    </row>
    <row r="71" spans="1:19" hidden="1" x14ac:dyDescent="0.25">
      <c r="A71" s="5"/>
      <c r="B71" s="5"/>
      <c r="C71" s="5"/>
      <c r="G71" s="5"/>
      <c r="H71" s="5"/>
      <c r="I71" s="5"/>
      <c r="J71" s="14"/>
      <c r="K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1" s="22" t="s">
        <v>148</v>
      </c>
      <c r="N71" s="22">
        <f>SUMIF(C15:C4502,"Merbau Oven 500 x 6 x 17",Table1[Jumlah])</f>
        <v>43</v>
      </c>
      <c r="O71" s="22" t="str">
        <f t="shared" si="0"/>
        <v>KURANG LARIS</v>
      </c>
    </row>
    <row r="72" spans="1:19" x14ac:dyDescent="0.25">
      <c r="A72" s="5" t="s">
        <v>31</v>
      </c>
      <c r="B72" s="5" t="s">
        <v>452</v>
      </c>
      <c r="C72" s="5" t="s">
        <v>32</v>
      </c>
      <c r="D72">
        <v>500</v>
      </c>
      <c r="E72">
        <v>6</v>
      </c>
      <c r="F72">
        <v>17</v>
      </c>
      <c r="G72" s="5">
        <v>1</v>
      </c>
      <c r="H72" s="5">
        <v>5.0999999999999997E-2</v>
      </c>
      <c r="I72" s="5">
        <v>581400</v>
      </c>
      <c r="J72" s="14">
        <v>581400</v>
      </c>
      <c r="K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72" s="22" t="s">
        <v>118</v>
      </c>
      <c r="N72" s="22">
        <f>SUMIF(C15:C4502,"Merbau Oven 500 x 8 x 15",Table1[Jumlah])</f>
        <v>3</v>
      </c>
      <c r="O72" s="22" t="str">
        <f t="shared" si="0"/>
        <v>KURANG LARIS</v>
      </c>
    </row>
    <row r="73" spans="1:19" hidden="1" x14ac:dyDescent="0.25">
      <c r="A73" s="5"/>
      <c r="B73" s="5"/>
      <c r="C73" s="5"/>
      <c r="G73" s="5"/>
      <c r="H73" s="5"/>
      <c r="I73" s="5"/>
      <c r="J73" s="14"/>
      <c r="K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3" s="22" t="s">
        <v>25</v>
      </c>
      <c r="N73" s="22">
        <f>SUMIF(C15:C4502,"Merbau Oven 400 x 4 x 15",Table1[Jumlah])</f>
        <v>16</v>
      </c>
      <c r="O73" s="22" t="str">
        <f t="shared" si="0"/>
        <v>KURANG LARIS</v>
      </c>
    </row>
    <row r="74" spans="1:19" hidden="1" x14ac:dyDescent="0.25">
      <c r="A74" s="5"/>
      <c r="B74" s="5"/>
      <c r="C74" s="5"/>
      <c r="G74" s="5"/>
      <c r="H74" s="5"/>
      <c r="I74" s="5"/>
      <c r="J74" s="14"/>
      <c r="K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4" s="22" t="s">
        <v>166</v>
      </c>
      <c r="N74" s="22">
        <f>SUMIF(C15:C4502,"Merbau Oven 250 x 4 x 20",Table1[Jumlah])</f>
        <v>65</v>
      </c>
      <c r="O74" s="22" t="str">
        <f t="shared" si="0"/>
        <v>KURANG LARIS</v>
      </c>
    </row>
    <row r="75" spans="1:19" x14ac:dyDescent="0.25">
      <c r="A75" s="5" t="s">
        <v>33</v>
      </c>
      <c r="B75" s="5" t="s">
        <v>453</v>
      </c>
      <c r="C75" s="5" t="s">
        <v>34</v>
      </c>
      <c r="D75">
        <v>400</v>
      </c>
      <c r="E75">
        <v>5</v>
      </c>
      <c r="F75">
        <v>20</v>
      </c>
      <c r="G75" s="5">
        <v>1</v>
      </c>
      <c r="H75" s="5">
        <v>0.04</v>
      </c>
      <c r="I75" s="5">
        <v>440000</v>
      </c>
      <c r="J75" s="14">
        <v>440000</v>
      </c>
      <c r="K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75" s="22" t="s">
        <v>623</v>
      </c>
      <c r="N75" s="22">
        <f>SUMIF(C15:C4502,"Merbau Oven 250 x 4 x 30",Table1[Jumlah])</f>
        <v>28</v>
      </c>
      <c r="O75" s="22" t="str">
        <f t="shared" si="0"/>
        <v>KURANG LARIS</v>
      </c>
    </row>
    <row r="76" spans="1:19" hidden="1" x14ac:dyDescent="0.25">
      <c r="A76" s="5"/>
      <c r="B76" s="5"/>
      <c r="C76" s="5"/>
      <c r="G76" s="5"/>
      <c r="H76" s="5"/>
      <c r="I76" s="5"/>
      <c r="J76" s="14"/>
      <c r="K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6" s="22" t="s">
        <v>78</v>
      </c>
      <c r="N76" s="22">
        <f>SUMIF(C15:C4502,"Merbau Oven 300 x 4 x 20",Table1[Jumlah])</f>
        <v>13</v>
      </c>
      <c r="O76" s="22" t="str">
        <f t="shared" si="0"/>
        <v>KURANG LARIS</v>
      </c>
    </row>
    <row r="77" spans="1:19" x14ac:dyDescent="0.25">
      <c r="A77" s="5"/>
      <c r="B77" s="5" t="s">
        <v>454</v>
      </c>
      <c r="C77" s="5" t="s">
        <v>35</v>
      </c>
      <c r="D77">
        <v>400</v>
      </c>
      <c r="E77">
        <v>5</v>
      </c>
      <c r="F77">
        <v>30</v>
      </c>
      <c r="G77" s="5">
        <v>4</v>
      </c>
      <c r="H77" s="5">
        <v>0.24</v>
      </c>
      <c r="I77" s="5">
        <v>672000</v>
      </c>
      <c r="J77" s="14">
        <v>2688000</v>
      </c>
      <c r="K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77" s="22" t="s">
        <v>264</v>
      </c>
      <c r="N77" s="22">
        <f>SUMIF(C15:C4502,"Merbau Oven 260 x 4 x 20",Table1[Jumlah])</f>
        <v>12</v>
      </c>
      <c r="O77" s="22" t="str">
        <f t="shared" si="0"/>
        <v>KURANG LARIS</v>
      </c>
    </row>
    <row r="78" spans="1:19" hidden="1" x14ac:dyDescent="0.25">
      <c r="A78" s="5"/>
      <c r="B78" s="5"/>
      <c r="C78" s="5"/>
      <c r="G78" s="5"/>
      <c r="H78" s="5"/>
      <c r="I78" s="5"/>
      <c r="J78" s="14"/>
      <c r="K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8" s="22" t="s">
        <v>58</v>
      </c>
      <c r="N78" s="22">
        <f>SUMIF(C15:C4502,"Merbau Oven 300 x 5 x 30",Table1[Jumlah])</f>
        <v>3</v>
      </c>
      <c r="O78" s="22" t="str">
        <f t="shared" si="0"/>
        <v>KURANG LARIS</v>
      </c>
    </row>
    <row r="79" spans="1:19" hidden="1" x14ac:dyDescent="0.25">
      <c r="A79" s="5"/>
      <c r="B79" s="5"/>
      <c r="C79" s="5"/>
      <c r="G79" s="5"/>
      <c r="H79" s="5"/>
      <c r="I79" s="5"/>
      <c r="J79" s="14"/>
      <c r="K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79" s="22" t="s">
        <v>59</v>
      </c>
      <c r="N79" s="22">
        <f>SUMIF(C15:C4502,"Merbau Oven 300 x 5 x 25",Table1[Jumlah])</f>
        <v>2</v>
      </c>
      <c r="O79" s="22" t="str">
        <f t="shared" si="0"/>
        <v>KURANG LARIS</v>
      </c>
    </row>
    <row r="80" spans="1:19" x14ac:dyDescent="0.25">
      <c r="A80" s="5" t="s">
        <v>33</v>
      </c>
      <c r="B80" s="5" t="s">
        <v>455</v>
      </c>
      <c r="C80" s="5" t="s">
        <v>36</v>
      </c>
      <c r="D80">
        <v>400</v>
      </c>
      <c r="E80">
        <v>3</v>
      </c>
      <c r="F80">
        <v>20</v>
      </c>
      <c r="G80" s="5">
        <v>1</v>
      </c>
      <c r="H80" s="5">
        <v>2.4E-2</v>
      </c>
      <c r="I80" s="5">
        <v>256800</v>
      </c>
      <c r="J80" s="14">
        <v>256800</v>
      </c>
      <c r="K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0" s="22" t="s">
        <v>161</v>
      </c>
      <c r="N80" s="22">
        <f>SUMIF(C15:C4502,"Merbau Oven 240 x 4 x 20",Table1[Jumlah])</f>
        <v>1</v>
      </c>
      <c r="O80" s="22" t="str">
        <f t="shared" si="0"/>
        <v>KURANG LARIS</v>
      </c>
      <c r="S80">
        <v>73</v>
      </c>
    </row>
    <row r="81" spans="1:19" hidden="1" x14ac:dyDescent="0.25">
      <c r="A81" s="5"/>
      <c r="B81" s="5"/>
      <c r="C81" s="5"/>
      <c r="G81" s="5"/>
      <c r="H81" s="5"/>
      <c r="I81" s="5"/>
      <c r="J81" s="14"/>
      <c r="K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1" s="22" t="s">
        <v>202</v>
      </c>
      <c r="N81" s="22">
        <f>SUMIF(C15:C4502,"Merbau Oven 250 x 6 x 17",Table1[Jumlah])</f>
        <v>70</v>
      </c>
      <c r="O81" s="22" t="str">
        <f t="shared" si="0"/>
        <v>KURANG LARIS</v>
      </c>
    </row>
    <row r="82" spans="1:19" hidden="1" x14ac:dyDescent="0.25">
      <c r="A82" s="5"/>
      <c r="B82" s="5"/>
      <c r="C82" s="5"/>
      <c r="G82" s="5"/>
      <c r="H82" s="5"/>
      <c r="I82" s="5"/>
      <c r="J82" s="14"/>
      <c r="K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2" s="22" t="s">
        <v>290</v>
      </c>
      <c r="N82" s="22">
        <f>SUMIF(C15:C4502,"Merbau Oven 500 x 5 x 40",Table1[Jumlah])</f>
        <v>1</v>
      </c>
      <c r="O82" s="22" t="str">
        <f t="shared" si="0"/>
        <v>KURANG LARIS</v>
      </c>
    </row>
    <row r="83" spans="1:19" x14ac:dyDescent="0.25">
      <c r="A83" s="5" t="s">
        <v>33</v>
      </c>
      <c r="B83" s="5" t="s">
        <v>456</v>
      </c>
      <c r="C83" s="5" t="s">
        <v>37</v>
      </c>
      <c r="D83">
        <v>250</v>
      </c>
      <c r="E83">
        <v>4</v>
      </c>
      <c r="F83">
        <v>25</v>
      </c>
      <c r="G83" s="5">
        <v>2</v>
      </c>
      <c r="H83" s="5">
        <v>0.05</v>
      </c>
      <c r="I83" s="5">
        <v>615000</v>
      </c>
      <c r="J83" s="14">
        <v>1230000</v>
      </c>
      <c r="K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3" s="22" t="s">
        <v>363</v>
      </c>
      <c r="N83" s="22">
        <f>SUMIF(C15:C4502,"Merbau Oven 200 x 4 x 30",Table1[Jumlah])</f>
        <v>1</v>
      </c>
      <c r="O83" s="22" t="str">
        <f t="shared" ref="O83:O146" si="1">IF(N83&gt;200,"SANGAT LARIS",IF(N83&gt;100,"CUKUP LARIS","KURANG LARIS"))</f>
        <v>KURANG LARIS</v>
      </c>
      <c r="S83">
        <v>48</v>
      </c>
    </row>
    <row r="84" spans="1:19" hidden="1" x14ac:dyDescent="0.25">
      <c r="A84" s="5"/>
      <c r="B84" s="5"/>
      <c r="C84" s="5"/>
      <c r="G84" s="5"/>
      <c r="H84" s="5"/>
      <c r="I84" s="5"/>
      <c r="J84" s="14"/>
      <c r="K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4" s="22" t="s">
        <v>63</v>
      </c>
      <c r="N84" s="22">
        <f>SUMIF(C15:C4502,"Merbau Basah 100 x 6 x 15",Table1[Jumlah])</f>
        <v>105</v>
      </c>
      <c r="O84" s="22" t="str">
        <f t="shared" si="1"/>
        <v>CUKUP LARIS</v>
      </c>
    </row>
    <row r="85" spans="1:19" x14ac:dyDescent="0.25">
      <c r="A85" s="5"/>
      <c r="B85" s="5" t="s">
        <v>457</v>
      </c>
      <c r="C85" s="5" t="s">
        <v>38</v>
      </c>
      <c r="D85">
        <v>300</v>
      </c>
      <c r="E85">
        <v>4</v>
      </c>
      <c r="F85">
        <v>25</v>
      </c>
      <c r="G85" s="5">
        <v>3</v>
      </c>
      <c r="H85" s="5">
        <v>0.09</v>
      </c>
      <c r="I85" s="5">
        <v>738000</v>
      </c>
      <c r="J85" s="14">
        <v>2214000</v>
      </c>
      <c r="K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5" s="22" t="s">
        <v>167</v>
      </c>
      <c r="N85" s="22">
        <f>SUMIF(C15:C4502,"Merbau Basah 110 x 6 x 15",Table1[Jumlah])</f>
        <v>9</v>
      </c>
      <c r="O85" s="22" t="str">
        <f t="shared" si="1"/>
        <v>KURANG LARIS</v>
      </c>
    </row>
    <row r="86" spans="1:19" hidden="1" x14ac:dyDescent="0.25">
      <c r="A86" s="5"/>
      <c r="B86" s="5"/>
      <c r="C86" s="5"/>
      <c r="G86" s="5"/>
      <c r="H86" s="5"/>
      <c r="I86" s="5"/>
      <c r="J86" s="14"/>
      <c r="K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6" s="22" t="s">
        <v>182</v>
      </c>
      <c r="N86" s="22">
        <f>SUMIF(C15:C4502,"Merbau Basah 120 x 6 x 15",Table1[Jumlah])</f>
        <v>29</v>
      </c>
      <c r="O86" s="22" t="str">
        <f t="shared" si="1"/>
        <v>KURANG LARIS</v>
      </c>
    </row>
    <row r="87" spans="1:19" x14ac:dyDescent="0.25">
      <c r="A87" s="5"/>
      <c r="B87" s="5" t="s">
        <v>432</v>
      </c>
      <c r="C87" s="5" t="s">
        <v>7</v>
      </c>
      <c r="D87">
        <v>500</v>
      </c>
      <c r="E87">
        <v>3</v>
      </c>
      <c r="F87">
        <v>35</v>
      </c>
      <c r="G87" s="5">
        <v>2</v>
      </c>
      <c r="H87" s="5">
        <v>0.105</v>
      </c>
      <c r="I87" s="5">
        <v>1365000</v>
      </c>
      <c r="J87" s="14">
        <v>2730000</v>
      </c>
      <c r="K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7" s="22" t="s">
        <v>180</v>
      </c>
      <c r="N87" s="22">
        <f>SUMIF(C15:C4502,"Merbau Basah 130 x 6 x 15",Table1[Jumlah])</f>
        <v>24</v>
      </c>
      <c r="O87" s="22" t="str">
        <f t="shared" si="1"/>
        <v>KURANG LARIS</v>
      </c>
    </row>
    <row r="88" spans="1:19" hidden="1" x14ac:dyDescent="0.25">
      <c r="A88" s="5"/>
      <c r="B88" s="5"/>
      <c r="C88" s="5"/>
      <c r="G88" s="5"/>
      <c r="H88" s="5"/>
      <c r="I88" s="5"/>
      <c r="J88" s="14"/>
      <c r="K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88" s="22" t="s">
        <v>154</v>
      </c>
      <c r="N88" s="22">
        <f>SUMIF(C15:C4502,"Merbau Basah 140 x 6 x 15",Table1[Jumlah])</f>
        <v>41</v>
      </c>
      <c r="O88" s="22" t="str">
        <f t="shared" si="1"/>
        <v>KURANG LARIS</v>
      </c>
    </row>
    <row r="89" spans="1:19" x14ac:dyDescent="0.25">
      <c r="A89" s="5"/>
      <c r="B89" s="5" t="s">
        <v>458</v>
      </c>
      <c r="C89" s="5" t="s">
        <v>39</v>
      </c>
      <c r="D89">
        <v>220</v>
      </c>
      <c r="E89">
        <v>6</v>
      </c>
      <c r="F89">
        <v>15</v>
      </c>
      <c r="G89" s="5">
        <v>3</v>
      </c>
      <c r="H89" s="5">
        <v>5.9400000000000001E-2</v>
      </c>
      <c r="I89" s="5">
        <v>437580</v>
      </c>
      <c r="J89" s="14">
        <v>1312740</v>
      </c>
      <c r="K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89" s="22" t="s">
        <v>74</v>
      </c>
      <c r="N89" s="22">
        <f>SUMIF(C15:C4502,"Merbau Basah 150 x 6 x 15",Table1[Jumlah])</f>
        <v>73</v>
      </c>
      <c r="O89" s="22" t="str">
        <f t="shared" si="1"/>
        <v>KURANG LARIS</v>
      </c>
    </row>
    <row r="90" spans="1:19" hidden="1" x14ac:dyDescent="0.25">
      <c r="A90" s="5"/>
      <c r="B90" s="5"/>
      <c r="C90" s="5"/>
      <c r="G90" s="5"/>
      <c r="H90" s="5"/>
      <c r="I90" s="5"/>
      <c r="J90" s="14"/>
      <c r="K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0" s="22" t="s">
        <v>147</v>
      </c>
      <c r="N90" s="22">
        <f>SUMIF(C15:C4502,"Merbau Basah 160 x 6 x 15",Table1[Jumlah])</f>
        <v>13</v>
      </c>
      <c r="O90" s="22" t="str">
        <f t="shared" si="1"/>
        <v>KURANG LARIS</v>
      </c>
    </row>
    <row r="91" spans="1:19" x14ac:dyDescent="0.25">
      <c r="A91" s="5"/>
      <c r="B91" s="5" t="s">
        <v>459</v>
      </c>
      <c r="C91" s="5" t="s">
        <v>40</v>
      </c>
      <c r="D91">
        <v>270</v>
      </c>
      <c r="E91">
        <v>6</v>
      </c>
      <c r="F91">
        <v>15</v>
      </c>
      <c r="G91" s="5">
        <v>1</v>
      </c>
      <c r="H91" s="5">
        <v>2.4299999999999999E-2</v>
      </c>
      <c r="I91" s="5">
        <v>537030</v>
      </c>
      <c r="J91" s="14">
        <v>537030</v>
      </c>
      <c r="K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91" s="22" t="s">
        <v>155</v>
      </c>
      <c r="N91" s="22">
        <f>SUMIF(C15:C4502,"Merbau Basah 170 x 6 x 15",Table1[Jumlah])</f>
        <v>23</v>
      </c>
      <c r="O91" s="22" t="str">
        <f t="shared" si="1"/>
        <v>KURANG LARIS</v>
      </c>
    </row>
    <row r="92" spans="1:19" hidden="1" x14ac:dyDescent="0.25">
      <c r="A92" s="5"/>
      <c r="B92" s="5"/>
      <c r="C92" s="5"/>
      <c r="G92" s="5"/>
      <c r="H92" s="5"/>
      <c r="I92" s="5"/>
      <c r="J92" s="14"/>
      <c r="K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2" s="22" t="s">
        <v>64</v>
      </c>
      <c r="N92" s="22">
        <f>SUMIF(C15:C4502,"Merbau Basah 180 x 6 x 15",Table1[Jumlah])</f>
        <v>54</v>
      </c>
      <c r="O92" s="22" t="str">
        <f t="shared" si="1"/>
        <v>KURANG LARIS</v>
      </c>
    </row>
    <row r="93" spans="1:19" hidden="1" x14ac:dyDescent="0.25">
      <c r="A93" s="5"/>
      <c r="B93" s="5"/>
      <c r="C93" s="5"/>
      <c r="G93" s="5"/>
      <c r="H93" s="5"/>
      <c r="I93" s="5"/>
      <c r="J93" s="14"/>
      <c r="K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3" s="22" t="s">
        <v>257</v>
      </c>
      <c r="N93" s="22">
        <f>SUMIF(C15:C4502,"Merbau Basah 190 x 6 x 15",Table1[Jumlah])</f>
        <v>5</v>
      </c>
      <c r="O93" s="22" t="str">
        <f t="shared" si="1"/>
        <v>KURANG LARIS</v>
      </c>
    </row>
    <row r="94" spans="1:19" x14ac:dyDescent="0.25">
      <c r="A94" s="5" t="s">
        <v>33</v>
      </c>
      <c r="B94" s="5" t="s">
        <v>460</v>
      </c>
      <c r="C94" s="5" t="s">
        <v>41</v>
      </c>
      <c r="D94">
        <v>500</v>
      </c>
      <c r="E94">
        <v>5</v>
      </c>
      <c r="F94">
        <v>20</v>
      </c>
      <c r="G94" s="5">
        <v>10</v>
      </c>
      <c r="H94" s="5">
        <v>0.5</v>
      </c>
      <c r="I94" s="5">
        <v>1260000</v>
      </c>
      <c r="J94" s="14">
        <v>12600000</v>
      </c>
      <c r="K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94" s="22" t="s">
        <v>131</v>
      </c>
      <c r="N94" s="22">
        <f>SUMIF(C15:C4502,"Merbau Basah 200 x 6 x 15",Table1[Jumlah])</f>
        <v>75</v>
      </c>
      <c r="O94" s="22" t="str">
        <f t="shared" si="1"/>
        <v>KURANG LARIS</v>
      </c>
    </row>
    <row r="95" spans="1:19" hidden="1" x14ac:dyDescent="0.25">
      <c r="A95" s="5"/>
      <c r="B95" s="5"/>
      <c r="C95" s="5"/>
      <c r="G95" s="5"/>
      <c r="H95" s="5"/>
      <c r="I95" s="5"/>
      <c r="J95" s="14"/>
      <c r="K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5" s="22" t="s">
        <v>95</v>
      </c>
      <c r="N95" s="22">
        <f>SUMIF(C15:C4502,"Merbau Basah 210 x 6 x 15",Table1[Jumlah])</f>
        <v>34</v>
      </c>
      <c r="O95" s="22" t="str">
        <f t="shared" si="1"/>
        <v>KURANG LARIS</v>
      </c>
    </row>
    <row r="96" spans="1:19" x14ac:dyDescent="0.25">
      <c r="A96" s="5"/>
      <c r="B96" s="5" t="s">
        <v>461</v>
      </c>
      <c r="C96" s="5" t="s">
        <v>42</v>
      </c>
      <c r="D96">
        <v>500</v>
      </c>
      <c r="E96">
        <v>5</v>
      </c>
      <c r="F96">
        <v>25</v>
      </c>
      <c r="G96" s="5">
        <v>4</v>
      </c>
      <c r="H96" s="5">
        <v>0.25</v>
      </c>
      <c r="I96" s="5">
        <v>1575000</v>
      </c>
      <c r="J96" s="14">
        <v>6300000</v>
      </c>
      <c r="K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96" s="22" t="s">
        <v>39</v>
      </c>
      <c r="N96" s="22">
        <f>SUMIF(C15:C4502,"Merbau Basah 220 x 6 x 15",Table1[Jumlah])</f>
        <v>48</v>
      </c>
      <c r="O96" s="22" t="str">
        <f t="shared" si="1"/>
        <v>KURANG LARIS</v>
      </c>
    </row>
    <row r="97" spans="1:15" hidden="1" x14ac:dyDescent="0.25">
      <c r="A97" s="5"/>
      <c r="B97" s="5"/>
      <c r="C97" s="5"/>
      <c r="G97" s="5"/>
      <c r="H97" s="5"/>
      <c r="I97" s="5"/>
      <c r="J97" s="14"/>
      <c r="K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7" s="22" t="s">
        <v>19</v>
      </c>
      <c r="N97" s="22">
        <f>SUMIF(C15:C4502,"Merbau Basah 230 x 6 x 15",Table1[Jumlah])</f>
        <v>66</v>
      </c>
      <c r="O97" s="22" t="str">
        <f t="shared" si="1"/>
        <v>KURANG LARIS</v>
      </c>
    </row>
    <row r="98" spans="1:15" hidden="1" x14ac:dyDescent="0.25">
      <c r="A98" s="5"/>
      <c r="B98" s="5"/>
      <c r="C98" s="5"/>
      <c r="G98" s="5"/>
      <c r="H98" s="5"/>
      <c r="I98" s="5"/>
      <c r="J98" s="14"/>
      <c r="K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8" s="22" t="s">
        <v>65</v>
      </c>
      <c r="N98" s="22">
        <f>SUMIF(C15:C4502,"Merbau Basah 240 x 6 x 15",Table1[Jumlah])</f>
        <v>50</v>
      </c>
      <c r="O98" s="22" t="str">
        <f t="shared" si="1"/>
        <v>KURANG LARIS</v>
      </c>
    </row>
    <row r="99" spans="1:15" x14ac:dyDescent="0.25">
      <c r="A99" s="5" t="s">
        <v>43</v>
      </c>
      <c r="B99" s="5" t="s">
        <v>455</v>
      </c>
      <c r="C99" s="5" t="s">
        <v>36</v>
      </c>
      <c r="D99">
        <v>400</v>
      </c>
      <c r="E99">
        <v>3</v>
      </c>
      <c r="F99">
        <v>20</v>
      </c>
      <c r="G99" s="5">
        <v>1</v>
      </c>
      <c r="H99" s="5">
        <v>2.4E-2</v>
      </c>
      <c r="I99" s="5">
        <v>262800</v>
      </c>
      <c r="J99" s="14">
        <v>262800</v>
      </c>
      <c r="K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99" s="22" t="s">
        <v>96</v>
      </c>
      <c r="N99" s="22">
        <f>SUMIF(C15:C4502,"Merbau Basah 250 x 6 x 15",Table1[Jumlah])</f>
        <v>88</v>
      </c>
      <c r="O99" s="22" t="str">
        <f t="shared" si="1"/>
        <v>KURANG LARIS</v>
      </c>
    </row>
    <row r="100" spans="1:15" hidden="1" x14ac:dyDescent="0.25">
      <c r="A100" s="5"/>
      <c r="B100" s="5"/>
      <c r="C100" s="5"/>
      <c r="G100" s="5"/>
      <c r="H100" s="5"/>
      <c r="I100" s="5"/>
      <c r="J100" s="14"/>
      <c r="K1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0" s="22" t="s">
        <v>28</v>
      </c>
      <c r="N100" s="22">
        <f>SUMIF(C15:C4502,"Merbau Basah 260 x 6 x 15",Table1[Jumlah])</f>
        <v>55</v>
      </c>
      <c r="O100" s="22" t="str">
        <f t="shared" si="1"/>
        <v>KURANG LARIS</v>
      </c>
    </row>
    <row r="101" spans="1:15" x14ac:dyDescent="0.25">
      <c r="A101" s="5"/>
      <c r="B101" s="5" t="s">
        <v>443</v>
      </c>
      <c r="C101" s="5" t="s">
        <v>21</v>
      </c>
      <c r="D101">
        <v>400</v>
      </c>
      <c r="E101">
        <v>4</v>
      </c>
      <c r="F101">
        <v>25</v>
      </c>
      <c r="G101" s="5">
        <v>10</v>
      </c>
      <c r="H101" s="5">
        <v>0.4</v>
      </c>
      <c r="I101" s="5">
        <v>442000</v>
      </c>
      <c r="J101" s="14">
        <v>4420000</v>
      </c>
      <c r="K1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1" s="22" t="s">
        <v>40</v>
      </c>
      <c r="N101" s="22">
        <f>SUMIF(C15:C4502,"Merbau Basah 270 x 6 x 15",Table1[Jumlah])</f>
        <v>27</v>
      </c>
      <c r="O101" s="22" t="str">
        <f t="shared" si="1"/>
        <v>KURANG LARIS</v>
      </c>
    </row>
    <row r="102" spans="1:15" hidden="1" x14ac:dyDescent="0.25">
      <c r="A102" s="5"/>
      <c r="B102" s="5"/>
      <c r="C102" s="5"/>
      <c r="G102" s="5"/>
      <c r="H102" s="5"/>
      <c r="I102" s="5"/>
      <c r="J102" s="14"/>
      <c r="K1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2" s="22" t="s">
        <v>150</v>
      </c>
      <c r="N102" s="22">
        <f>SUMIF(C15:C4502,"Merbau Basah 280 x 6 x 15",Table1[Jumlah])</f>
        <v>28</v>
      </c>
      <c r="O102" s="22" t="str">
        <f t="shared" si="1"/>
        <v>KURANG LARIS</v>
      </c>
    </row>
    <row r="103" spans="1:15" hidden="1" x14ac:dyDescent="0.25">
      <c r="A103" s="5"/>
      <c r="B103" s="5"/>
      <c r="C103" s="5"/>
      <c r="G103" s="5"/>
      <c r="H103" s="5"/>
      <c r="I103" s="5"/>
      <c r="J103" s="14"/>
      <c r="K1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3" s="22" t="s">
        <v>183</v>
      </c>
      <c r="N103" s="22">
        <f>SUMIF(C15:C4502,"Merbau Basah 290 x 6 x 15",Table1[Jumlah])</f>
        <v>10</v>
      </c>
      <c r="O103" s="22" t="str">
        <f t="shared" si="1"/>
        <v>KURANG LARIS</v>
      </c>
    </row>
    <row r="104" spans="1:15" x14ac:dyDescent="0.25">
      <c r="A104" s="5" t="s">
        <v>43</v>
      </c>
      <c r="B104" s="5" t="s">
        <v>462</v>
      </c>
      <c r="C104" s="5" t="s">
        <v>44</v>
      </c>
      <c r="D104">
        <v>400</v>
      </c>
      <c r="E104">
        <v>6</v>
      </c>
      <c r="F104">
        <v>15</v>
      </c>
      <c r="G104" s="5">
        <v>4</v>
      </c>
      <c r="H104" s="5">
        <v>0.14399999999999999</v>
      </c>
      <c r="I104" s="5">
        <v>244800</v>
      </c>
      <c r="J104" s="14">
        <v>979200</v>
      </c>
      <c r="K1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04" s="22" t="s">
        <v>266</v>
      </c>
      <c r="N104" s="22">
        <f>SUMIF(C15:C4502,"Merbau Basah 300 x 5 x 15",Table1[Jumlah])</f>
        <v>1</v>
      </c>
      <c r="O104" s="22" t="str">
        <f t="shared" si="1"/>
        <v>KURANG LARIS</v>
      </c>
    </row>
    <row r="105" spans="1:15" hidden="1" x14ac:dyDescent="0.25">
      <c r="A105" s="5"/>
      <c r="B105" s="5"/>
      <c r="C105" s="5"/>
      <c r="G105" s="5"/>
      <c r="H105" s="5"/>
      <c r="I105" s="5"/>
      <c r="J105" s="14"/>
      <c r="K1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5" s="22" t="s">
        <v>94</v>
      </c>
      <c r="N105" s="22">
        <f>SUMIF(C15:C4502,"Merbau Basah 300 x 6 x 15",Table1[Jumlah])</f>
        <v>37</v>
      </c>
      <c r="O105" s="22" t="str">
        <f t="shared" si="1"/>
        <v>KURANG LARIS</v>
      </c>
    </row>
    <row r="106" spans="1:15" hidden="1" x14ac:dyDescent="0.25">
      <c r="A106" s="5"/>
      <c r="B106" s="5"/>
      <c r="C106" s="5"/>
      <c r="G106" s="5"/>
      <c r="H106" s="5"/>
      <c r="I106" s="5"/>
      <c r="J106" s="14"/>
      <c r="K1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6" s="22" t="s">
        <v>267</v>
      </c>
      <c r="N106" s="22">
        <f>SUMIF(C15:C4502,"Merbau Basah 350 x 5 x 15",Table1[Jumlah])</f>
        <v>4</v>
      </c>
      <c r="O106" s="22" t="str">
        <f t="shared" si="1"/>
        <v>KURANG LARIS</v>
      </c>
    </row>
    <row r="107" spans="1:15" x14ac:dyDescent="0.25">
      <c r="A107" s="5" t="s">
        <v>43</v>
      </c>
      <c r="B107" s="5" t="s">
        <v>439</v>
      </c>
      <c r="C107" s="5" t="s">
        <v>16</v>
      </c>
      <c r="D107">
        <v>400</v>
      </c>
      <c r="E107">
        <v>3</v>
      </c>
      <c r="F107">
        <v>30</v>
      </c>
      <c r="G107" s="5">
        <v>1</v>
      </c>
      <c r="H107" s="5">
        <v>3.5999999999999997E-2</v>
      </c>
      <c r="I107" s="5">
        <v>396000</v>
      </c>
      <c r="J107" s="14">
        <v>396000</v>
      </c>
      <c r="K1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7" s="22" t="s">
        <v>318</v>
      </c>
      <c r="N107" s="22">
        <f>SUMIF(C15:C4502,"Merbau Basah 350 x 6 x 15",Table1[Jumlah])</f>
        <v>3</v>
      </c>
      <c r="O107" s="22" t="str">
        <f t="shared" si="1"/>
        <v>KURANG LARIS</v>
      </c>
    </row>
    <row r="108" spans="1:15" hidden="1" x14ac:dyDescent="0.25">
      <c r="A108" s="5"/>
      <c r="B108" s="5"/>
      <c r="C108" s="5"/>
      <c r="G108" s="5"/>
      <c r="H108" s="5"/>
      <c r="I108" s="5"/>
      <c r="J108" s="14"/>
      <c r="K1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8" s="22" t="s">
        <v>336</v>
      </c>
      <c r="N108" s="22">
        <f>SUMIF(C15:C4502,"Merbau Basah 400 x 12 x 12",Table1[Jumlah])</f>
        <v>12</v>
      </c>
      <c r="O108" s="22" t="str">
        <f t="shared" si="1"/>
        <v>KURANG LARIS</v>
      </c>
    </row>
    <row r="109" spans="1:15" x14ac:dyDescent="0.25">
      <c r="A109" s="5"/>
      <c r="B109" s="5" t="s">
        <v>434</v>
      </c>
      <c r="C109" s="5" t="s">
        <v>10</v>
      </c>
      <c r="D109">
        <v>400</v>
      </c>
      <c r="E109">
        <v>4</v>
      </c>
      <c r="F109">
        <v>30</v>
      </c>
      <c r="G109" s="5">
        <v>1</v>
      </c>
      <c r="H109" s="5">
        <v>4.8000000000000001E-2</v>
      </c>
      <c r="I109" s="5">
        <v>528000</v>
      </c>
      <c r="J109" s="14">
        <v>528000</v>
      </c>
      <c r="K1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09" s="22" t="s">
        <v>117</v>
      </c>
      <c r="N109" s="22">
        <f>SUMIF(C15:C4502,"Merbau Basah 400 x 12 x 40",Table1[Jumlah])</f>
        <v>1</v>
      </c>
      <c r="O109" s="22" t="str">
        <f t="shared" si="1"/>
        <v>KURANG LARIS</v>
      </c>
    </row>
    <row r="110" spans="1:15" hidden="1" x14ac:dyDescent="0.25">
      <c r="A110" s="5"/>
      <c r="B110" s="5"/>
      <c r="C110" s="5"/>
      <c r="G110" s="5"/>
      <c r="H110" s="5"/>
      <c r="I110" s="5"/>
      <c r="J110" s="14"/>
      <c r="K1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0" s="22" t="s">
        <v>231</v>
      </c>
      <c r="N110" s="22">
        <f>SUMIF(C15:C4502,"Merbau Basah 400 x 15 x 15",Table1[Jumlah])</f>
        <v>5</v>
      </c>
      <c r="O110" s="22" t="str">
        <f t="shared" si="1"/>
        <v>KURANG LARIS</v>
      </c>
    </row>
    <row r="111" spans="1:15" x14ac:dyDescent="0.25">
      <c r="A111" s="5"/>
      <c r="B111" s="5" t="s">
        <v>463</v>
      </c>
      <c r="C111" s="5" t="s">
        <v>45</v>
      </c>
      <c r="D111">
        <v>500</v>
      </c>
      <c r="E111">
        <v>4</v>
      </c>
      <c r="F111">
        <v>30</v>
      </c>
      <c r="G111" s="5">
        <v>2</v>
      </c>
      <c r="H111" s="5">
        <v>0.12</v>
      </c>
      <c r="I111" s="5">
        <v>660000</v>
      </c>
      <c r="J111" s="14">
        <v>1320000</v>
      </c>
      <c r="K1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1" s="22" t="s">
        <v>425</v>
      </c>
      <c r="N111" s="22">
        <f>SUMIF(C15:C4502,"Merbau Basah 400 x 15 x 40",Table1[Jumlah])</f>
        <v>1</v>
      </c>
      <c r="O111" s="22" t="str">
        <f t="shared" si="1"/>
        <v>KURANG LARIS</v>
      </c>
    </row>
    <row r="112" spans="1:15" hidden="1" x14ac:dyDescent="0.25">
      <c r="A112" s="5"/>
      <c r="B112" s="5"/>
      <c r="C112" s="5"/>
      <c r="G112" s="5"/>
      <c r="H112" s="5"/>
      <c r="I112" s="5"/>
      <c r="J112" s="14"/>
      <c r="K1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2" s="22" t="s">
        <v>69</v>
      </c>
      <c r="N112" s="22">
        <f>SUMIF(C15:C4502,"Merbau Basah 400 x 2 x 20",Table1[Jumlah])</f>
        <v>83</v>
      </c>
      <c r="O112" s="22" t="str">
        <f t="shared" si="1"/>
        <v>KURANG LARIS</v>
      </c>
    </row>
    <row r="113" spans="1:15" hidden="1" x14ac:dyDescent="0.25">
      <c r="A113" s="5"/>
      <c r="B113" s="5"/>
      <c r="C113" s="5"/>
      <c r="G113" s="5"/>
      <c r="H113" s="5"/>
      <c r="I113" s="5"/>
      <c r="J113" s="14"/>
      <c r="K1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3" s="22" t="s">
        <v>207</v>
      </c>
      <c r="N113" s="22">
        <f>SUMIF(C15:C4502,"Merbau Basah 400 x 2 x 25",Table1[Jumlah])</f>
        <v>21</v>
      </c>
      <c r="O113" s="22" t="str">
        <f t="shared" si="1"/>
        <v>KURANG LARIS</v>
      </c>
    </row>
    <row r="114" spans="1:15" x14ac:dyDescent="0.25">
      <c r="A114" s="5" t="s">
        <v>43</v>
      </c>
      <c r="B114" s="5" t="s">
        <v>464</v>
      </c>
      <c r="C114" s="5" t="s">
        <v>46</v>
      </c>
      <c r="D114">
        <v>400</v>
      </c>
      <c r="E114">
        <v>5</v>
      </c>
      <c r="F114">
        <v>25</v>
      </c>
      <c r="G114" s="5">
        <v>5</v>
      </c>
      <c r="H114" s="5">
        <v>0.25</v>
      </c>
      <c r="I114" s="5">
        <v>1235000</v>
      </c>
      <c r="J114" s="14">
        <v>6175000</v>
      </c>
      <c r="K1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14" s="22" t="s">
        <v>304</v>
      </c>
      <c r="N114" s="22">
        <f>SUMIF(C15:C4502,"Merbau Basah 400 x 2 x 30",Table1[Jumlah])</f>
        <v>35</v>
      </c>
      <c r="O114" s="22" t="str">
        <f t="shared" si="1"/>
        <v>KURANG LARIS</v>
      </c>
    </row>
    <row r="115" spans="1:15" hidden="1" x14ac:dyDescent="0.25">
      <c r="A115" s="5"/>
      <c r="B115" s="5"/>
      <c r="C115" s="5"/>
      <c r="G115" s="5"/>
      <c r="H115" s="5"/>
      <c r="I115" s="5"/>
      <c r="J115" s="14"/>
      <c r="K1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5" s="22" t="s">
        <v>269</v>
      </c>
      <c r="N115" s="22">
        <f>SUMIF(C15:C4502,"Merbau Basah 400 x 3 x 25",Table1[Jumlah])</f>
        <v>3</v>
      </c>
      <c r="O115" s="22" t="str">
        <f t="shared" si="1"/>
        <v>KURANG LARIS</v>
      </c>
    </row>
    <row r="116" spans="1:15" x14ac:dyDescent="0.25">
      <c r="A116" s="5"/>
      <c r="B116" s="5" t="s">
        <v>460</v>
      </c>
      <c r="C116" s="5" t="s">
        <v>41</v>
      </c>
      <c r="D116">
        <v>500</v>
      </c>
      <c r="E116">
        <v>5</v>
      </c>
      <c r="F116">
        <v>20</v>
      </c>
      <c r="G116" s="5">
        <v>5</v>
      </c>
      <c r="H116" s="5">
        <v>0.25</v>
      </c>
      <c r="I116" s="5">
        <v>1260000</v>
      </c>
      <c r="J116" s="14">
        <v>6300000</v>
      </c>
      <c r="K1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16" s="22" t="s">
        <v>270</v>
      </c>
      <c r="N116" s="22">
        <f>SUMIF(C15:C4502,"Merbau Basah 400 x 4 x 25",Table1[Jumlah])</f>
        <v>7</v>
      </c>
      <c r="O116" s="22" t="str">
        <f t="shared" si="1"/>
        <v>KURANG LARIS</v>
      </c>
    </row>
    <row r="117" spans="1:15" hidden="1" x14ac:dyDescent="0.25">
      <c r="A117" s="5"/>
      <c r="B117" s="5"/>
      <c r="C117" s="5"/>
      <c r="G117" s="5"/>
      <c r="H117" s="5"/>
      <c r="I117" s="5"/>
      <c r="J117" s="14"/>
      <c r="K1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7" s="22" t="s">
        <v>189</v>
      </c>
      <c r="N117" s="22">
        <f>SUMIF(C15:C4502,"Merbau Basah 400 x 4 x 6",Table1[Jumlah])</f>
        <v>4</v>
      </c>
      <c r="O117" s="22" t="str">
        <f t="shared" si="1"/>
        <v>KURANG LARIS</v>
      </c>
    </row>
    <row r="118" spans="1:15" hidden="1" x14ac:dyDescent="0.25">
      <c r="A118" s="5"/>
      <c r="B118" s="5"/>
      <c r="C118" s="5"/>
      <c r="G118" s="5"/>
      <c r="H118" s="5"/>
      <c r="I118" s="5"/>
      <c r="J118" s="14"/>
      <c r="K1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8" s="22" t="s">
        <v>123</v>
      </c>
      <c r="N118" s="22">
        <f>SUMIF(C15:C4502,"Merbau Basah 400 x 5 x 10",Table1[Jumlah])</f>
        <v>25</v>
      </c>
      <c r="O118" s="22" t="str">
        <f t="shared" si="1"/>
        <v>KURANG LARIS</v>
      </c>
    </row>
    <row r="119" spans="1:15" x14ac:dyDescent="0.25">
      <c r="A119" s="5" t="s">
        <v>43</v>
      </c>
      <c r="B119" s="5" t="s">
        <v>456</v>
      </c>
      <c r="C119" s="5" t="s">
        <v>37</v>
      </c>
      <c r="D119">
        <v>250</v>
      </c>
      <c r="E119">
        <v>4</v>
      </c>
      <c r="F119">
        <v>25</v>
      </c>
      <c r="G119" s="5">
        <v>1</v>
      </c>
      <c r="H119" s="5">
        <v>2.5000000000000001E-2</v>
      </c>
      <c r="I119" s="5">
        <v>615000</v>
      </c>
      <c r="J119" s="14">
        <v>615000</v>
      </c>
      <c r="K1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19" s="22" t="s">
        <v>158</v>
      </c>
      <c r="N119" s="22">
        <f>SUMIF(C15:C4502,"Merbau Basah 400 x 5 x 12",Table1[Jumlah])</f>
        <v>3</v>
      </c>
      <c r="O119" s="22" t="str">
        <f t="shared" si="1"/>
        <v>KURANG LARIS</v>
      </c>
    </row>
    <row r="120" spans="1:15" hidden="1" x14ac:dyDescent="0.25">
      <c r="A120" s="5"/>
      <c r="B120" s="5"/>
      <c r="C120" s="5"/>
      <c r="G120" s="5"/>
      <c r="H120" s="5"/>
      <c r="I120" s="5"/>
      <c r="J120" s="14"/>
      <c r="K1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20" s="22" t="s">
        <v>109</v>
      </c>
      <c r="N120" s="22">
        <f>SUMIF(C15:C4502,"Merbau Basah 400 x 5 x 7",Table1[Jumlah])</f>
        <v>18</v>
      </c>
      <c r="O120" s="22" t="str">
        <f t="shared" si="1"/>
        <v>KURANG LARIS</v>
      </c>
    </row>
    <row r="121" spans="1:15" x14ac:dyDescent="0.25">
      <c r="A121" s="5"/>
      <c r="B121" s="5" t="s">
        <v>449</v>
      </c>
      <c r="C121" s="5" t="s">
        <v>28</v>
      </c>
      <c r="D121">
        <v>260</v>
      </c>
      <c r="E121">
        <v>6</v>
      </c>
      <c r="F121">
        <v>15</v>
      </c>
      <c r="G121" s="5">
        <v>1</v>
      </c>
      <c r="H121" s="5">
        <v>2.3400000000000001E-2</v>
      </c>
      <c r="I121" s="5">
        <v>517140</v>
      </c>
      <c r="J121" s="14">
        <v>517140</v>
      </c>
      <c r="K1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21" s="22" t="s">
        <v>70</v>
      </c>
      <c r="N121" s="22">
        <f>SUMIF(C15:C4502,"Merbau Basah 450 x 2 x 20",Table1[Jumlah])</f>
        <v>36</v>
      </c>
      <c r="O121" s="22" t="str">
        <f t="shared" si="1"/>
        <v>KURANG LARIS</v>
      </c>
    </row>
    <row r="122" spans="1:15" hidden="1" x14ac:dyDescent="0.25">
      <c r="A122" s="5"/>
      <c r="B122" s="5"/>
      <c r="C122" s="5"/>
      <c r="G122" s="5"/>
      <c r="H122" s="5"/>
      <c r="I122" s="5"/>
      <c r="J122" s="14"/>
      <c r="K1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22" s="22" t="s">
        <v>345</v>
      </c>
      <c r="N122" s="22">
        <f>SUMIF(C15:C4502,"Merbau Basah 450 x 6 x 15",Table1[Jumlah])</f>
        <v>9</v>
      </c>
      <c r="O122" s="22" t="str">
        <f t="shared" si="1"/>
        <v>KURANG LARIS</v>
      </c>
    </row>
    <row r="123" spans="1:15" hidden="1" x14ac:dyDescent="0.25">
      <c r="A123" s="5"/>
      <c r="B123" s="5"/>
      <c r="C123" s="5"/>
      <c r="G123" s="5"/>
      <c r="H123" s="5"/>
      <c r="I123" s="5"/>
      <c r="J123" s="14"/>
      <c r="K1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23" s="22" t="s">
        <v>287</v>
      </c>
      <c r="N123" s="22">
        <f>SUMIF(C15:C4502,"Merbau Basah 500 x 2 x 20",Table1[Jumlah])</f>
        <v>10</v>
      </c>
      <c r="O123" s="22" t="str">
        <f t="shared" si="1"/>
        <v>KURANG LARIS</v>
      </c>
    </row>
    <row r="124" spans="1:15" x14ac:dyDescent="0.25">
      <c r="A124" s="5" t="s">
        <v>47</v>
      </c>
      <c r="B124" s="5" t="s">
        <v>465</v>
      </c>
      <c r="C124" s="5" t="s">
        <v>48</v>
      </c>
      <c r="D124">
        <v>400</v>
      </c>
      <c r="E124">
        <v>5</v>
      </c>
      <c r="F124">
        <v>35</v>
      </c>
      <c r="G124" s="5">
        <v>6</v>
      </c>
      <c r="H124" s="5">
        <v>0.42</v>
      </c>
      <c r="I124" s="5">
        <v>1855000</v>
      </c>
      <c r="J124" s="14">
        <v>11130000</v>
      </c>
      <c r="K1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24" s="22" t="s">
        <v>412</v>
      </c>
      <c r="N124" s="22">
        <f>SUMIF(C15:C4502,"Merbau Basah 500 x 20 x 20",Table1[Jumlah])</f>
        <v>1</v>
      </c>
      <c r="O124" s="22" t="str">
        <f t="shared" si="1"/>
        <v>KURANG LARIS</v>
      </c>
    </row>
    <row r="125" spans="1:15" hidden="1" x14ac:dyDescent="0.25">
      <c r="A125" s="5"/>
      <c r="B125" s="5"/>
      <c r="C125" s="5"/>
      <c r="G125" s="5"/>
      <c r="H125" s="5"/>
      <c r="I125" s="5"/>
      <c r="J125" s="14"/>
      <c r="K1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25" s="22" t="s">
        <v>221</v>
      </c>
      <c r="N125" s="22">
        <f>SUMIF(C15:C4502,"Merbau Basah 500 x 4 x 20",Table1[Jumlah])</f>
        <v>1</v>
      </c>
      <c r="O125" s="22" t="str">
        <f t="shared" si="1"/>
        <v>KURANG LARIS</v>
      </c>
    </row>
    <row r="126" spans="1:15" x14ac:dyDescent="0.25">
      <c r="A126" s="5"/>
      <c r="B126" s="5" t="s">
        <v>466</v>
      </c>
      <c r="C126" s="5" t="s">
        <v>49</v>
      </c>
      <c r="D126">
        <v>500</v>
      </c>
      <c r="E126">
        <v>5</v>
      </c>
      <c r="F126">
        <v>30</v>
      </c>
      <c r="G126" s="5">
        <v>10</v>
      </c>
      <c r="H126" s="5">
        <v>0.75</v>
      </c>
      <c r="I126" s="5">
        <v>1920000</v>
      </c>
      <c r="J126" s="14">
        <v>19200000</v>
      </c>
      <c r="K1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26" s="22" t="s">
        <v>138</v>
      </c>
      <c r="N126" s="22">
        <f>SUMIF(C15:C4502,"Merbau Basah 500 x 4 x 30",Table1[Jumlah])</f>
        <v>4</v>
      </c>
      <c r="O126" s="22" t="str">
        <f t="shared" si="1"/>
        <v>KURANG LARIS</v>
      </c>
    </row>
    <row r="127" spans="1:15" hidden="1" x14ac:dyDescent="0.25">
      <c r="A127" s="5"/>
      <c r="B127" s="5"/>
      <c r="C127" s="5"/>
      <c r="G127" s="5"/>
      <c r="H127" s="5"/>
      <c r="I127" s="5"/>
      <c r="J127" s="14"/>
      <c r="K1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27" s="22" t="s">
        <v>344</v>
      </c>
      <c r="N127" s="22">
        <f>SUMIF(C15:C4502,"Merbau Basah 500 x 4 x 70",Table1[Jumlah])</f>
        <v>1</v>
      </c>
      <c r="O127" s="22" t="str">
        <f t="shared" si="1"/>
        <v>KURANG LARIS</v>
      </c>
    </row>
    <row r="128" spans="1:15" x14ac:dyDescent="0.25">
      <c r="A128" s="5"/>
      <c r="B128" s="5" t="s">
        <v>467</v>
      </c>
      <c r="C128" s="5" t="s">
        <v>50</v>
      </c>
      <c r="D128">
        <v>500</v>
      </c>
      <c r="E128">
        <v>5</v>
      </c>
      <c r="F128">
        <v>35</v>
      </c>
      <c r="G128" s="5">
        <v>12</v>
      </c>
      <c r="H128" s="5">
        <v>1.05</v>
      </c>
      <c r="I128" s="5">
        <v>2362500</v>
      </c>
      <c r="J128" s="14">
        <v>28350000</v>
      </c>
      <c r="K1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28" s="22" t="s">
        <v>60</v>
      </c>
      <c r="N128" s="22">
        <f>SUMIF(C15:C4502,"Merbau Basah 500 x 5 x 20",Table1[Jumlah])</f>
        <v>2</v>
      </c>
      <c r="O128" s="22" t="str">
        <f t="shared" si="1"/>
        <v>KURANG LARIS</v>
      </c>
    </row>
    <row r="129" spans="1:15" hidden="1" x14ac:dyDescent="0.25">
      <c r="A129" s="5"/>
      <c r="B129" s="5"/>
      <c r="C129" s="5"/>
      <c r="G129" s="5"/>
      <c r="H129" s="5"/>
      <c r="I129" s="5"/>
      <c r="J129" s="14"/>
      <c r="K1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29" s="22" t="s">
        <v>29</v>
      </c>
      <c r="N129" s="22">
        <f>SUMIF(C15:C4502,"Merbau Basah 500 x 8 x 15",Table1[Jumlah])</f>
        <v>7</v>
      </c>
      <c r="O129" s="22" t="str">
        <f t="shared" si="1"/>
        <v>KURANG LARIS</v>
      </c>
    </row>
    <row r="130" spans="1:15" x14ac:dyDescent="0.25">
      <c r="A130" s="5"/>
      <c r="B130" s="5" t="s">
        <v>468</v>
      </c>
      <c r="C130" s="5" t="s">
        <v>51</v>
      </c>
      <c r="D130">
        <v>500</v>
      </c>
      <c r="E130">
        <v>6</v>
      </c>
      <c r="F130">
        <v>15</v>
      </c>
      <c r="G130" s="5">
        <v>8</v>
      </c>
      <c r="H130" s="5">
        <v>0.36</v>
      </c>
      <c r="I130" s="5">
        <v>1039500</v>
      </c>
      <c r="J130" s="14">
        <v>8316000</v>
      </c>
      <c r="K1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30" s="22" t="s">
        <v>30</v>
      </c>
      <c r="N130" s="22">
        <f>SUMIF(C15:C4502,"Merbau Basah 90 x 6 x 15",Table1[Jumlah])</f>
        <v>55</v>
      </c>
      <c r="O130" s="22" t="str">
        <f t="shared" si="1"/>
        <v>KURANG LARIS</v>
      </c>
    </row>
    <row r="131" spans="1:15" hidden="1" x14ac:dyDescent="0.25">
      <c r="A131" s="5"/>
      <c r="B131" s="5"/>
      <c r="C131" s="5"/>
      <c r="G131" s="5"/>
      <c r="H131" s="5"/>
      <c r="I131" s="5"/>
      <c r="J131" s="14"/>
      <c r="K1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1" s="22" t="s">
        <v>233</v>
      </c>
      <c r="N131" s="22">
        <f>SUMIF(C15:C4502,"Meranti Oven  400 x 4 x 25",Table1[Jumlah])</f>
        <v>62</v>
      </c>
      <c r="O131" s="22" t="str">
        <f t="shared" si="1"/>
        <v>KURANG LARIS</v>
      </c>
    </row>
    <row r="132" spans="1:15" hidden="1" x14ac:dyDescent="0.25">
      <c r="A132" s="5"/>
      <c r="B132" s="5"/>
      <c r="C132" s="5"/>
      <c r="G132" s="5"/>
      <c r="H132" s="5"/>
      <c r="I132" s="5"/>
      <c r="J132" s="14"/>
      <c r="K1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2" s="22" t="s">
        <v>272</v>
      </c>
      <c r="N132" s="22">
        <v>73</v>
      </c>
      <c r="O132" s="22" t="str">
        <f t="shared" si="1"/>
        <v>KURANG LARIS</v>
      </c>
    </row>
    <row r="133" spans="1:15" x14ac:dyDescent="0.25">
      <c r="A133" s="5" t="s">
        <v>52</v>
      </c>
      <c r="B133" s="5" t="s">
        <v>442</v>
      </c>
      <c r="C133" s="5" t="s">
        <v>20</v>
      </c>
      <c r="D133">
        <v>400</v>
      </c>
      <c r="E133">
        <v>6</v>
      </c>
      <c r="F133">
        <v>12</v>
      </c>
      <c r="G133" s="5">
        <v>1</v>
      </c>
      <c r="H133" s="5">
        <v>2.8799999999999999E-2</v>
      </c>
      <c r="I133" s="5">
        <v>650880</v>
      </c>
      <c r="J133" s="14">
        <v>650880</v>
      </c>
      <c r="K1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33" s="22" t="s">
        <v>214</v>
      </c>
      <c r="N133" s="22">
        <v>48</v>
      </c>
      <c r="O133" s="22" t="str">
        <f t="shared" si="1"/>
        <v>KURANG LARIS</v>
      </c>
    </row>
    <row r="134" spans="1:15" hidden="1" x14ac:dyDescent="0.25">
      <c r="A134" s="5"/>
      <c r="B134" s="5"/>
      <c r="C134" s="5"/>
      <c r="G134" s="5"/>
      <c r="H134" s="5"/>
      <c r="I134" s="5"/>
      <c r="J134" s="14"/>
      <c r="K1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4" s="22" t="s">
        <v>44</v>
      </c>
      <c r="N134" s="22">
        <v>158</v>
      </c>
      <c r="O134" s="22" t="str">
        <f t="shared" si="1"/>
        <v>CUKUP LARIS</v>
      </c>
    </row>
    <row r="135" spans="1:15" hidden="1" x14ac:dyDescent="0.25">
      <c r="A135" s="5"/>
      <c r="B135" s="5"/>
      <c r="C135" s="5"/>
      <c r="G135" s="5"/>
      <c r="H135" s="5"/>
      <c r="I135" s="5"/>
      <c r="J135" s="14"/>
      <c r="K1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5" s="22" t="s">
        <v>367</v>
      </c>
      <c r="N135" s="22">
        <f>SUMIF(C15:C4502,"Meranti Oven 400 x 4 x 30",Table1[Jumlah])</f>
        <v>8</v>
      </c>
      <c r="O135" s="22" t="str">
        <f t="shared" si="1"/>
        <v>KURANG LARIS</v>
      </c>
    </row>
    <row r="136" spans="1:15" x14ac:dyDescent="0.25">
      <c r="A136" s="5" t="s">
        <v>53</v>
      </c>
      <c r="B136" s="5" t="s">
        <v>469</v>
      </c>
      <c r="C136" s="5" t="s">
        <v>54</v>
      </c>
      <c r="D136">
        <v>400</v>
      </c>
      <c r="E136">
        <v>3</v>
      </c>
      <c r="F136">
        <v>30</v>
      </c>
      <c r="G136" s="5">
        <v>5</v>
      </c>
      <c r="H136" s="5">
        <v>0.18</v>
      </c>
      <c r="I136" s="5">
        <v>360000</v>
      </c>
      <c r="J136" s="14">
        <v>1800000</v>
      </c>
      <c r="K1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6" s="22" t="s">
        <v>408</v>
      </c>
      <c r="N136" s="22">
        <f>SUMIF(C15:C4502,"SB Basah 400 x 10 x 10",Table1[Jumlah])</f>
        <v>2</v>
      </c>
      <c r="O136" s="22" t="str">
        <f t="shared" si="1"/>
        <v>KURANG LARIS</v>
      </c>
    </row>
    <row r="137" spans="1:15" hidden="1" x14ac:dyDescent="0.25">
      <c r="A137" s="5"/>
      <c r="B137" s="5"/>
      <c r="C137" s="5"/>
      <c r="G137" s="5"/>
      <c r="H137" s="5"/>
      <c r="I137" s="5"/>
      <c r="J137" s="14"/>
      <c r="K1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7" s="22" t="s">
        <v>170</v>
      </c>
      <c r="N137" s="22">
        <f>SUMIF(C15:C4502,"SB Basah 400 x 12 x 12",Table1[Jumlah])</f>
        <v>5</v>
      </c>
      <c r="O137" s="22" t="str">
        <f t="shared" si="1"/>
        <v>KURANG LARIS</v>
      </c>
    </row>
    <row r="138" spans="1:15" x14ac:dyDescent="0.25">
      <c r="A138" s="5"/>
      <c r="B138" s="5" t="s">
        <v>470</v>
      </c>
      <c r="C138" s="5" t="s">
        <v>55</v>
      </c>
      <c r="D138">
        <v>250</v>
      </c>
      <c r="E138">
        <v>4</v>
      </c>
      <c r="F138">
        <v>25</v>
      </c>
      <c r="G138" s="5">
        <v>3</v>
      </c>
      <c r="H138" s="5">
        <v>7.4999999999999997E-2</v>
      </c>
      <c r="I138" s="5">
        <v>270000</v>
      </c>
      <c r="J138" s="14">
        <v>810000</v>
      </c>
      <c r="K1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8" s="22" t="s">
        <v>191</v>
      </c>
      <c r="N138" s="22">
        <f>SUMIF(C15:C4502,"SB Basah 400 x 15 x 15",Table1[Jumlah])</f>
        <v>12</v>
      </c>
      <c r="O138" s="22" t="str">
        <f t="shared" si="1"/>
        <v>KURANG LARIS</v>
      </c>
    </row>
    <row r="139" spans="1:15" hidden="1" x14ac:dyDescent="0.25">
      <c r="A139" s="5"/>
      <c r="B139" s="5"/>
      <c r="C139" s="5"/>
      <c r="G139" s="5"/>
      <c r="H139" s="5"/>
      <c r="I139" s="5"/>
      <c r="J139" s="14"/>
      <c r="K1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39" s="22" t="s">
        <v>307</v>
      </c>
      <c r="N139" s="22">
        <f>SUMIF(C15:C4502,"SB Basah 400 x 15 x 40",Table1[Jumlah])</f>
        <v>4</v>
      </c>
      <c r="O139" s="22" t="str">
        <f t="shared" si="1"/>
        <v>KURANG LARIS</v>
      </c>
    </row>
    <row r="140" spans="1:15" x14ac:dyDescent="0.25">
      <c r="A140" s="5"/>
      <c r="B140" s="5" t="s">
        <v>443</v>
      </c>
      <c r="C140" s="5" t="s">
        <v>21</v>
      </c>
      <c r="D140">
        <v>400</v>
      </c>
      <c r="E140">
        <v>4</v>
      </c>
      <c r="F140">
        <v>25</v>
      </c>
      <c r="G140" s="5">
        <v>9</v>
      </c>
      <c r="H140" s="5">
        <v>0.36</v>
      </c>
      <c r="I140" s="5">
        <v>432000</v>
      </c>
      <c r="J140" s="14">
        <v>3888000</v>
      </c>
      <c r="K1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0" s="22" t="s">
        <v>176</v>
      </c>
      <c r="N140" s="22">
        <f>SUMIF(C15:C4502,"SB Basah 400 x 3 x 4",Table1[Jumlah])</f>
        <v>154</v>
      </c>
      <c r="O140" s="22" t="str">
        <f t="shared" si="1"/>
        <v>CUKUP LARIS</v>
      </c>
    </row>
    <row r="141" spans="1:15" hidden="1" x14ac:dyDescent="0.25">
      <c r="A141" s="5"/>
      <c r="B141" s="5"/>
      <c r="C141" s="5"/>
      <c r="G141" s="5"/>
      <c r="H141" s="5"/>
      <c r="I141" s="5"/>
      <c r="J141" s="14"/>
      <c r="K1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1" s="22" t="s">
        <v>84</v>
      </c>
      <c r="N141" s="22">
        <f>SUMIF(C15:C4502,"SB Basah 400 x 4 x 6",Table1[Jumlah])</f>
        <v>26</v>
      </c>
      <c r="O141" s="22" t="str">
        <f t="shared" si="1"/>
        <v>KURANG LARIS</v>
      </c>
    </row>
    <row r="142" spans="1:15" x14ac:dyDescent="0.25">
      <c r="A142" s="5"/>
      <c r="B142" s="5" t="s">
        <v>440</v>
      </c>
      <c r="C142" s="5" t="s">
        <v>17</v>
      </c>
      <c r="D142">
        <v>500</v>
      </c>
      <c r="E142">
        <v>4</v>
      </c>
      <c r="F142">
        <v>25</v>
      </c>
      <c r="G142" s="5">
        <v>1</v>
      </c>
      <c r="H142" s="5">
        <v>0.05</v>
      </c>
      <c r="I142" s="5">
        <v>540000</v>
      </c>
      <c r="J142" s="14">
        <v>540000</v>
      </c>
      <c r="K1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2" s="22" t="s">
        <v>163</v>
      </c>
      <c r="N142" s="22">
        <f>SUMIF(C15:C4502,"SB Basah 400 x 5 x 7",Table1[Jumlah])</f>
        <v>131</v>
      </c>
      <c r="O142" s="22" t="str">
        <f t="shared" si="1"/>
        <v>CUKUP LARIS</v>
      </c>
    </row>
    <row r="143" spans="1:15" hidden="1" x14ac:dyDescent="0.25">
      <c r="A143" s="5"/>
      <c r="B143" s="5"/>
      <c r="C143" s="5"/>
      <c r="G143" s="5"/>
      <c r="H143" s="5"/>
      <c r="I143" s="5"/>
      <c r="J143" s="14"/>
      <c r="K1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3" s="22" t="s">
        <v>284</v>
      </c>
      <c r="N143" s="22">
        <f>SUMIF(C15:C4502,"SB Basah 400 x 8 x 15",Table1[Jumlah])</f>
        <v>2</v>
      </c>
      <c r="O143" s="22" t="str">
        <f t="shared" si="1"/>
        <v>KURANG LARIS</v>
      </c>
    </row>
    <row r="144" spans="1:15" x14ac:dyDescent="0.25">
      <c r="A144" s="5"/>
      <c r="B144" s="5" t="s">
        <v>471</v>
      </c>
      <c r="C144" s="5" t="s">
        <v>56</v>
      </c>
      <c r="D144">
        <v>500</v>
      </c>
      <c r="E144">
        <v>5</v>
      </c>
      <c r="F144">
        <v>15</v>
      </c>
      <c r="G144" s="5">
        <v>5</v>
      </c>
      <c r="H144" s="5">
        <v>0.1875</v>
      </c>
      <c r="I144" s="5">
        <v>416250</v>
      </c>
      <c r="J144" s="14">
        <v>2081250</v>
      </c>
      <c r="K1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44" s="22" t="s">
        <v>62</v>
      </c>
      <c r="N144" s="22">
        <f>SUMIF(C15:C4502,"SO Merah 400 x 3 x 20",Table1[Jumlah])</f>
        <v>347</v>
      </c>
      <c r="O144" s="22" t="str">
        <f t="shared" si="1"/>
        <v>SANGAT LARIS</v>
      </c>
    </row>
    <row r="145" spans="1:15" hidden="1" x14ac:dyDescent="0.25">
      <c r="A145" s="5"/>
      <c r="B145" s="5"/>
      <c r="C145" s="5"/>
      <c r="G145" s="5"/>
      <c r="H145" s="5"/>
      <c r="I145" s="5"/>
      <c r="J145" s="14"/>
      <c r="K1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5" s="22" t="s">
        <v>254</v>
      </c>
      <c r="N145" s="22">
        <f>SUMIF(C15:C4502,"SO Merah 400 x 3 x 25",Table1[Jumlah])</f>
        <v>13</v>
      </c>
      <c r="O145" s="22" t="str">
        <f t="shared" si="1"/>
        <v>KURANG LARIS</v>
      </c>
    </row>
    <row r="146" spans="1:15" hidden="1" x14ac:dyDescent="0.25">
      <c r="A146" s="5"/>
      <c r="B146" s="5"/>
      <c r="C146" s="5"/>
      <c r="G146" s="5"/>
      <c r="H146" s="5"/>
      <c r="I146" s="5"/>
      <c r="J146" s="14"/>
      <c r="K1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6" s="22" t="s">
        <v>54</v>
      </c>
      <c r="N146" s="22">
        <f>SUMIF(C15:C4502,"SO Merah 400 x 3 x 30",Table1[Jumlah])</f>
        <v>5</v>
      </c>
      <c r="O146" s="22" t="str">
        <f t="shared" si="1"/>
        <v>KURANG LARIS</v>
      </c>
    </row>
    <row r="147" spans="1:15" x14ac:dyDescent="0.25">
      <c r="A147" s="5" t="s">
        <v>53</v>
      </c>
      <c r="B147" s="5" t="s">
        <v>437</v>
      </c>
      <c r="C147" s="5" t="s">
        <v>14</v>
      </c>
      <c r="D147">
        <v>400</v>
      </c>
      <c r="E147">
        <v>6</v>
      </c>
      <c r="F147">
        <v>15</v>
      </c>
      <c r="G147" s="5">
        <v>2</v>
      </c>
      <c r="H147" s="5">
        <v>7.1999999999999995E-2</v>
      </c>
      <c r="I147" s="5">
        <v>331200</v>
      </c>
      <c r="J147" s="14">
        <v>662400</v>
      </c>
      <c r="K1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47" s="22" t="s">
        <v>14</v>
      </c>
      <c r="N147" s="22">
        <f>SUMIF(C15:C4502,"SO Merah 400 x 6 x 15",Table1[Jumlah])</f>
        <v>34</v>
      </c>
      <c r="O147" s="22" t="str">
        <f t="shared" ref="O147:O187" si="2">IF(N147&gt;200,"SANGAT LARIS",IF(N147&gt;100,"CUKUP LARIS","KURANG LARIS"))</f>
        <v>KURANG LARIS</v>
      </c>
    </row>
    <row r="148" spans="1:15" hidden="1" x14ac:dyDescent="0.25">
      <c r="A148" s="5"/>
      <c r="B148" s="5"/>
      <c r="C148" s="5"/>
      <c r="G148" s="5"/>
      <c r="H148" s="5"/>
      <c r="I148" s="5"/>
      <c r="J148" s="14"/>
      <c r="K1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8" s="22" t="s">
        <v>55</v>
      </c>
      <c r="N148" s="22">
        <f>SUMIF(C15:C4502,"Samarinda Oven 250 x 4 x 25",Table1[Jumlah])</f>
        <v>51</v>
      </c>
      <c r="O148" s="22" t="str">
        <f t="shared" si="2"/>
        <v>KURANG LARIS</v>
      </c>
    </row>
    <row r="149" spans="1:15" x14ac:dyDescent="0.25">
      <c r="A149" s="5"/>
      <c r="B149" s="5" t="s">
        <v>439</v>
      </c>
      <c r="C149" s="5" t="s">
        <v>16</v>
      </c>
      <c r="D149">
        <v>400</v>
      </c>
      <c r="E149">
        <v>3</v>
      </c>
      <c r="F149">
        <v>30</v>
      </c>
      <c r="G149" s="5">
        <v>1</v>
      </c>
      <c r="H149" s="5">
        <v>3.5999999999999997E-2</v>
      </c>
      <c r="I149" s="5">
        <v>396000</v>
      </c>
      <c r="J149" s="14">
        <v>396000</v>
      </c>
      <c r="K1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49" s="22" t="s">
        <v>82</v>
      </c>
      <c r="N149" s="22">
        <f>SUMIF(C15:C4502,"Samarinda Oven 250 x 6 x 15",Table1[Jumlah])</f>
        <v>189</v>
      </c>
      <c r="O149" s="22" t="str">
        <f t="shared" si="2"/>
        <v>CUKUP LARIS</v>
      </c>
    </row>
    <row r="150" spans="1:15" hidden="1" x14ac:dyDescent="0.25">
      <c r="A150" s="5"/>
      <c r="B150" s="5"/>
      <c r="C150" s="5"/>
      <c r="G150" s="5"/>
      <c r="H150" s="5"/>
      <c r="I150" s="5"/>
      <c r="J150" s="14"/>
      <c r="K1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0" s="22" t="s">
        <v>86</v>
      </c>
      <c r="N150" s="22">
        <f>SUMIF(C15:C4502,"Samarinda Oven 300 x 4 x 25",Table1[Jumlah])</f>
        <v>76</v>
      </c>
      <c r="O150" s="22" t="str">
        <f t="shared" si="2"/>
        <v>KURANG LARIS</v>
      </c>
    </row>
    <row r="151" spans="1:15" x14ac:dyDescent="0.25">
      <c r="A151" s="5"/>
      <c r="B151" s="5" t="s">
        <v>433</v>
      </c>
      <c r="C151" s="5" t="s">
        <v>9</v>
      </c>
      <c r="D151">
        <v>400</v>
      </c>
      <c r="E151">
        <v>4</v>
      </c>
      <c r="F151">
        <v>20</v>
      </c>
      <c r="G151" s="5">
        <v>1</v>
      </c>
      <c r="H151" s="5">
        <v>3.2000000000000001E-2</v>
      </c>
      <c r="I151" s="5">
        <v>342400</v>
      </c>
      <c r="J151" s="14">
        <v>342400</v>
      </c>
      <c r="K1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1" s="22" t="s">
        <v>99</v>
      </c>
      <c r="N151" s="22">
        <f>SUMIF(C15:C4502,"Samarinda Oven 300 x 6 x 15",Table1[Jumlah])</f>
        <v>165</v>
      </c>
      <c r="O151" s="22" t="str">
        <f t="shared" si="2"/>
        <v>CUKUP LARIS</v>
      </c>
    </row>
    <row r="152" spans="1:15" hidden="1" x14ac:dyDescent="0.25">
      <c r="A152" s="5"/>
      <c r="B152" s="5"/>
      <c r="C152" s="5"/>
      <c r="G152" s="5"/>
      <c r="H152" s="5"/>
      <c r="I152" s="5"/>
      <c r="J152" s="14"/>
      <c r="K1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2" s="22" t="s">
        <v>36</v>
      </c>
      <c r="N152" s="22">
        <f>SUMIF(C15:C4502,"Samarinda Oven 400 x 3 x 20",Table1[Jumlah])</f>
        <v>26</v>
      </c>
      <c r="O152" s="22" t="str">
        <f t="shared" si="2"/>
        <v>KURANG LARIS</v>
      </c>
    </row>
    <row r="153" spans="1:15" x14ac:dyDescent="0.25">
      <c r="A153" s="5"/>
      <c r="B153" s="5" t="s">
        <v>440</v>
      </c>
      <c r="C153" s="5" t="s">
        <v>17</v>
      </c>
      <c r="D153">
        <v>500</v>
      </c>
      <c r="E153">
        <v>4</v>
      </c>
      <c r="F153">
        <v>25</v>
      </c>
      <c r="G153" s="5">
        <v>1</v>
      </c>
      <c r="H153" s="5">
        <v>0.05</v>
      </c>
      <c r="I153" s="5">
        <v>540000</v>
      </c>
      <c r="J153" s="14">
        <v>540000</v>
      </c>
      <c r="K1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3" s="22" t="s">
        <v>15</v>
      </c>
      <c r="N153" s="22">
        <f>SUMIF(C15:C4502,"Samarinda Oven 400 x 3 x 25",Table1[Jumlah])</f>
        <v>220</v>
      </c>
      <c r="O153" s="22" t="str">
        <f t="shared" si="2"/>
        <v>SANGAT LARIS</v>
      </c>
    </row>
    <row r="154" spans="1:15" hidden="1" x14ac:dyDescent="0.25">
      <c r="A154" s="5"/>
      <c r="B154" s="5"/>
      <c r="C154" s="5"/>
      <c r="G154" s="5"/>
      <c r="H154" s="5"/>
      <c r="I154" s="5"/>
      <c r="J154" s="14"/>
      <c r="K1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4" s="22" t="s">
        <v>16</v>
      </c>
      <c r="N154" s="22">
        <f>SUMIF(C15:C4502,"Samarinda Oven 400 x 3 x 30",Table1[Jumlah])</f>
        <v>423</v>
      </c>
      <c r="O154" s="22" t="str">
        <f t="shared" si="2"/>
        <v>SANGAT LARIS</v>
      </c>
    </row>
    <row r="155" spans="1:15" hidden="1" x14ac:dyDescent="0.25">
      <c r="A155" s="5"/>
      <c r="B155" s="5"/>
      <c r="C155" s="5"/>
      <c r="G155" s="5"/>
      <c r="H155" s="5"/>
      <c r="I155" s="5"/>
      <c r="J155" s="14"/>
      <c r="K1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5" s="22" t="s">
        <v>9</v>
      </c>
      <c r="N155" s="22">
        <f>SUMIF(C15:C4502,"Samarinda Oven 400 x 4 x 20",Table1[Jumlah])</f>
        <v>292</v>
      </c>
      <c r="O155" s="22" t="str">
        <f t="shared" si="2"/>
        <v>SANGAT LARIS</v>
      </c>
    </row>
    <row r="156" spans="1:15" x14ac:dyDescent="0.25">
      <c r="A156" s="5" t="s">
        <v>53</v>
      </c>
      <c r="B156" s="5" t="s">
        <v>472</v>
      </c>
      <c r="C156" s="5" t="s">
        <v>57</v>
      </c>
      <c r="D156">
        <v>300</v>
      </c>
      <c r="E156">
        <v>4</v>
      </c>
      <c r="F156">
        <v>30</v>
      </c>
      <c r="G156" s="5">
        <v>2</v>
      </c>
      <c r="H156" s="5">
        <v>7.1999999999999995E-2</v>
      </c>
      <c r="I156" s="5">
        <v>903600</v>
      </c>
      <c r="J156" s="14">
        <v>1807200</v>
      </c>
      <c r="K1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6" s="22" t="s">
        <v>21</v>
      </c>
      <c r="N156" s="22">
        <f>SUMIF(C15:C4502,"Samarinda Oven 400 x 4 x 25",Table1[Jumlah])</f>
        <v>452</v>
      </c>
      <c r="O156" s="22" t="str">
        <f t="shared" si="2"/>
        <v>SANGAT LARIS</v>
      </c>
    </row>
    <row r="157" spans="1:15" hidden="1" x14ac:dyDescent="0.25">
      <c r="A157" s="5"/>
      <c r="B157" s="5"/>
      <c r="C157" s="5"/>
      <c r="G157" s="5"/>
      <c r="H157" s="5"/>
      <c r="I157" s="5"/>
      <c r="J157" s="14"/>
      <c r="K1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7" s="22" t="s">
        <v>10</v>
      </c>
      <c r="N157" s="22">
        <f>SUMIF(C15:C4502,"Samarinda Oven 400 x 4 x 30",Table1[Jumlah])</f>
        <v>193</v>
      </c>
      <c r="O157" s="22" t="str">
        <f t="shared" si="2"/>
        <v>CUKUP LARIS</v>
      </c>
    </row>
    <row r="158" spans="1:15" x14ac:dyDescent="0.25">
      <c r="A158" s="5"/>
      <c r="B158" s="5" t="s">
        <v>461</v>
      </c>
      <c r="C158" s="5" t="s">
        <v>42</v>
      </c>
      <c r="D158">
        <v>500</v>
      </c>
      <c r="E158">
        <v>5</v>
      </c>
      <c r="F158">
        <v>25</v>
      </c>
      <c r="G158" s="5">
        <v>6</v>
      </c>
      <c r="H158" s="5">
        <v>0.375</v>
      </c>
      <c r="I158" s="5">
        <v>1575000</v>
      </c>
      <c r="J158" s="14">
        <v>9450000</v>
      </c>
      <c r="K1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58" s="22" t="s">
        <v>98</v>
      </c>
      <c r="N158" s="22">
        <f>SUMIF(C15:C4502,"Samarinda Oven 400 x 5 x 15",Table1[Jumlah])</f>
        <v>265</v>
      </c>
      <c r="O158" s="22" t="str">
        <f t="shared" si="2"/>
        <v>SANGAT LARIS</v>
      </c>
    </row>
    <row r="159" spans="1:15" hidden="1" x14ac:dyDescent="0.25">
      <c r="A159" s="5"/>
      <c r="B159" s="5"/>
      <c r="C159" s="5"/>
      <c r="G159" s="5"/>
      <c r="H159" s="5"/>
      <c r="I159" s="5"/>
      <c r="J159" s="14"/>
      <c r="K1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59" s="22" t="s">
        <v>34</v>
      </c>
      <c r="N159" s="22">
        <f>SUMIF(C15:C4502,"Samarinda Oven 400 x 5 x 20",Table1[Jumlah])</f>
        <v>11</v>
      </c>
      <c r="O159" s="22" t="str">
        <f t="shared" si="2"/>
        <v>KURANG LARIS</v>
      </c>
    </row>
    <row r="160" spans="1:15" x14ac:dyDescent="0.25">
      <c r="A160" s="5"/>
      <c r="B160" s="5" t="s">
        <v>473</v>
      </c>
      <c r="C160" s="5" t="s">
        <v>58</v>
      </c>
      <c r="D160">
        <v>300</v>
      </c>
      <c r="E160">
        <v>5</v>
      </c>
      <c r="F160">
        <v>30</v>
      </c>
      <c r="G160" s="5">
        <v>3</v>
      </c>
      <c r="H160" s="5">
        <v>0.13500000000000001</v>
      </c>
      <c r="I160" s="5">
        <v>1129500</v>
      </c>
      <c r="J160" s="14">
        <v>3388500</v>
      </c>
      <c r="K1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60" s="22" t="s">
        <v>125</v>
      </c>
      <c r="N160" s="22">
        <f>SUMIF(C15:C4502,"Samarinda Oven 400 x 5 x 25",Table1[Jumlah])</f>
        <v>61</v>
      </c>
      <c r="O160" s="22" t="str">
        <f t="shared" si="2"/>
        <v>KURANG LARIS</v>
      </c>
    </row>
    <row r="161" spans="1:15" hidden="1" x14ac:dyDescent="0.25">
      <c r="A161" s="5"/>
      <c r="B161" s="5"/>
      <c r="C161" s="5"/>
      <c r="G161" s="5"/>
      <c r="H161" s="5"/>
      <c r="I161" s="5"/>
      <c r="J161" s="14"/>
      <c r="K1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61" s="22" t="s">
        <v>35</v>
      </c>
      <c r="N161" s="22">
        <f>SUMIF(C15:C4502,"Samarinda Oven 400 x 5 x 30",Table1[Jumlah])</f>
        <v>31</v>
      </c>
      <c r="O161" s="22" t="str">
        <f t="shared" si="2"/>
        <v>KURANG LARIS</v>
      </c>
    </row>
    <row r="162" spans="1:15" x14ac:dyDescent="0.25">
      <c r="A162" s="5"/>
      <c r="B162" s="5" t="s">
        <v>474</v>
      </c>
      <c r="C162" s="5" t="s">
        <v>59</v>
      </c>
      <c r="D162">
        <v>300</v>
      </c>
      <c r="E162">
        <v>5</v>
      </c>
      <c r="F162">
        <v>25</v>
      </c>
      <c r="G162" s="5">
        <v>2</v>
      </c>
      <c r="H162" s="5">
        <v>7.4999999999999997E-2</v>
      </c>
      <c r="I162" s="5">
        <v>926250</v>
      </c>
      <c r="J162" s="14">
        <v>1852500</v>
      </c>
      <c r="K1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62" s="22" t="s">
        <v>11</v>
      </c>
      <c r="N162" s="22">
        <f>SUMIF(C15:C4502,"Samarinda Oven 400 x 6 x 12",Table1[Jumlah])</f>
        <v>314</v>
      </c>
      <c r="O162" s="22" t="str">
        <f t="shared" si="2"/>
        <v>SANGAT LARIS</v>
      </c>
    </row>
    <row r="163" spans="1:15" hidden="1" x14ac:dyDescent="0.25">
      <c r="A163" s="5"/>
      <c r="B163" s="5"/>
      <c r="C163" s="5"/>
      <c r="G163" s="5"/>
      <c r="H163" s="5"/>
      <c r="I163" s="5"/>
      <c r="J163" s="14"/>
      <c r="K1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63" s="22" t="s">
        <v>68</v>
      </c>
      <c r="N163" s="22">
        <f>SUMIF(C15:C4502,"Samarinda Oven 400 x 6 x 15",Table1[Jumlah])</f>
        <v>526</v>
      </c>
      <c r="O163" s="22" t="str">
        <f t="shared" si="2"/>
        <v>SANGAT LARIS</v>
      </c>
    </row>
    <row r="164" spans="1:15" x14ac:dyDescent="0.25">
      <c r="A164" s="5"/>
      <c r="B164" s="5" t="s">
        <v>475</v>
      </c>
      <c r="C164" s="5" t="s">
        <v>60</v>
      </c>
      <c r="D164">
        <v>500</v>
      </c>
      <c r="E164">
        <v>5</v>
      </c>
      <c r="F164">
        <v>20</v>
      </c>
      <c r="G164" s="5">
        <v>1</v>
      </c>
      <c r="H164" s="5">
        <v>0.05</v>
      </c>
      <c r="I164" s="5">
        <v>1240000</v>
      </c>
      <c r="J164" s="14">
        <v>1240000</v>
      </c>
      <c r="K1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  <c r="M164" s="22" t="s">
        <v>12</v>
      </c>
      <c r="N164" s="22">
        <f>SUMIF(C15:C4502,"Samarinda Oven 400 x 6 x 17",Table1[Jumlah])</f>
        <v>143</v>
      </c>
      <c r="O164" s="22" t="str">
        <f t="shared" si="2"/>
        <v>CUKUP LARIS</v>
      </c>
    </row>
    <row r="165" spans="1:15" hidden="1" x14ac:dyDescent="0.25">
      <c r="A165" s="5"/>
      <c r="B165" s="5"/>
      <c r="C165" s="5"/>
      <c r="G165" s="5"/>
      <c r="H165" s="5"/>
      <c r="I165" s="5"/>
      <c r="J165" s="14"/>
      <c r="K1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65" s="22" t="s">
        <v>111</v>
      </c>
      <c r="N165" s="22">
        <f>SUMIF(C15:C4502,"Samarinda Oven 400 x 8 x 12",Table1[Jumlah])</f>
        <v>50</v>
      </c>
      <c r="O165" s="22" t="str">
        <f t="shared" si="2"/>
        <v>KURANG LARIS</v>
      </c>
    </row>
    <row r="166" spans="1:15" hidden="1" x14ac:dyDescent="0.25">
      <c r="A166" s="5"/>
      <c r="B166" s="5"/>
      <c r="C166" s="5"/>
      <c r="G166" s="5"/>
      <c r="H166" s="5"/>
      <c r="I166" s="5"/>
      <c r="J166" s="14"/>
      <c r="K1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66" s="22" t="s">
        <v>178</v>
      </c>
      <c r="N166" s="22">
        <f>SUMIF(C15:C4502,"Samarinda Oven 400 x 8 x 15",Table1[Jumlah])</f>
        <v>10</v>
      </c>
      <c r="O166" s="22" t="str">
        <f t="shared" si="2"/>
        <v>KURANG LARIS</v>
      </c>
    </row>
    <row r="167" spans="1:15" x14ac:dyDescent="0.25">
      <c r="A167" s="5" t="s">
        <v>61</v>
      </c>
      <c r="B167" s="5" t="s">
        <v>476</v>
      </c>
      <c r="C167" s="5" t="s">
        <v>62</v>
      </c>
      <c r="D167">
        <v>400</v>
      </c>
      <c r="E167">
        <v>3</v>
      </c>
      <c r="F167">
        <v>20</v>
      </c>
      <c r="G167" s="5">
        <v>1</v>
      </c>
      <c r="H167" s="5">
        <v>2.4E-2</v>
      </c>
      <c r="I167" s="5">
        <v>232800</v>
      </c>
      <c r="J167" s="14">
        <v>232800</v>
      </c>
      <c r="K1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67" s="22" t="s">
        <v>87</v>
      </c>
      <c r="N167" s="22">
        <f>SUMIF(C15:C4502,"Samarinda Oven 450 x 4 x 25",Table1[Jumlah])</f>
        <v>3</v>
      </c>
      <c r="O167" s="22" t="str">
        <f t="shared" si="2"/>
        <v>KURANG LARIS</v>
      </c>
    </row>
    <row r="168" spans="1:15" hidden="1" x14ac:dyDescent="0.25">
      <c r="A168" s="5"/>
      <c r="B168" s="5"/>
      <c r="C168" s="5"/>
      <c r="G168" s="5"/>
      <c r="H168" s="5"/>
      <c r="I168" s="5"/>
      <c r="J168" s="14"/>
      <c r="K1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68" s="22" t="s">
        <v>83</v>
      </c>
      <c r="N168" s="22">
        <f>SUMIF(C15:C4502,"Samarinda Oven 450 x 6 x 15",Table1[Jumlah])</f>
        <v>89</v>
      </c>
      <c r="O168" s="22" t="str">
        <f t="shared" si="2"/>
        <v>KURANG LARIS</v>
      </c>
    </row>
    <row r="169" spans="1:15" x14ac:dyDescent="0.25">
      <c r="A169" s="5"/>
      <c r="B169" s="5" t="s">
        <v>437</v>
      </c>
      <c r="C169" s="5" t="s">
        <v>14</v>
      </c>
      <c r="D169">
        <v>400</v>
      </c>
      <c r="E169">
        <v>6</v>
      </c>
      <c r="F169">
        <v>15</v>
      </c>
      <c r="G169" s="5">
        <v>3</v>
      </c>
      <c r="H169" s="5">
        <v>0.108</v>
      </c>
      <c r="I169" s="5">
        <v>331200</v>
      </c>
      <c r="J169" s="14">
        <v>993600</v>
      </c>
      <c r="K1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69" s="22" t="s">
        <v>298</v>
      </c>
      <c r="N169" s="22">
        <f>SUMIF(C15:C4502,"Samarinda Oven 500 x 3 x 25",Table1[Jumlah])</f>
        <v>1</v>
      </c>
      <c r="O169" s="22" t="str">
        <f t="shared" si="2"/>
        <v>KURANG LARIS</v>
      </c>
    </row>
    <row r="170" spans="1:15" hidden="1" x14ac:dyDescent="0.25">
      <c r="A170" s="5"/>
      <c r="B170" s="5"/>
      <c r="C170" s="5"/>
      <c r="G170" s="5"/>
      <c r="H170" s="5"/>
      <c r="I170" s="5"/>
      <c r="J170" s="14"/>
      <c r="K1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0" s="22" t="s">
        <v>248</v>
      </c>
      <c r="N170" s="22">
        <f>SUMIF(C15:C4502,"Samarinda Oven 500 x 3 x 30",Table1[Jumlah])</f>
        <v>5</v>
      </c>
      <c r="O170" s="22" t="str">
        <f t="shared" si="2"/>
        <v>KURANG LARIS</v>
      </c>
    </row>
    <row r="171" spans="1:15" x14ac:dyDescent="0.25">
      <c r="A171" s="5"/>
      <c r="B171" s="5" t="s">
        <v>438</v>
      </c>
      <c r="C171" s="5" t="s">
        <v>15</v>
      </c>
      <c r="D171">
        <v>400</v>
      </c>
      <c r="E171">
        <v>3</v>
      </c>
      <c r="F171">
        <v>25</v>
      </c>
      <c r="G171" s="5">
        <v>2</v>
      </c>
      <c r="H171" s="5">
        <v>0.06</v>
      </c>
      <c r="I171" s="5">
        <v>324000</v>
      </c>
      <c r="J171" s="14">
        <v>648000</v>
      </c>
      <c r="K1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1" s="22" t="s">
        <v>133</v>
      </c>
      <c r="N171" s="22">
        <f>SUMIF(C15:C4502,"Samarinda Oven 400 x 4 x 20",Table1[Jumlah])</f>
        <v>292</v>
      </c>
      <c r="O171" s="22" t="str">
        <f t="shared" si="2"/>
        <v>SANGAT LARIS</v>
      </c>
    </row>
    <row r="172" spans="1:15" hidden="1" x14ac:dyDescent="0.25">
      <c r="A172" s="5"/>
      <c r="B172" s="5"/>
      <c r="C172" s="5"/>
      <c r="G172" s="5"/>
      <c r="H172" s="5"/>
      <c r="I172" s="5"/>
      <c r="J172" s="14"/>
      <c r="K1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2" s="22" t="s">
        <v>17</v>
      </c>
      <c r="N172" s="22">
        <f>SUMIF(C15:C4502,"Samarinda Oven 500 x 4 x 25",Table1[Jumlah])</f>
        <v>257</v>
      </c>
      <c r="O172" s="22" t="str">
        <f t="shared" si="2"/>
        <v>SANGAT LARIS</v>
      </c>
    </row>
    <row r="173" spans="1:15" x14ac:dyDescent="0.25">
      <c r="A173" s="5"/>
      <c r="B173" s="5" t="s">
        <v>433</v>
      </c>
      <c r="C173" s="5" t="s">
        <v>9</v>
      </c>
      <c r="D173">
        <v>400</v>
      </c>
      <c r="E173">
        <v>4</v>
      </c>
      <c r="F173">
        <v>20</v>
      </c>
      <c r="G173" s="5">
        <v>2</v>
      </c>
      <c r="H173" s="5">
        <v>6.4000000000000001E-2</v>
      </c>
      <c r="I173" s="5">
        <v>342400</v>
      </c>
      <c r="J173" s="14">
        <v>684800</v>
      </c>
      <c r="K1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3" s="22" t="s">
        <v>45</v>
      </c>
      <c r="N173" s="22">
        <f>SUMIF(C15:C4502,"Samarinda Oven 500 x 4 x 30",Table1[Jumlah])</f>
        <v>98</v>
      </c>
      <c r="O173" s="22" t="str">
        <f t="shared" si="2"/>
        <v>KURANG LARIS</v>
      </c>
    </row>
    <row r="174" spans="1:15" hidden="1" x14ac:dyDescent="0.25">
      <c r="A174" s="5"/>
      <c r="B174" s="5"/>
      <c r="C174" s="5"/>
      <c r="G174" s="5"/>
      <c r="H174" s="5"/>
      <c r="I174" s="5"/>
      <c r="J174" s="14"/>
      <c r="K1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4" s="22" t="s">
        <v>56</v>
      </c>
      <c r="N174" s="22">
        <f>SUMIF(C15:C4502,"Samarinda Oven 500 x 5 x 15",Table1[Jumlah])</f>
        <v>192</v>
      </c>
      <c r="O174" s="22" t="str">
        <f t="shared" si="2"/>
        <v>CUKUP LARIS</v>
      </c>
    </row>
    <row r="175" spans="1:15" x14ac:dyDescent="0.25">
      <c r="A175" s="5"/>
      <c r="B175" s="5" t="s">
        <v>440</v>
      </c>
      <c r="C175" s="5" t="s">
        <v>17</v>
      </c>
      <c r="D175">
        <v>500</v>
      </c>
      <c r="E175">
        <v>4</v>
      </c>
      <c r="F175">
        <v>25</v>
      </c>
      <c r="G175" s="5">
        <v>1</v>
      </c>
      <c r="H175" s="5">
        <v>0.05</v>
      </c>
      <c r="I175" s="5">
        <v>540000</v>
      </c>
      <c r="J175" s="14">
        <v>540000</v>
      </c>
      <c r="K1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5" s="22" t="s">
        <v>205</v>
      </c>
      <c r="N175" s="22">
        <f>SUMIF(C15:C4502,"Samarinda Oven 500 x 5 x 20",Table1[Jumlah])</f>
        <v>16</v>
      </c>
      <c r="O175" s="22" t="str">
        <f t="shared" si="2"/>
        <v>KURANG LARIS</v>
      </c>
    </row>
    <row r="176" spans="1:15" hidden="1" x14ac:dyDescent="0.25">
      <c r="A176" s="5"/>
      <c r="B176" s="5"/>
      <c r="C176" s="5"/>
      <c r="G176" s="5"/>
      <c r="H176" s="5"/>
      <c r="I176" s="5"/>
      <c r="J176" s="14"/>
      <c r="K1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6" s="22" t="s">
        <v>186</v>
      </c>
      <c r="N176" s="22">
        <f>SUMIF(C15:C4502,"Samarinda Oven 500 x 5 x 25",Table1[Jumlah])</f>
        <v>59</v>
      </c>
      <c r="O176" s="22" t="str">
        <f t="shared" si="2"/>
        <v>KURANG LARIS</v>
      </c>
    </row>
    <row r="177" spans="1:15" hidden="1" x14ac:dyDescent="0.25">
      <c r="A177" s="5"/>
      <c r="B177" s="5"/>
      <c r="C177" s="5"/>
      <c r="G177" s="5"/>
      <c r="H177" s="5"/>
      <c r="I177" s="5"/>
      <c r="J177" s="14"/>
      <c r="K1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7" s="22" t="s">
        <v>116</v>
      </c>
      <c r="N177" s="22">
        <f>SUMIF(C15:C4502,"Samarinda Oven 500 x 5 x 30",Table1[Jumlah])</f>
        <v>11</v>
      </c>
      <c r="O177" s="22" t="str">
        <f t="shared" si="2"/>
        <v>KURANG LARIS</v>
      </c>
    </row>
    <row r="178" spans="1:15" x14ac:dyDescent="0.25">
      <c r="A178" s="5" t="s">
        <v>61</v>
      </c>
      <c r="B178" s="5" t="s">
        <v>477</v>
      </c>
      <c r="C178" s="5" t="s">
        <v>63</v>
      </c>
      <c r="D178">
        <v>100</v>
      </c>
      <c r="E178">
        <v>6</v>
      </c>
      <c r="F178">
        <v>15</v>
      </c>
      <c r="G178" s="5">
        <v>4</v>
      </c>
      <c r="H178" s="5">
        <v>3.5999999999999997E-2</v>
      </c>
      <c r="I178" s="5">
        <v>186300</v>
      </c>
      <c r="J178" s="14">
        <v>745200</v>
      </c>
      <c r="K1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78" s="22" t="s">
        <v>126</v>
      </c>
      <c r="N178" s="22">
        <f>SUMIF(C15:C4502,"Samarinda Oven 500 x 6 x 12",Table1[Jumlah])</f>
        <v>37</v>
      </c>
      <c r="O178" s="22" t="str">
        <f t="shared" si="2"/>
        <v>KURANG LARIS</v>
      </c>
    </row>
    <row r="179" spans="1:15" hidden="1" x14ac:dyDescent="0.25">
      <c r="A179" s="5"/>
      <c r="B179" s="5"/>
      <c r="C179" s="5"/>
      <c r="G179" s="5"/>
      <c r="H179" s="5"/>
      <c r="I179" s="5"/>
      <c r="J179" s="14"/>
      <c r="K1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79" s="22" t="s">
        <v>92</v>
      </c>
      <c r="N179" s="22">
        <f>SUMIF(C15:C4502,"Samarinda Oven 500 x 6 x 15",Table1[Jumlah])</f>
        <v>91</v>
      </c>
      <c r="O179" s="22" t="str">
        <f t="shared" si="2"/>
        <v>KURANG LARIS</v>
      </c>
    </row>
    <row r="180" spans="1:15" x14ac:dyDescent="0.25">
      <c r="A180" s="5"/>
      <c r="B180" s="5" t="s">
        <v>478</v>
      </c>
      <c r="C180" s="5" t="s">
        <v>64</v>
      </c>
      <c r="D180">
        <v>180</v>
      </c>
      <c r="E180">
        <v>6</v>
      </c>
      <c r="F180">
        <v>15</v>
      </c>
      <c r="G180" s="5">
        <v>1</v>
      </c>
      <c r="H180" s="5">
        <v>1.6199999999999999E-2</v>
      </c>
      <c r="I180" s="5">
        <v>335340</v>
      </c>
      <c r="J180" s="14">
        <v>335340</v>
      </c>
      <c r="K1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80" s="22" t="s">
        <v>32</v>
      </c>
      <c r="N180" s="22">
        <f>SUMIF(C15:C4502,"Samarinda Oven 500 x 6 x 17",Table1[Jumlah])</f>
        <v>55</v>
      </c>
      <c r="O180" s="22" t="str">
        <f t="shared" si="2"/>
        <v>KURANG LARIS</v>
      </c>
    </row>
    <row r="181" spans="1:15" hidden="1" x14ac:dyDescent="0.25">
      <c r="A181" s="5"/>
      <c r="B181" s="5"/>
      <c r="C181" s="5"/>
      <c r="G181" s="5"/>
      <c r="H181" s="5"/>
      <c r="I181" s="5"/>
      <c r="J181" s="14"/>
      <c r="K1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81" s="22" t="s">
        <v>145</v>
      </c>
      <c r="N181" s="22">
        <f>SUMIF(C15:C4502,"Samarinda Oven 500 x 8 x 15",Table1[Jumlah])</f>
        <v>12</v>
      </c>
      <c r="O181" s="22" t="str">
        <f t="shared" si="2"/>
        <v>KURANG LARIS</v>
      </c>
    </row>
    <row r="182" spans="1:15" x14ac:dyDescent="0.25">
      <c r="A182" s="5"/>
      <c r="B182" s="5" t="s">
        <v>458</v>
      </c>
      <c r="C182" s="5" t="s">
        <v>39</v>
      </c>
      <c r="D182">
        <v>220</v>
      </c>
      <c r="E182">
        <v>6</v>
      </c>
      <c r="F182">
        <v>15</v>
      </c>
      <c r="G182" s="5">
        <v>4</v>
      </c>
      <c r="H182" s="5">
        <v>7.9200000000000007E-2</v>
      </c>
      <c r="I182" s="5">
        <v>437580</v>
      </c>
      <c r="J182" s="14">
        <v>1750320</v>
      </c>
      <c r="K1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82" s="22" t="s">
        <v>184</v>
      </c>
      <c r="N182" s="22">
        <f>SUMIF(C15:C4502,"Samarinda Oven 450 x 4 x 20",Table1[Jumlah])</f>
        <v>7</v>
      </c>
      <c r="O182" s="22" t="str">
        <f t="shared" si="2"/>
        <v>KURANG LARIS</v>
      </c>
    </row>
    <row r="183" spans="1:15" hidden="1" x14ac:dyDescent="0.25">
      <c r="A183" s="5"/>
      <c r="B183" s="5"/>
      <c r="C183" s="5"/>
      <c r="G183" s="5"/>
      <c r="H183" s="5"/>
      <c r="I183" s="5"/>
      <c r="J183" s="14"/>
      <c r="K1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83" s="22" t="s">
        <v>260</v>
      </c>
      <c r="N183" s="22">
        <f>SUMIF(C15:C4502,"Samarinda Oven 450 x 4 x 30",Table1[Jumlah])</f>
        <v>7</v>
      </c>
      <c r="O183" s="22" t="str">
        <f t="shared" si="2"/>
        <v>KURANG LARIS</v>
      </c>
    </row>
    <row r="184" spans="1:15" x14ac:dyDescent="0.25">
      <c r="A184" s="5"/>
      <c r="B184" s="5" t="s">
        <v>479</v>
      </c>
      <c r="C184" s="5" t="s">
        <v>65</v>
      </c>
      <c r="D184">
        <v>240</v>
      </c>
      <c r="E184">
        <v>6</v>
      </c>
      <c r="F184">
        <v>15</v>
      </c>
      <c r="G184" s="5">
        <v>8</v>
      </c>
      <c r="H184" s="5">
        <v>0.17280000000000001</v>
      </c>
      <c r="I184" s="5">
        <v>477360</v>
      </c>
      <c r="J184" s="14">
        <v>3818880</v>
      </c>
      <c r="K1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84" s="22" t="s">
        <v>212</v>
      </c>
      <c r="N184" s="22">
        <v>7</v>
      </c>
      <c r="O184" s="22" t="str">
        <f t="shared" si="2"/>
        <v>KURANG LARIS</v>
      </c>
    </row>
    <row r="185" spans="1:15" hidden="1" x14ac:dyDescent="0.25">
      <c r="A185" s="5"/>
      <c r="B185" s="5"/>
      <c r="C185" s="5"/>
      <c r="G185" s="5"/>
      <c r="H185" s="5"/>
      <c r="I185" s="5"/>
      <c r="J185" s="14"/>
      <c r="K1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85" s="22" t="s">
        <v>409</v>
      </c>
      <c r="N185" s="22">
        <f>SUMIF(C15:C4502,"Samarinda Oven 450 x 5 x 25",Table1[Jumlah])</f>
        <v>1</v>
      </c>
      <c r="O185" s="22" t="str">
        <f t="shared" si="2"/>
        <v>KURANG LARIS</v>
      </c>
    </row>
    <row r="186" spans="1:15" x14ac:dyDescent="0.25">
      <c r="A186" s="5"/>
      <c r="B186" s="5" t="s">
        <v>451</v>
      </c>
      <c r="C186" s="5" t="s">
        <v>30</v>
      </c>
      <c r="D186">
        <v>90</v>
      </c>
      <c r="E186">
        <v>6</v>
      </c>
      <c r="F186">
        <v>15</v>
      </c>
      <c r="G186" s="5">
        <v>2</v>
      </c>
      <c r="H186" s="5">
        <v>1.6199999999999999E-2</v>
      </c>
      <c r="I186" s="5">
        <v>167670</v>
      </c>
      <c r="J186" s="14">
        <v>335340</v>
      </c>
      <c r="K1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  <c r="M186" s="22" t="s">
        <v>387</v>
      </c>
      <c r="N186" s="22">
        <f>SUMIF(C15:C4502,"Samarinda Oven 250 x 4 x 30",Table1[Jumlah])</f>
        <v>4</v>
      </c>
      <c r="O186" s="22" t="str">
        <f t="shared" si="2"/>
        <v>KURANG LARIS</v>
      </c>
    </row>
    <row r="187" spans="1:15" hidden="1" x14ac:dyDescent="0.25">
      <c r="A187" s="5"/>
      <c r="B187" s="5"/>
      <c r="C187" s="5"/>
      <c r="G187" s="5"/>
      <c r="H187" s="5"/>
      <c r="I187" s="5"/>
      <c r="J187" s="14"/>
      <c r="K1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  <c r="M187" s="22" t="s">
        <v>378</v>
      </c>
      <c r="N187" s="22">
        <f>SUMIF(C15:C4502,"Samarinda Oven 300 x 4 x 30",Table1[Jumlah])</f>
        <v>10</v>
      </c>
      <c r="O187" s="22" t="str">
        <f t="shared" si="2"/>
        <v>KURANG LARIS</v>
      </c>
    </row>
    <row r="188" spans="1:15" hidden="1" x14ac:dyDescent="0.25">
      <c r="A188" s="5"/>
      <c r="B188" s="5"/>
      <c r="C188" s="5"/>
      <c r="G188" s="5"/>
      <c r="H188" s="5"/>
      <c r="I188" s="5"/>
      <c r="J188" s="14"/>
      <c r="K1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" spans="1:15" x14ac:dyDescent="0.25">
      <c r="A189" s="5" t="s">
        <v>61</v>
      </c>
      <c r="B189" s="5" t="s">
        <v>456</v>
      </c>
      <c r="C189" s="5" t="s">
        <v>37</v>
      </c>
      <c r="D189">
        <v>250</v>
      </c>
      <c r="E189">
        <v>4</v>
      </c>
      <c r="F189">
        <v>25</v>
      </c>
      <c r="G189" s="5">
        <v>1</v>
      </c>
      <c r="H189" s="5">
        <v>2.5000000000000001E-2</v>
      </c>
      <c r="I189" s="5">
        <v>615000</v>
      </c>
      <c r="J189" s="14">
        <v>615000</v>
      </c>
      <c r="K1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" spans="1:15" hidden="1" x14ac:dyDescent="0.25">
      <c r="A190" s="5"/>
      <c r="B190" s="5"/>
      <c r="C190" s="5"/>
      <c r="G190" s="5"/>
      <c r="H190" s="5"/>
      <c r="I190" s="5"/>
      <c r="J190" s="14"/>
      <c r="K1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" spans="1:15" x14ac:dyDescent="0.25">
      <c r="A191" s="5"/>
      <c r="B191" s="5" t="s">
        <v>480</v>
      </c>
      <c r="C191" s="5" t="s">
        <v>66</v>
      </c>
      <c r="D191">
        <v>500</v>
      </c>
      <c r="E191">
        <v>3</v>
      </c>
      <c r="F191">
        <v>25</v>
      </c>
      <c r="G191" s="5">
        <v>2</v>
      </c>
      <c r="H191" s="5">
        <v>7.4999999999999997E-2</v>
      </c>
      <c r="I191" s="5">
        <v>941250</v>
      </c>
      <c r="J191" s="14">
        <v>1882500</v>
      </c>
      <c r="K1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" spans="1:15" hidden="1" x14ac:dyDescent="0.25">
      <c r="A192" s="5"/>
      <c r="B192" s="5"/>
      <c r="C192" s="5"/>
      <c r="G192" s="5"/>
      <c r="H192" s="5"/>
      <c r="I192" s="5"/>
      <c r="J192" s="14"/>
      <c r="K1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" spans="1:11" hidden="1" x14ac:dyDescent="0.25">
      <c r="A193" s="5"/>
      <c r="B193" s="5"/>
      <c r="C193" s="5"/>
      <c r="G193" s="5"/>
      <c r="H193" s="5"/>
      <c r="I193" s="5"/>
      <c r="J193" s="14"/>
      <c r="K1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" spans="1:11" x14ac:dyDescent="0.25">
      <c r="A194" s="5" t="s">
        <v>61</v>
      </c>
      <c r="B194" s="5" t="s">
        <v>440</v>
      </c>
      <c r="C194" s="5" t="s">
        <v>17</v>
      </c>
      <c r="D194">
        <v>500</v>
      </c>
      <c r="E194">
        <v>4</v>
      </c>
      <c r="F194">
        <v>25</v>
      </c>
      <c r="G194" s="5">
        <v>2</v>
      </c>
      <c r="H194" s="5">
        <v>0.1</v>
      </c>
      <c r="I194" s="5">
        <v>540000</v>
      </c>
      <c r="J194" s="14">
        <v>1080000</v>
      </c>
      <c r="K1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" spans="1:11" hidden="1" x14ac:dyDescent="0.25">
      <c r="A195" s="5"/>
      <c r="B195" s="5"/>
      <c r="C195" s="5"/>
      <c r="G195" s="5"/>
      <c r="H195" s="5"/>
      <c r="I195" s="5"/>
      <c r="J195" s="14"/>
      <c r="K1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" spans="1:11" x14ac:dyDescent="0.25">
      <c r="A196" s="5"/>
      <c r="B196" s="5" t="s">
        <v>463</v>
      </c>
      <c r="C196" s="5" t="s">
        <v>45</v>
      </c>
      <c r="D196">
        <v>500</v>
      </c>
      <c r="E196">
        <v>4</v>
      </c>
      <c r="F196">
        <v>30</v>
      </c>
      <c r="G196" s="5">
        <v>1</v>
      </c>
      <c r="H196" s="5">
        <v>0.06</v>
      </c>
      <c r="I196" s="5">
        <v>660000</v>
      </c>
      <c r="J196" s="14">
        <v>660000</v>
      </c>
      <c r="K1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" spans="1:11" hidden="1" x14ac:dyDescent="0.25">
      <c r="A197" s="5"/>
      <c r="B197" s="5"/>
      <c r="C197" s="5"/>
      <c r="G197" s="5"/>
      <c r="H197" s="5"/>
      <c r="I197" s="5"/>
      <c r="J197" s="14"/>
      <c r="K1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" spans="1:11" hidden="1" x14ac:dyDescent="0.25">
      <c r="A198" s="5"/>
      <c r="B198" s="5"/>
      <c r="C198" s="5"/>
      <c r="G198" s="5"/>
      <c r="H198" s="5"/>
      <c r="I198" s="5"/>
      <c r="J198" s="14"/>
      <c r="K1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" spans="1:11" x14ac:dyDescent="0.25">
      <c r="A199" s="5" t="s">
        <v>67</v>
      </c>
      <c r="B199" s="5" t="s">
        <v>433</v>
      </c>
      <c r="C199" s="5" t="s">
        <v>9</v>
      </c>
      <c r="D199">
        <v>400</v>
      </c>
      <c r="E199">
        <v>4</v>
      </c>
      <c r="F199">
        <v>20</v>
      </c>
      <c r="G199" s="5">
        <v>5</v>
      </c>
      <c r="H199" s="5">
        <v>0.16</v>
      </c>
      <c r="I199" s="5">
        <v>350400</v>
      </c>
      <c r="J199" s="14">
        <v>1752000</v>
      </c>
      <c r="K1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" spans="1:11" hidden="1" x14ac:dyDescent="0.25">
      <c r="A200" s="5"/>
      <c r="B200" s="5"/>
      <c r="C200" s="5"/>
      <c r="G200" s="5"/>
      <c r="H200" s="5"/>
      <c r="I200" s="5"/>
      <c r="J200" s="14"/>
      <c r="K2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" spans="1:11" hidden="1" x14ac:dyDescent="0.25">
      <c r="A201" s="5"/>
      <c r="B201" s="5"/>
      <c r="C201" s="5"/>
      <c r="G201" s="5"/>
      <c r="H201" s="5"/>
      <c r="I201" s="5"/>
      <c r="J201" s="14"/>
      <c r="K2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" spans="1:11" x14ac:dyDescent="0.25">
      <c r="A202" s="5" t="s">
        <v>67</v>
      </c>
      <c r="B202" s="5" t="s">
        <v>464</v>
      </c>
      <c r="C202" s="5" t="s">
        <v>46</v>
      </c>
      <c r="D202">
        <v>400</v>
      </c>
      <c r="E202">
        <v>5</v>
      </c>
      <c r="F202">
        <v>25</v>
      </c>
      <c r="G202" s="5">
        <v>10</v>
      </c>
      <c r="H202" s="5">
        <v>0.5</v>
      </c>
      <c r="I202" s="5">
        <v>1235000</v>
      </c>
      <c r="J202" s="14">
        <v>12350000</v>
      </c>
      <c r="K2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03" spans="1:11" hidden="1" x14ac:dyDescent="0.25">
      <c r="A203" s="5"/>
      <c r="B203" s="5"/>
      <c r="C203" s="5"/>
      <c r="G203" s="5"/>
      <c r="H203" s="5"/>
      <c r="I203" s="5"/>
      <c r="J203" s="14"/>
      <c r="K2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" spans="1:11" x14ac:dyDescent="0.25">
      <c r="A204" s="5"/>
      <c r="B204" s="5" t="s">
        <v>466</v>
      </c>
      <c r="C204" s="5" t="s">
        <v>49</v>
      </c>
      <c r="D204">
        <v>500</v>
      </c>
      <c r="E204">
        <v>5</v>
      </c>
      <c r="F204">
        <v>30</v>
      </c>
      <c r="G204" s="5">
        <v>20</v>
      </c>
      <c r="H204" s="5">
        <v>1.5</v>
      </c>
      <c r="I204" s="5">
        <v>1920000</v>
      </c>
      <c r="J204" s="14">
        <v>38400000</v>
      </c>
      <c r="K2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05" spans="1:11" hidden="1" x14ac:dyDescent="0.25">
      <c r="A205" s="5"/>
      <c r="B205" s="5"/>
      <c r="C205" s="5"/>
      <c r="G205" s="5"/>
      <c r="H205" s="5"/>
      <c r="I205" s="5"/>
      <c r="J205" s="14"/>
      <c r="K2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" spans="1:11" hidden="1" x14ac:dyDescent="0.25">
      <c r="A206" s="5"/>
      <c r="B206" s="5"/>
      <c r="C206" s="5"/>
      <c r="G206" s="5"/>
      <c r="H206" s="5"/>
      <c r="I206" s="5"/>
      <c r="J206" s="14"/>
      <c r="K2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" spans="1:11" x14ac:dyDescent="0.25">
      <c r="A207" s="5" t="s">
        <v>67</v>
      </c>
      <c r="B207" s="5" t="s">
        <v>443</v>
      </c>
      <c r="C207" s="5" t="s">
        <v>21</v>
      </c>
      <c r="D207">
        <v>400</v>
      </c>
      <c r="E207">
        <v>4</v>
      </c>
      <c r="F207">
        <v>25</v>
      </c>
      <c r="G207" s="5">
        <v>4</v>
      </c>
      <c r="H207" s="5">
        <v>0.16</v>
      </c>
      <c r="I207" s="5">
        <v>442000</v>
      </c>
      <c r="J207" s="14">
        <v>1768000</v>
      </c>
      <c r="K2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" spans="1:11" hidden="1" x14ac:dyDescent="0.25">
      <c r="A208" s="5"/>
      <c r="B208" s="5"/>
      <c r="C208" s="5"/>
      <c r="G208" s="5"/>
      <c r="H208" s="5"/>
      <c r="I208" s="5"/>
      <c r="J208" s="14"/>
      <c r="K2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" spans="1:11" x14ac:dyDescent="0.25">
      <c r="A209" s="5"/>
      <c r="B209" s="5" t="s">
        <v>481</v>
      </c>
      <c r="C209" s="5" t="s">
        <v>68</v>
      </c>
      <c r="D209">
        <v>400</v>
      </c>
      <c r="E209">
        <v>6</v>
      </c>
      <c r="F209">
        <v>15</v>
      </c>
      <c r="G209" s="5">
        <v>4</v>
      </c>
      <c r="H209" s="5">
        <v>0.14399999999999999</v>
      </c>
      <c r="I209" s="5">
        <v>376200</v>
      </c>
      <c r="J209" s="14">
        <v>1504800</v>
      </c>
      <c r="K2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0" spans="1:11" hidden="1" x14ac:dyDescent="0.25">
      <c r="A210" s="5"/>
      <c r="B210" s="5"/>
      <c r="C210" s="5"/>
      <c r="G210" s="5"/>
      <c r="H210" s="5"/>
      <c r="I210" s="5"/>
      <c r="J210" s="14"/>
      <c r="K2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" spans="1:11" hidden="1" x14ac:dyDescent="0.25">
      <c r="A211" s="5"/>
      <c r="B211" s="5"/>
      <c r="C211" s="5"/>
      <c r="G211" s="5"/>
      <c r="H211" s="5"/>
      <c r="I211" s="5"/>
      <c r="J211" s="14"/>
      <c r="K2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" spans="1:11" x14ac:dyDescent="0.25">
      <c r="A212" s="5" t="s">
        <v>67</v>
      </c>
      <c r="B212" s="5" t="s">
        <v>482</v>
      </c>
      <c r="C212" s="5" t="s">
        <v>69</v>
      </c>
      <c r="D212">
        <v>400</v>
      </c>
      <c r="E212">
        <v>2</v>
      </c>
      <c r="F212">
        <v>20</v>
      </c>
      <c r="G212" s="5">
        <v>1</v>
      </c>
      <c r="H212" s="5">
        <v>1.6E-2</v>
      </c>
      <c r="I212" s="5">
        <v>425600</v>
      </c>
      <c r="J212" s="14">
        <v>425600</v>
      </c>
      <c r="K2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" spans="1:11" hidden="1" x14ac:dyDescent="0.25">
      <c r="A213" s="5"/>
      <c r="B213" s="5"/>
      <c r="C213" s="5"/>
      <c r="G213" s="5"/>
      <c r="H213" s="5"/>
      <c r="I213" s="5"/>
      <c r="J213" s="14"/>
      <c r="K2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" spans="1:11" x14ac:dyDescent="0.25">
      <c r="A214" s="5"/>
      <c r="B214" s="5" t="s">
        <v>483</v>
      </c>
      <c r="C214" s="5" t="s">
        <v>70</v>
      </c>
      <c r="D214">
        <v>450</v>
      </c>
      <c r="E214">
        <v>2</v>
      </c>
      <c r="F214">
        <v>20</v>
      </c>
      <c r="G214" s="5">
        <v>6</v>
      </c>
      <c r="H214" s="5">
        <v>0.108</v>
      </c>
      <c r="I214" s="5">
        <v>478800</v>
      </c>
      <c r="J214" s="14">
        <v>2872800</v>
      </c>
      <c r="K2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" spans="1:11" hidden="1" x14ac:dyDescent="0.25">
      <c r="A215" s="5"/>
      <c r="B215" s="5"/>
      <c r="C215" s="5"/>
      <c r="G215" s="5"/>
      <c r="H215" s="5"/>
      <c r="I215" s="5"/>
      <c r="J215" s="14"/>
      <c r="K2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" spans="1:11" hidden="1" x14ac:dyDescent="0.25">
      <c r="A216" s="5"/>
      <c r="B216" s="5"/>
      <c r="C216" s="5"/>
      <c r="G216" s="5"/>
      <c r="H216" s="5"/>
      <c r="I216" s="5"/>
      <c r="J216" s="14"/>
      <c r="K2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" spans="1:11" x14ac:dyDescent="0.25">
      <c r="A217" s="5" t="s">
        <v>71</v>
      </c>
      <c r="B217" s="5" t="s">
        <v>439</v>
      </c>
      <c r="C217" s="5" t="s">
        <v>16</v>
      </c>
      <c r="D217">
        <v>400</v>
      </c>
      <c r="E217">
        <v>3</v>
      </c>
      <c r="F217">
        <v>30</v>
      </c>
      <c r="G217" s="5">
        <v>12</v>
      </c>
      <c r="H217" s="5">
        <v>0.432</v>
      </c>
      <c r="I217" s="5">
        <v>396000</v>
      </c>
      <c r="J217" s="14">
        <v>4752000</v>
      </c>
      <c r="K2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" spans="1:11" hidden="1" x14ac:dyDescent="0.25">
      <c r="A218" s="5"/>
      <c r="B218" s="5"/>
      <c r="C218" s="5"/>
      <c r="G218" s="5"/>
      <c r="H218" s="5"/>
      <c r="I218" s="5"/>
      <c r="J218" s="14"/>
      <c r="K2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" spans="1:11" x14ac:dyDescent="0.25">
      <c r="A219" s="5"/>
      <c r="B219" s="5" t="s">
        <v>471</v>
      </c>
      <c r="C219" s="5" t="s">
        <v>56</v>
      </c>
      <c r="D219">
        <v>500</v>
      </c>
      <c r="E219">
        <v>5</v>
      </c>
      <c r="F219">
        <v>15</v>
      </c>
      <c r="G219" s="5">
        <v>2</v>
      </c>
      <c r="H219" s="5">
        <v>7.4999999999999997E-2</v>
      </c>
      <c r="I219" s="5">
        <v>416250</v>
      </c>
      <c r="J219" s="14">
        <v>832500</v>
      </c>
      <c r="K2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0" spans="1:11" hidden="1" x14ac:dyDescent="0.25">
      <c r="A220" s="5"/>
      <c r="B220" s="5"/>
      <c r="C220" s="5"/>
      <c r="G220" s="5"/>
      <c r="H220" s="5"/>
      <c r="I220" s="5"/>
      <c r="J220" s="14"/>
      <c r="K2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" spans="1:11" hidden="1" x14ac:dyDescent="0.25">
      <c r="A221" s="5"/>
      <c r="B221" s="5"/>
      <c r="C221" s="5"/>
      <c r="G221" s="5"/>
      <c r="H221" s="5"/>
      <c r="I221" s="5"/>
      <c r="J221" s="14"/>
      <c r="K2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" spans="1:11" x14ac:dyDescent="0.25">
      <c r="A222" s="5" t="s">
        <v>71</v>
      </c>
      <c r="B222" s="5" t="s">
        <v>484</v>
      </c>
      <c r="C222" s="5" t="s">
        <v>72</v>
      </c>
      <c r="D222">
        <v>500</v>
      </c>
      <c r="E222">
        <v>3</v>
      </c>
      <c r="F222">
        <v>30</v>
      </c>
      <c r="G222" s="5">
        <v>2</v>
      </c>
      <c r="H222" s="5">
        <v>0.09</v>
      </c>
      <c r="I222" s="5">
        <v>1152000</v>
      </c>
      <c r="J222" s="14">
        <v>2304000</v>
      </c>
      <c r="K2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" spans="1:11" hidden="1" x14ac:dyDescent="0.25">
      <c r="A223" s="5"/>
      <c r="B223" s="5"/>
      <c r="C223" s="5"/>
      <c r="G223" s="5"/>
      <c r="H223" s="5"/>
      <c r="I223" s="5"/>
      <c r="J223" s="14"/>
      <c r="K2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" spans="1:11" hidden="1" x14ac:dyDescent="0.25">
      <c r="A224" s="5"/>
      <c r="B224" s="5"/>
      <c r="C224" s="5"/>
      <c r="G224" s="5"/>
      <c r="H224" s="5"/>
      <c r="I224" s="5"/>
      <c r="J224" s="14"/>
      <c r="K2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" spans="1:11" x14ac:dyDescent="0.25">
      <c r="A225" s="5" t="s">
        <v>73</v>
      </c>
      <c r="B225" s="5" t="s">
        <v>485</v>
      </c>
      <c r="C225" s="5" t="s">
        <v>74</v>
      </c>
      <c r="D225">
        <v>150</v>
      </c>
      <c r="E225">
        <v>6</v>
      </c>
      <c r="F225">
        <v>15</v>
      </c>
      <c r="G225" s="5">
        <v>1</v>
      </c>
      <c r="H225" s="5">
        <v>1.35E-2</v>
      </c>
      <c r="I225" s="5">
        <v>279450</v>
      </c>
      <c r="J225" s="14">
        <v>279450</v>
      </c>
      <c r="K2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6" spans="1:11" hidden="1" x14ac:dyDescent="0.25">
      <c r="A226" s="5"/>
      <c r="B226" s="5"/>
      <c r="C226" s="5"/>
      <c r="G226" s="5"/>
      <c r="H226" s="5"/>
      <c r="I226" s="5"/>
      <c r="J226" s="14"/>
      <c r="K2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" spans="1:11" x14ac:dyDescent="0.25">
      <c r="A227" s="5"/>
      <c r="B227" s="5" t="s">
        <v>458</v>
      </c>
      <c r="C227" s="5" t="s">
        <v>39</v>
      </c>
      <c r="D227">
        <v>220</v>
      </c>
      <c r="E227">
        <v>6</v>
      </c>
      <c r="F227">
        <v>15</v>
      </c>
      <c r="G227" s="5">
        <v>4</v>
      </c>
      <c r="H227" s="5">
        <v>7.9200000000000007E-2</v>
      </c>
      <c r="I227" s="5">
        <v>437580</v>
      </c>
      <c r="J227" s="14">
        <v>1750320</v>
      </c>
      <c r="K2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8" spans="1:11" hidden="1" x14ac:dyDescent="0.25">
      <c r="A228" s="5"/>
      <c r="B228" s="5"/>
      <c r="C228" s="5"/>
      <c r="G228" s="5"/>
      <c r="H228" s="5"/>
      <c r="I228" s="5"/>
      <c r="J228" s="14"/>
      <c r="K2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" spans="1:11" hidden="1" x14ac:dyDescent="0.25">
      <c r="A229" s="5"/>
      <c r="B229" s="5"/>
      <c r="C229" s="5"/>
      <c r="G229" s="5"/>
      <c r="H229" s="5"/>
      <c r="I229" s="5"/>
      <c r="J229" s="14"/>
      <c r="K2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" spans="1:11" x14ac:dyDescent="0.25">
      <c r="A230" s="5" t="s">
        <v>75</v>
      </c>
      <c r="B230" s="5" t="s">
        <v>486</v>
      </c>
      <c r="C230" s="5" t="s">
        <v>76</v>
      </c>
      <c r="D230">
        <v>400</v>
      </c>
      <c r="E230">
        <v>3</v>
      </c>
      <c r="F230">
        <v>25</v>
      </c>
      <c r="G230" s="5">
        <v>1</v>
      </c>
      <c r="H230" s="5">
        <v>0.03</v>
      </c>
      <c r="I230" s="5">
        <v>738000</v>
      </c>
      <c r="J230" s="14">
        <v>738000</v>
      </c>
      <c r="K2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" spans="1:11" hidden="1" x14ac:dyDescent="0.25">
      <c r="A231" s="5"/>
      <c r="B231" s="5"/>
      <c r="C231" s="5"/>
      <c r="G231" s="5"/>
      <c r="H231" s="5"/>
      <c r="I231" s="5"/>
      <c r="J231" s="14"/>
      <c r="K2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" spans="1:11" x14ac:dyDescent="0.25">
      <c r="A232" s="5"/>
      <c r="B232" s="5" t="s">
        <v>487</v>
      </c>
      <c r="C232" s="5" t="s">
        <v>77</v>
      </c>
      <c r="D232">
        <v>250</v>
      </c>
      <c r="E232">
        <v>4</v>
      </c>
      <c r="F232">
        <v>30</v>
      </c>
      <c r="G232" s="5">
        <v>4</v>
      </c>
      <c r="H232" s="5">
        <v>0.12</v>
      </c>
      <c r="I232" s="5">
        <v>753000</v>
      </c>
      <c r="J232" s="14">
        <v>3012000</v>
      </c>
      <c r="K2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" spans="1:11" hidden="1" x14ac:dyDescent="0.25">
      <c r="A233" s="5"/>
      <c r="B233" s="5"/>
      <c r="C233" s="5"/>
      <c r="G233" s="5"/>
      <c r="H233" s="5"/>
      <c r="I233" s="5"/>
      <c r="J233" s="14"/>
      <c r="K2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" spans="1:11" hidden="1" x14ac:dyDescent="0.25">
      <c r="A234" s="5"/>
      <c r="B234" s="5"/>
      <c r="C234" s="5"/>
      <c r="G234" s="5"/>
      <c r="H234" s="5"/>
      <c r="I234" s="5"/>
      <c r="J234" s="14"/>
      <c r="K2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" spans="1:11" x14ac:dyDescent="0.25">
      <c r="A235" s="5" t="s">
        <v>75</v>
      </c>
      <c r="B235" s="5" t="s">
        <v>472</v>
      </c>
      <c r="C235" s="5" t="s">
        <v>57</v>
      </c>
      <c r="D235">
        <v>300</v>
      </c>
      <c r="E235">
        <v>4</v>
      </c>
      <c r="F235">
        <v>30</v>
      </c>
      <c r="G235" s="5">
        <v>1</v>
      </c>
      <c r="H235" s="5">
        <v>3.5999999999999997E-2</v>
      </c>
      <c r="I235" s="5">
        <v>903600</v>
      </c>
      <c r="J235" s="14">
        <v>903600</v>
      </c>
      <c r="K2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" spans="1:11" hidden="1" x14ac:dyDescent="0.25">
      <c r="A236" s="5"/>
      <c r="B236" s="5"/>
      <c r="C236" s="5"/>
      <c r="G236" s="5"/>
      <c r="H236" s="5"/>
      <c r="I236" s="5"/>
      <c r="J236" s="14"/>
      <c r="K2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" spans="1:11" x14ac:dyDescent="0.25">
      <c r="A237" s="5"/>
      <c r="B237" s="5" t="s">
        <v>446</v>
      </c>
      <c r="C237" s="5" t="s">
        <v>25</v>
      </c>
      <c r="D237">
        <v>400</v>
      </c>
      <c r="E237">
        <v>4</v>
      </c>
      <c r="F237">
        <v>15</v>
      </c>
      <c r="G237" s="5">
        <v>1</v>
      </c>
      <c r="H237" s="5">
        <v>2.4E-2</v>
      </c>
      <c r="I237" s="5">
        <v>566400</v>
      </c>
      <c r="J237" s="14">
        <v>566400</v>
      </c>
      <c r="K2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" spans="1:11" hidden="1" x14ac:dyDescent="0.25">
      <c r="A238" s="5"/>
      <c r="B238" s="5"/>
      <c r="C238" s="5"/>
      <c r="G238" s="5"/>
      <c r="H238" s="5"/>
      <c r="I238" s="5"/>
      <c r="J238" s="14"/>
      <c r="K2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" spans="1:11" x14ac:dyDescent="0.25">
      <c r="A239" s="5"/>
      <c r="B239" s="5" t="s">
        <v>488</v>
      </c>
      <c r="C239" s="5" t="s">
        <v>78</v>
      </c>
      <c r="D239">
        <v>300</v>
      </c>
      <c r="E239">
        <v>4</v>
      </c>
      <c r="F239">
        <v>20</v>
      </c>
      <c r="G239" s="5">
        <v>1</v>
      </c>
      <c r="H239" s="5">
        <v>2.4E-2</v>
      </c>
      <c r="I239" s="5">
        <v>588000</v>
      </c>
      <c r="J239" s="14">
        <v>588000</v>
      </c>
      <c r="K2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" spans="1:11" hidden="1" x14ac:dyDescent="0.25">
      <c r="A240" s="5"/>
      <c r="B240" s="5"/>
      <c r="C240" s="5"/>
      <c r="G240" s="5"/>
      <c r="H240" s="5"/>
      <c r="I240" s="5"/>
      <c r="J240" s="14"/>
      <c r="K2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" spans="1:11" x14ac:dyDescent="0.25">
      <c r="A241" s="5"/>
      <c r="B241" s="5" t="s">
        <v>453</v>
      </c>
      <c r="C241" s="5" t="s">
        <v>34</v>
      </c>
      <c r="D241">
        <v>400</v>
      </c>
      <c r="E241">
        <v>5</v>
      </c>
      <c r="F241">
        <v>20</v>
      </c>
      <c r="G241" s="5">
        <v>1</v>
      </c>
      <c r="H241" s="5">
        <v>0.04</v>
      </c>
      <c r="I241" s="5">
        <v>440000</v>
      </c>
      <c r="J241" s="14">
        <v>440000</v>
      </c>
      <c r="K2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42" spans="1:11" hidden="1" x14ac:dyDescent="0.25">
      <c r="A242" s="5"/>
      <c r="B242" s="5"/>
      <c r="C242" s="5"/>
      <c r="G242" s="5"/>
      <c r="H242" s="5"/>
      <c r="I242" s="5"/>
      <c r="J242" s="14"/>
      <c r="K2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" spans="1:11" hidden="1" x14ac:dyDescent="0.25">
      <c r="A243" s="5"/>
      <c r="B243" s="5"/>
      <c r="C243" s="5"/>
      <c r="G243" s="5"/>
      <c r="H243" s="5"/>
      <c r="I243" s="5"/>
      <c r="J243" s="14"/>
      <c r="K2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" spans="1:11" x14ac:dyDescent="0.25">
      <c r="A244" s="5" t="s">
        <v>79</v>
      </c>
      <c r="B244" s="5" t="s">
        <v>489</v>
      </c>
      <c r="C244" s="5" t="s">
        <v>80</v>
      </c>
      <c r="D244">
        <v>400</v>
      </c>
      <c r="E244">
        <v>5</v>
      </c>
      <c r="F244">
        <v>20</v>
      </c>
      <c r="G244" s="5">
        <v>1</v>
      </c>
      <c r="H244" s="5">
        <v>0.04</v>
      </c>
      <c r="I244" s="5">
        <v>988000</v>
      </c>
      <c r="J244" s="14">
        <v>988000</v>
      </c>
      <c r="K2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45" spans="1:11" hidden="1" x14ac:dyDescent="0.25">
      <c r="A245" s="5"/>
      <c r="B245" s="5"/>
      <c r="C245" s="5"/>
      <c r="G245" s="5"/>
      <c r="H245" s="5"/>
      <c r="I245" s="5"/>
      <c r="J245" s="14"/>
      <c r="K2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" spans="1:11" x14ac:dyDescent="0.25">
      <c r="A246" s="5"/>
      <c r="B246" s="5" t="s">
        <v>464</v>
      </c>
      <c r="C246" s="5" t="s">
        <v>46</v>
      </c>
      <c r="D246">
        <v>400</v>
      </c>
      <c r="E246">
        <v>5</v>
      </c>
      <c r="F246">
        <v>25</v>
      </c>
      <c r="G246" s="5">
        <v>10</v>
      </c>
      <c r="H246" s="5">
        <v>0.5</v>
      </c>
      <c r="I246" s="5">
        <v>1235000</v>
      </c>
      <c r="J246" s="14">
        <v>12350000</v>
      </c>
      <c r="K2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47" spans="1:11" hidden="1" x14ac:dyDescent="0.25">
      <c r="A247" s="5"/>
      <c r="B247" s="5"/>
      <c r="C247" s="5"/>
      <c r="G247" s="5"/>
      <c r="H247" s="5"/>
      <c r="I247" s="5"/>
      <c r="J247" s="14"/>
      <c r="K2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" spans="1:11" x14ac:dyDescent="0.25">
      <c r="A248" s="5"/>
      <c r="B248" s="5" t="s">
        <v>465</v>
      </c>
      <c r="C248" s="5" t="s">
        <v>48</v>
      </c>
      <c r="D248">
        <v>400</v>
      </c>
      <c r="E248">
        <v>5</v>
      </c>
      <c r="F248">
        <v>35</v>
      </c>
      <c r="G248" s="5">
        <v>6</v>
      </c>
      <c r="H248" s="5">
        <v>0.42</v>
      </c>
      <c r="I248" s="5">
        <v>1855000</v>
      </c>
      <c r="J248" s="14">
        <v>11130000</v>
      </c>
      <c r="K2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49" spans="1:11" hidden="1" x14ac:dyDescent="0.25">
      <c r="A249" s="5"/>
      <c r="B249" s="5"/>
      <c r="C249" s="5"/>
      <c r="G249" s="5"/>
      <c r="H249" s="5"/>
      <c r="I249" s="5"/>
      <c r="J249" s="14"/>
      <c r="K2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" spans="1:11" hidden="1" x14ac:dyDescent="0.25">
      <c r="A250" s="5"/>
      <c r="B250" s="5"/>
      <c r="C250" s="5"/>
      <c r="G250" s="5"/>
      <c r="H250" s="5"/>
      <c r="I250" s="5"/>
      <c r="J250" s="14"/>
      <c r="K2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" spans="1:11" x14ac:dyDescent="0.25">
      <c r="A251" s="5" t="s">
        <v>81</v>
      </c>
      <c r="B251" s="5" t="s">
        <v>490</v>
      </c>
      <c r="C251" s="5" t="s">
        <v>82</v>
      </c>
      <c r="D251">
        <v>250</v>
      </c>
      <c r="E251">
        <v>6</v>
      </c>
      <c r="F251">
        <v>15</v>
      </c>
      <c r="G251" s="5">
        <v>1</v>
      </c>
      <c r="H251" s="5">
        <v>2.2499999999999999E-2</v>
      </c>
      <c r="I251" s="5">
        <v>240750</v>
      </c>
      <c r="J251" s="14">
        <v>240750</v>
      </c>
      <c r="K2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2" spans="1:11" hidden="1" x14ac:dyDescent="0.25">
      <c r="A252" s="5"/>
      <c r="B252" s="5"/>
      <c r="C252" s="5"/>
      <c r="G252" s="5"/>
      <c r="H252" s="5"/>
      <c r="I252" s="5"/>
      <c r="J252" s="14"/>
      <c r="K2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" spans="1:11" x14ac:dyDescent="0.25">
      <c r="A253" s="5"/>
      <c r="B253" s="5" t="s">
        <v>491</v>
      </c>
      <c r="C253" s="5" t="s">
        <v>83</v>
      </c>
      <c r="D253">
        <v>450</v>
      </c>
      <c r="E253">
        <v>6</v>
      </c>
      <c r="F253">
        <v>15</v>
      </c>
      <c r="G253" s="5">
        <v>2</v>
      </c>
      <c r="H253" s="5">
        <v>8.1000000000000003E-2</v>
      </c>
      <c r="I253" s="5">
        <v>433350</v>
      </c>
      <c r="J253" s="14">
        <v>866700</v>
      </c>
      <c r="K2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4" spans="1:11" hidden="1" x14ac:dyDescent="0.25">
      <c r="A254" s="5"/>
      <c r="B254" s="5"/>
      <c r="C254" s="5"/>
      <c r="G254" s="5"/>
      <c r="H254" s="5"/>
      <c r="I254" s="5"/>
      <c r="J254" s="14"/>
      <c r="K2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" spans="1:11" hidden="1" x14ac:dyDescent="0.25">
      <c r="A255" s="5"/>
      <c r="B255" s="5"/>
      <c r="C255" s="5"/>
      <c r="G255" s="5"/>
      <c r="H255" s="5"/>
      <c r="I255" s="5"/>
      <c r="J255" s="14"/>
      <c r="K2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" spans="1:11" x14ac:dyDescent="0.25">
      <c r="A256" s="5" t="s">
        <v>81</v>
      </c>
      <c r="B256" s="5" t="s">
        <v>492</v>
      </c>
      <c r="C256" s="5" t="s">
        <v>84</v>
      </c>
      <c r="D256">
        <v>400</v>
      </c>
      <c r="E256">
        <v>4</v>
      </c>
      <c r="F256">
        <v>6</v>
      </c>
      <c r="G256" s="5">
        <v>2</v>
      </c>
      <c r="H256" s="5">
        <v>1.9199999999999998E-2</v>
      </c>
      <c r="I256" s="5">
        <v>94080</v>
      </c>
      <c r="J256" s="14">
        <v>188160</v>
      </c>
      <c r="K2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" spans="1:11" hidden="1" x14ac:dyDescent="0.25">
      <c r="A257" s="5"/>
      <c r="B257" s="5"/>
      <c r="C257" s="5"/>
      <c r="G257" s="5"/>
      <c r="H257" s="5"/>
      <c r="I257" s="5"/>
      <c r="J257" s="14"/>
      <c r="K2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" spans="1:11" hidden="1" x14ac:dyDescent="0.25">
      <c r="A258" s="5"/>
      <c r="B258" s="5"/>
      <c r="C258" s="5"/>
      <c r="G258" s="5"/>
      <c r="H258" s="5"/>
      <c r="I258" s="5"/>
      <c r="J258" s="14"/>
      <c r="K2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" spans="1:11" x14ac:dyDescent="0.25">
      <c r="A259" s="5" t="s">
        <v>85</v>
      </c>
      <c r="B259" s="5" t="s">
        <v>493</v>
      </c>
      <c r="C259" s="5" t="s">
        <v>86</v>
      </c>
      <c r="D259">
        <v>300</v>
      </c>
      <c r="E259">
        <v>4</v>
      </c>
      <c r="F259">
        <v>25</v>
      </c>
      <c r="G259" s="5">
        <v>2</v>
      </c>
      <c r="H259" s="5">
        <v>0.06</v>
      </c>
      <c r="I259" s="5">
        <v>324000</v>
      </c>
      <c r="J259" s="14">
        <v>648000</v>
      </c>
      <c r="K2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" spans="1:11" hidden="1" x14ac:dyDescent="0.25">
      <c r="A260" s="5"/>
      <c r="B260" s="5"/>
      <c r="C260" s="5"/>
      <c r="G260" s="5"/>
      <c r="H260" s="5"/>
      <c r="I260" s="5"/>
      <c r="J260" s="14"/>
      <c r="K2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" spans="1:11" x14ac:dyDescent="0.25">
      <c r="A261" s="5"/>
      <c r="B261" s="5" t="s">
        <v>494</v>
      </c>
      <c r="C261" s="5" t="s">
        <v>87</v>
      </c>
      <c r="D261">
        <v>450</v>
      </c>
      <c r="E261">
        <v>4</v>
      </c>
      <c r="F261">
        <v>25</v>
      </c>
      <c r="G261" s="5">
        <v>1</v>
      </c>
      <c r="H261" s="5">
        <v>4.4999999999999998E-2</v>
      </c>
      <c r="I261" s="5">
        <v>486000</v>
      </c>
      <c r="J261" s="14">
        <v>486000</v>
      </c>
      <c r="K2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" spans="1:11" hidden="1" x14ac:dyDescent="0.25">
      <c r="A262" s="5"/>
      <c r="B262" s="5"/>
      <c r="C262" s="5"/>
      <c r="G262" s="5"/>
      <c r="H262" s="5"/>
      <c r="I262" s="5"/>
      <c r="J262" s="14"/>
      <c r="K2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" spans="1:11" hidden="1" x14ac:dyDescent="0.25">
      <c r="A263" s="5"/>
      <c r="B263" s="5"/>
      <c r="C263" s="5"/>
      <c r="G263" s="5"/>
      <c r="H263" s="5"/>
      <c r="I263" s="5"/>
      <c r="J263" s="14"/>
      <c r="K2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" spans="1:11" x14ac:dyDescent="0.25">
      <c r="A264" s="5" t="s">
        <v>85</v>
      </c>
      <c r="B264" s="5" t="s">
        <v>439</v>
      </c>
      <c r="C264" s="5" t="s">
        <v>16</v>
      </c>
      <c r="D264">
        <v>400</v>
      </c>
      <c r="E264">
        <v>3</v>
      </c>
      <c r="F264">
        <v>30</v>
      </c>
      <c r="G264" s="5">
        <v>4</v>
      </c>
      <c r="H264" s="5">
        <v>0.14399999999999999</v>
      </c>
      <c r="I264" s="5">
        <v>405000</v>
      </c>
      <c r="J264" s="14">
        <v>1620000</v>
      </c>
      <c r="K2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" spans="1:11" hidden="1" x14ac:dyDescent="0.25">
      <c r="A265" s="5"/>
      <c r="B265" s="5"/>
      <c r="C265" s="5"/>
      <c r="G265" s="5"/>
      <c r="H265" s="5"/>
      <c r="I265" s="5"/>
      <c r="J265" s="14"/>
      <c r="K2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" spans="1:11" x14ac:dyDescent="0.25">
      <c r="A266" s="5"/>
      <c r="B266" s="5" t="s">
        <v>491</v>
      </c>
      <c r="C266" s="5" t="s">
        <v>83</v>
      </c>
      <c r="D266">
        <v>450</v>
      </c>
      <c r="E266">
        <v>6</v>
      </c>
      <c r="F266">
        <v>15</v>
      </c>
      <c r="G266" s="5">
        <v>3</v>
      </c>
      <c r="H266" s="5">
        <v>0.1215</v>
      </c>
      <c r="I266" s="5">
        <v>445500</v>
      </c>
      <c r="J266" s="14">
        <v>1336500</v>
      </c>
      <c r="K2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7" spans="1:11" hidden="1" x14ac:dyDescent="0.25">
      <c r="A267" s="5"/>
      <c r="B267" s="5"/>
      <c r="C267" s="5"/>
      <c r="G267" s="5"/>
      <c r="H267" s="5"/>
      <c r="I267" s="5"/>
      <c r="J267" s="14"/>
      <c r="K2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" spans="1:11" hidden="1" x14ac:dyDescent="0.25">
      <c r="A268" s="5"/>
      <c r="B268" s="5"/>
      <c r="C268" s="5"/>
      <c r="G268" s="5"/>
      <c r="H268" s="5"/>
      <c r="I268" s="5"/>
      <c r="J268" s="14"/>
      <c r="K2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" spans="1:11" x14ac:dyDescent="0.25">
      <c r="A269" s="5" t="s">
        <v>85</v>
      </c>
      <c r="B269" s="5" t="s">
        <v>495</v>
      </c>
      <c r="C269" s="5" t="s">
        <v>88</v>
      </c>
      <c r="D269">
        <v>400</v>
      </c>
      <c r="E269">
        <v>8</v>
      </c>
      <c r="F269">
        <v>12</v>
      </c>
      <c r="G269" s="5">
        <v>1</v>
      </c>
      <c r="H269" s="5">
        <v>3.8399999999999997E-2</v>
      </c>
      <c r="I269" s="5">
        <v>867840</v>
      </c>
      <c r="J269" s="14">
        <v>867840</v>
      </c>
      <c r="K2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70" spans="1:11" hidden="1" x14ac:dyDescent="0.25">
      <c r="A270" s="5"/>
      <c r="B270" s="5"/>
      <c r="C270" s="5"/>
      <c r="G270" s="5"/>
      <c r="H270" s="5"/>
      <c r="I270" s="5"/>
      <c r="J270" s="14"/>
      <c r="K2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" spans="1:11" hidden="1" x14ac:dyDescent="0.25">
      <c r="A271" s="5"/>
      <c r="B271" s="5"/>
      <c r="C271" s="5"/>
      <c r="G271" s="5"/>
      <c r="H271" s="5"/>
      <c r="I271" s="5"/>
      <c r="J271" s="14"/>
      <c r="K2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" spans="1:11" x14ac:dyDescent="0.25">
      <c r="A272" s="5" t="s">
        <v>85</v>
      </c>
      <c r="B272" s="5" t="s">
        <v>496</v>
      </c>
      <c r="C272" s="5" t="s">
        <v>89</v>
      </c>
      <c r="D272">
        <v>400</v>
      </c>
      <c r="E272">
        <v>5</v>
      </c>
      <c r="F272">
        <v>30</v>
      </c>
      <c r="G272" s="5">
        <v>3</v>
      </c>
      <c r="H272" s="5">
        <v>0.18</v>
      </c>
      <c r="I272" s="5">
        <v>1464000</v>
      </c>
      <c r="J272" s="14">
        <v>4392000</v>
      </c>
      <c r="K2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73" spans="1:11" hidden="1" x14ac:dyDescent="0.25">
      <c r="A273" s="5"/>
      <c r="B273" s="5"/>
      <c r="C273" s="5"/>
      <c r="G273" s="5"/>
      <c r="H273" s="5"/>
      <c r="I273" s="5"/>
      <c r="J273" s="14"/>
      <c r="K2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" spans="1:11" x14ac:dyDescent="0.25">
      <c r="A274" s="5"/>
      <c r="B274" s="5" t="s">
        <v>497</v>
      </c>
      <c r="C274" s="5" t="s">
        <v>90</v>
      </c>
      <c r="D274">
        <v>400</v>
      </c>
      <c r="E274">
        <v>6</v>
      </c>
      <c r="F274">
        <v>35</v>
      </c>
      <c r="G274" s="5">
        <v>1</v>
      </c>
      <c r="H274" s="5">
        <v>8.4000000000000005E-2</v>
      </c>
      <c r="I274" s="5">
        <v>2167200</v>
      </c>
      <c r="J274" s="14">
        <v>2167200</v>
      </c>
      <c r="K2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75" spans="1:11" hidden="1" x14ac:dyDescent="0.25">
      <c r="A275" s="5"/>
      <c r="B275" s="5"/>
      <c r="C275" s="5"/>
      <c r="G275" s="5"/>
      <c r="H275" s="5"/>
      <c r="I275" s="5"/>
      <c r="J275" s="14"/>
      <c r="K2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" spans="1:11" hidden="1" x14ac:dyDescent="0.25">
      <c r="A276" s="5"/>
      <c r="B276" s="5"/>
      <c r="C276" s="5"/>
      <c r="G276" s="5"/>
      <c r="H276" s="5"/>
      <c r="I276" s="5"/>
      <c r="J276" s="14"/>
      <c r="K2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" spans="1:11" x14ac:dyDescent="0.25">
      <c r="A277" s="5" t="s">
        <v>91</v>
      </c>
      <c r="B277" s="5" t="s">
        <v>481</v>
      </c>
      <c r="C277" s="5" t="s">
        <v>68</v>
      </c>
      <c r="D277">
        <v>400</v>
      </c>
      <c r="E277">
        <v>6</v>
      </c>
      <c r="F277">
        <v>15</v>
      </c>
      <c r="G277" s="5">
        <v>1</v>
      </c>
      <c r="H277" s="5">
        <v>3.5999999999999997E-2</v>
      </c>
      <c r="I277" s="5">
        <v>313200</v>
      </c>
      <c r="J277" s="14">
        <v>313200</v>
      </c>
      <c r="K2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8" spans="1:11" hidden="1" x14ac:dyDescent="0.25">
      <c r="A278" s="5"/>
      <c r="B278" s="5"/>
      <c r="C278" s="5"/>
      <c r="G278" s="5"/>
      <c r="H278" s="5"/>
      <c r="I278" s="5"/>
      <c r="J278" s="14"/>
      <c r="K2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" spans="1:11" x14ac:dyDescent="0.25">
      <c r="A279" s="5"/>
      <c r="B279" s="5" t="s">
        <v>498</v>
      </c>
      <c r="C279" s="5" t="s">
        <v>92</v>
      </c>
      <c r="D279">
        <v>500</v>
      </c>
      <c r="E279">
        <v>6</v>
      </c>
      <c r="F279">
        <v>15</v>
      </c>
      <c r="G279" s="5">
        <v>2</v>
      </c>
      <c r="H279" s="5">
        <v>0.09</v>
      </c>
      <c r="I279" s="5">
        <v>414000</v>
      </c>
      <c r="J279" s="14">
        <v>828000</v>
      </c>
      <c r="K2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0" spans="1:11" hidden="1" x14ac:dyDescent="0.25">
      <c r="A280" s="5"/>
      <c r="B280" s="5"/>
      <c r="C280" s="5"/>
      <c r="G280" s="5"/>
      <c r="H280" s="5"/>
      <c r="I280" s="5"/>
      <c r="J280" s="14"/>
      <c r="K2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" spans="1:11" hidden="1" x14ac:dyDescent="0.25">
      <c r="A281" s="5"/>
      <c r="B281" s="5"/>
      <c r="C281" s="5"/>
      <c r="G281" s="5"/>
      <c r="H281" s="5"/>
      <c r="I281" s="5"/>
      <c r="J281" s="14"/>
      <c r="K2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2" spans="1:11" x14ac:dyDescent="0.25">
      <c r="A282" s="5" t="s">
        <v>93</v>
      </c>
      <c r="B282" s="5" t="s">
        <v>499</v>
      </c>
      <c r="C282" s="5" t="s">
        <v>94</v>
      </c>
      <c r="D282">
        <v>300</v>
      </c>
      <c r="E282">
        <v>6</v>
      </c>
      <c r="F282">
        <v>15</v>
      </c>
      <c r="G282" s="5">
        <v>2</v>
      </c>
      <c r="H282" s="5">
        <v>5.3999999999999999E-2</v>
      </c>
      <c r="I282" s="5">
        <v>583200</v>
      </c>
      <c r="J282" s="14">
        <v>1166400</v>
      </c>
      <c r="K2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3" spans="1:11" hidden="1" x14ac:dyDescent="0.25">
      <c r="A283" s="5"/>
      <c r="B283" s="5"/>
      <c r="C283" s="5"/>
      <c r="G283" s="5"/>
      <c r="H283" s="5"/>
      <c r="I283" s="5"/>
      <c r="J283" s="14"/>
      <c r="K2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" spans="1:11" x14ac:dyDescent="0.25">
      <c r="A284" s="5"/>
      <c r="B284" s="5" t="s">
        <v>450</v>
      </c>
      <c r="C284" s="5" t="s">
        <v>29</v>
      </c>
      <c r="D284">
        <v>500</v>
      </c>
      <c r="E284">
        <v>8</v>
      </c>
      <c r="F284">
        <v>15</v>
      </c>
      <c r="G284" s="5">
        <v>2</v>
      </c>
      <c r="H284" s="5">
        <v>0.12</v>
      </c>
      <c r="I284" s="5">
        <v>1362000</v>
      </c>
      <c r="J284" s="14">
        <v>2724000</v>
      </c>
      <c r="K2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85" spans="1:11" hidden="1" x14ac:dyDescent="0.25">
      <c r="A285" s="5"/>
      <c r="B285" s="5"/>
      <c r="C285" s="5"/>
      <c r="G285" s="5"/>
      <c r="H285" s="5"/>
      <c r="I285" s="5"/>
      <c r="J285" s="14"/>
      <c r="K2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" spans="1:11" hidden="1" x14ac:dyDescent="0.25">
      <c r="A286" s="5"/>
      <c r="B286" s="5"/>
      <c r="C286" s="5"/>
      <c r="G286" s="5"/>
      <c r="H286" s="5"/>
      <c r="I286" s="5"/>
      <c r="J286" s="14"/>
      <c r="K2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" spans="1:11" x14ac:dyDescent="0.25">
      <c r="A287" s="5" t="s">
        <v>93</v>
      </c>
      <c r="B287" s="5" t="s">
        <v>444</v>
      </c>
      <c r="C287" s="5" t="s">
        <v>23</v>
      </c>
      <c r="D287">
        <v>400</v>
      </c>
      <c r="E287">
        <v>5</v>
      </c>
      <c r="F287">
        <v>15</v>
      </c>
      <c r="G287" s="5">
        <v>2</v>
      </c>
      <c r="H287" s="5">
        <v>0.06</v>
      </c>
      <c r="I287" s="5">
        <v>678000</v>
      </c>
      <c r="J287" s="14">
        <v>1356000</v>
      </c>
      <c r="K2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8" spans="1:11" hidden="1" x14ac:dyDescent="0.25">
      <c r="A288" s="5"/>
      <c r="B288" s="5"/>
      <c r="C288" s="5"/>
      <c r="G288" s="5"/>
      <c r="H288" s="5"/>
      <c r="I288" s="5"/>
      <c r="J288" s="14"/>
      <c r="K2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" spans="1:11" hidden="1" x14ac:dyDescent="0.25">
      <c r="A289" s="5"/>
      <c r="B289" s="5"/>
      <c r="C289" s="5"/>
      <c r="G289" s="5"/>
      <c r="H289" s="5"/>
      <c r="I289" s="5"/>
      <c r="J289" s="14"/>
      <c r="K2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" spans="1:11" x14ac:dyDescent="0.25">
      <c r="A290" s="5" t="s">
        <v>93</v>
      </c>
      <c r="B290" s="5" t="s">
        <v>460</v>
      </c>
      <c r="C290" s="5" t="s">
        <v>41</v>
      </c>
      <c r="D290">
        <v>500</v>
      </c>
      <c r="E290">
        <v>5</v>
      </c>
      <c r="F290">
        <v>20</v>
      </c>
      <c r="G290" s="5">
        <v>3</v>
      </c>
      <c r="H290" s="5">
        <v>0.15</v>
      </c>
      <c r="I290" s="5">
        <v>1225000</v>
      </c>
      <c r="J290" s="14">
        <v>3675000</v>
      </c>
      <c r="K2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91" spans="1:11" hidden="1" x14ac:dyDescent="0.25">
      <c r="A291" s="5"/>
      <c r="B291" s="5"/>
      <c r="C291" s="5"/>
      <c r="G291" s="5"/>
      <c r="H291" s="5"/>
      <c r="I291" s="5"/>
      <c r="J291" s="14"/>
      <c r="K2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" spans="1:11" x14ac:dyDescent="0.25">
      <c r="A292" s="5"/>
      <c r="B292" s="5" t="s">
        <v>500</v>
      </c>
      <c r="C292" s="5" t="s">
        <v>95</v>
      </c>
      <c r="D292">
        <v>210</v>
      </c>
      <c r="E292">
        <v>6</v>
      </c>
      <c r="F292">
        <v>15</v>
      </c>
      <c r="G292" s="5">
        <v>10</v>
      </c>
      <c r="H292" s="5">
        <v>0.189</v>
      </c>
      <c r="I292" s="5">
        <v>408240</v>
      </c>
      <c r="J292" s="14">
        <v>4082400</v>
      </c>
      <c r="K2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3" spans="1:11" hidden="1" x14ac:dyDescent="0.25">
      <c r="A293" s="5"/>
      <c r="B293" s="5"/>
      <c r="C293" s="5"/>
      <c r="G293" s="5"/>
      <c r="H293" s="5"/>
      <c r="I293" s="5"/>
      <c r="J293" s="14"/>
      <c r="K2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" spans="1:11" x14ac:dyDescent="0.25">
      <c r="A294" s="5"/>
      <c r="B294" s="5" t="s">
        <v>501</v>
      </c>
      <c r="C294" s="5" t="s">
        <v>96</v>
      </c>
      <c r="D294">
        <v>250</v>
      </c>
      <c r="E294">
        <v>6</v>
      </c>
      <c r="F294">
        <v>15</v>
      </c>
      <c r="G294" s="5">
        <v>20</v>
      </c>
      <c r="H294" s="5">
        <v>0.45</v>
      </c>
      <c r="I294" s="5">
        <v>499500</v>
      </c>
      <c r="J294" s="14">
        <v>9990000</v>
      </c>
      <c r="K2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5" spans="1:11" hidden="1" x14ac:dyDescent="0.25">
      <c r="A295" s="5"/>
      <c r="B295" s="5"/>
      <c r="C295" s="5"/>
      <c r="G295" s="5"/>
      <c r="H295" s="5"/>
      <c r="I295" s="5"/>
      <c r="J295" s="14"/>
      <c r="K2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" spans="1:11" hidden="1" x14ac:dyDescent="0.25">
      <c r="A296" s="5"/>
      <c r="B296" s="5"/>
      <c r="C296" s="5"/>
      <c r="G296" s="5"/>
      <c r="H296" s="5"/>
      <c r="I296" s="5"/>
      <c r="J296" s="14"/>
      <c r="K2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" spans="1:11" x14ac:dyDescent="0.25">
      <c r="A297" s="5" t="s">
        <v>97</v>
      </c>
      <c r="B297" s="5" t="s">
        <v>502</v>
      </c>
      <c r="C297" s="5" t="s">
        <v>98</v>
      </c>
      <c r="D297">
        <v>400</v>
      </c>
      <c r="E297">
        <v>5</v>
      </c>
      <c r="F297">
        <v>15</v>
      </c>
      <c r="G297" s="5">
        <v>3</v>
      </c>
      <c r="H297" s="5">
        <v>0.09</v>
      </c>
      <c r="I297" s="5">
        <v>280500</v>
      </c>
      <c r="J297" s="14">
        <v>841500</v>
      </c>
      <c r="K2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8" spans="1:11" hidden="1" x14ac:dyDescent="0.25">
      <c r="A298" s="5"/>
      <c r="B298" s="5"/>
      <c r="C298" s="5"/>
      <c r="G298" s="5"/>
      <c r="H298" s="5"/>
      <c r="I298" s="5"/>
      <c r="J298" s="14"/>
      <c r="K2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" spans="1:11" x14ac:dyDescent="0.25">
      <c r="A299" s="5"/>
      <c r="B299" s="5" t="s">
        <v>436</v>
      </c>
      <c r="C299" s="5" t="s">
        <v>12</v>
      </c>
      <c r="D299">
        <v>400</v>
      </c>
      <c r="E299">
        <v>6</v>
      </c>
      <c r="F299">
        <v>17</v>
      </c>
      <c r="G299" s="5">
        <v>2</v>
      </c>
      <c r="H299" s="5">
        <v>8.1600000000000006E-2</v>
      </c>
      <c r="I299" s="5">
        <v>381480</v>
      </c>
      <c r="J299" s="14">
        <v>762960</v>
      </c>
      <c r="K2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0" spans="1:11" hidden="1" x14ac:dyDescent="0.25">
      <c r="A300" s="5"/>
      <c r="B300" s="5"/>
      <c r="C300" s="5"/>
      <c r="G300" s="5"/>
      <c r="H300" s="5"/>
      <c r="I300" s="5"/>
      <c r="J300" s="14"/>
      <c r="K3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" spans="1:11" x14ac:dyDescent="0.25">
      <c r="A301" s="5"/>
      <c r="B301" s="5" t="s">
        <v>471</v>
      </c>
      <c r="C301" s="5" t="s">
        <v>56</v>
      </c>
      <c r="D301">
        <v>500</v>
      </c>
      <c r="E301">
        <v>5</v>
      </c>
      <c r="F301">
        <v>15</v>
      </c>
      <c r="G301" s="5">
        <v>7</v>
      </c>
      <c r="H301" s="5">
        <v>0.26250000000000001</v>
      </c>
      <c r="I301" s="5">
        <v>371250</v>
      </c>
      <c r="J301" s="14">
        <v>2598750</v>
      </c>
      <c r="K3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2" spans="1:11" hidden="1" x14ac:dyDescent="0.25">
      <c r="A302" s="5"/>
      <c r="B302" s="5"/>
      <c r="C302" s="5"/>
      <c r="G302" s="5"/>
      <c r="H302" s="5"/>
      <c r="I302" s="5"/>
      <c r="J302" s="14"/>
      <c r="K3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" spans="1:11" hidden="1" x14ac:dyDescent="0.25">
      <c r="A303" s="5"/>
      <c r="B303" s="5"/>
      <c r="C303" s="5"/>
      <c r="G303" s="5"/>
      <c r="H303" s="5"/>
      <c r="I303" s="5"/>
      <c r="J303" s="14"/>
      <c r="K3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" spans="1:11" x14ac:dyDescent="0.25">
      <c r="A304" s="5" t="s">
        <v>97</v>
      </c>
      <c r="B304" s="5" t="s">
        <v>490</v>
      </c>
      <c r="C304" s="5" t="s">
        <v>82</v>
      </c>
      <c r="D304">
        <v>250</v>
      </c>
      <c r="E304">
        <v>6</v>
      </c>
      <c r="F304">
        <v>15</v>
      </c>
      <c r="G304" s="5">
        <v>5</v>
      </c>
      <c r="H304" s="5">
        <v>0.1125</v>
      </c>
      <c r="I304" s="5">
        <v>207000</v>
      </c>
      <c r="J304" s="14">
        <v>1035000</v>
      </c>
      <c r="K3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5" spans="1:11" hidden="1" x14ac:dyDescent="0.25">
      <c r="A305" s="5"/>
      <c r="B305" s="5"/>
      <c r="C305" s="5"/>
      <c r="G305" s="5"/>
      <c r="H305" s="5"/>
      <c r="I305" s="5"/>
      <c r="J305" s="14"/>
      <c r="K3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" spans="1:11" x14ac:dyDescent="0.25">
      <c r="A306" s="5"/>
      <c r="B306" s="5" t="s">
        <v>481</v>
      </c>
      <c r="C306" s="5" t="s">
        <v>68</v>
      </c>
      <c r="D306">
        <v>400</v>
      </c>
      <c r="E306">
        <v>6</v>
      </c>
      <c r="F306">
        <v>15</v>
      </c>
      <c r="G306" s="5">
        <v>1</v>
      </c>
      <c r="H306" s="5">
        <v>3.5999999999999997E-2</v>
      </c>
      <c r="I306" s="5">
        <v>313200</v>
      </c>
      <c r="J306" s="14">
        <v>313200</v>
      </c>
      <c r="K3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7" spans="1:11" hidden="1" x14ac:dyDescent="0.25">
      <c r="A307" s="5"/>
      <c r="B307" s="5"/>
      <c r="C307" s="5"/>
      <c r="G307" s="5"/>
      <c r="H307" s="5"/>
      <c r="I307" s="5"/>
      <c r="J307" s="14"/>
      <c r="K3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" spans="1:11" x14ac:dyDescent="0.25">
      <c r="A308" s="5"/>
      <c r="B308" s="5" t="s">
        <v>491</v>
      </c>
      <c r="C308" s="5" t="s">
        <v>83</v>
      </c>
      <c r="D308">
        <v>450</v>
      </c>
      <c r="E308">
        <v>6</v>
      </c>
      <c r="F308">
        <v>15</v>
      </c>
      <c r="G308" s="5">
        <v>1</v>
      </c>
      <c r="H308" s="5">
        <v>4.0500000000000001E-2</v>
      </c>
      <c r="I308" s="5">
        <v>372600</v>
      </c>
      <c r="J308" s="14">
        <v>372600</v>
      </c>
      <c r="K3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9" spans="1:11" hidden="1" x14ac:dyDescent="0.25">
      <c r="A309" s="5"/>
      <c r="B309" s="5"/>
      <c r="C309" s="5"/>
      <c r="G309" s="5"/>
      <c r="H309" s="5"/>
      <c r="I309" s="5"/>
      <c r="J309" s="14"/>
      <c r="K3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" spans="1:11" x14ac:dyDescent="0.25">
      <c r="A310" s="5"/>
      <c r="B310" s="5" t="s">
        <v>498</v>
      </c>
      <c r="C310" s="5" t="s">
        <v>92</v>
      </c>
      <c r="D310">
        <v>500</v>
      </c>
      <c r="E310">
        <v>6</v>
      </c>
      <c r="F310">
        <v>15</v>
      </c>
      <c r="G310" s="5">
        <v>2</v>
      </c>
      <c r="H310" s="5">
        <v>0.09</v>
      </c>
      <c r="I310" s="5">
        <v>414000</v>
      </c>
      <c r="J310" s="14">
        <v>828000</v>
      </c>
      <c r="K3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1" spans="1:11" hidden="1" x14ac:dyDescent="0.25">
      <c r="A311" s="5"/>
      <c r="B311" s="5"/>
      <c r="C311" s="5"/>
      <c r="G311" s="5"/>
      <c r="H311" s="5"/>
      <c r="I311" s="5"/>
      <c r="J311" s="14"/>
      <c r="K3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" spans="1:11" hidden="1" x14ac:dyDescent="0.25">
      <c r="A312" s="5"/>
      <c r="B312" s="5"/>
      <c r="C312" s="5"/>
      <c r="G312" s="5"/>
      <c r="H312" s="5"/>
      <c r="I312" s="5"/>
      <c r="J312" s="14"/>
      <c r="K3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" spans="1:11" x14ac:dyDescent="0.25">
      <c r="A313" s="5" t="s">
        <v>97</v>
      </c>
      <c r="B313" s="5" t="s">
        <v>443</v>
      </c>
      <c r="C313" s="5" t="s">
        <v>21</v>
      </c>
      <c r="D313">
        <v>400</v>
      </c>
      <c r="E313">
        <v>4</v>
      </c>
      <c r="F313">
        <v>25</v>
      </c>
      <c r="G313" s="5">
        <v>5</v>
      </c>
      <c r="H313" s="5">
        <v>0.2</v>
      </c>
      <c r="I313" s="5">
        <v>372000</v>
      </c>
      <c r="J313" s="14">
        <v>1860000</v>
      </c>
      <c r="K3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" spans="1:11" hidden="1" x14ac:dyDescent="0.25">
      <c r="A314" s="5"/>
      <c r="B314" s="5"/>
      <c r="C314" s="5"/>
      <c r="G314" s="5"/>
      <c r="H314" s="5"/>
      <c r="I314" s="5"/>
      <c r="J314" s="14"/>
      <c r="K3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" spans="1:11" hidden="1" x14ac:dyDescent="0.25">
      <c r="A315" s="5"/>
      <c r="B315" s="5"/>
      <c r="C315" s="5"/>
      <c r="G315" s="5"/>
      <c r="H315" s="5"/>
      <c r="I315" s="5"/>
      <c r="J315" s="14"/>
      <c r="K3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" spans="1:11" x14ac:dyDescent="0.25">
      <c r="A316" s="5" t="s">
        <v>97</v>
      </c>
      <c r="B316" s="5" t="s">
        <v>490</v>
      </c>
      <c r="C316" s="5" t="s">
        <v>82</v>
      </c>
      <c r="D316">
        <v>250</v>
      </c>
      <c r="E316">
        <v>6</v>
      </c>
      <c r="F316">
        <v>15</v>
      </c>
      <c r="G316" s="5">
        <v>16</v>
      </c>
      <c r="H316" s="5">
        <v>0.36</v>
      </c>
      <c r="I316" s="5">
        <v>207000</v>
      </c>
      <c r="J316" s="14">
        <v>3312000</v>
      </c>
      <c r="K3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7" spans="1:11" hidden="1" x14ac:dyDescent="0.25">
      <c r="A317" s="5"/>
      <c r="B317" s="5"/>
      <c r="C317" s="5"/>
      <c r="G317" s="5"/>
      <c r="H317" s="5"/>
      <c r="I317" s="5"/>
      <c r="J317" s="14"/>
      <c r="K3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" spans="1:11" x14ac:dyDescent="0.25">
      <c r="A318" s="5"/>
      <c r="B318" s="5" t="s">
        <v>503</v>
      </c>
      <c r="C318" s="5" t="s">
        <v>99</v>
      </c>
      <c r="D318">
        <v>300</v>
      </c>
      <c r="E318">
        <v>6</v>
      </c>
      <c r="F318">
        <v>15</v>
      </c>
      <c r="G318" s="5">
        <v>3</v>
      </c>
      <c r="H318" s="5">
        <v>8.1000000000000003E-2</v>
      </c>
      <c r="I318" s="5">
        <v>234900</v>
      </c>
      <c r="J318" s="14">
        <v>704700</v>
      </c>
      <c r="K3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9" spans="1:11" hidden="1" x14ac:dyDescent="0.25">
      <c r="A319" s="5"/>
      <c r="B319" s="5"/>
      <c r="C319" s="5"/>
      <c r="G319" s="5"/>
      <c r="H319" s="5"/>
      <c r="I319" s="5"/>
      <c r="J319" s="14"/>
      <c r="K3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" spans="1:11" hidden="1" x14ac:dyDescent="0.25">
      <c r="A320" s="5"/>
      <c r="B320" s="5"/>
      <c r="C320" s="5"/>
      <c r="G320" s="5"/>
      <c r="H320" s="5"/>
      <c r="I320" s="5"/>
      <c r="J320" s="14"/>
      <c r="K3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" spans="1:11" x14ac:dyDescent="0.25">
      <c r="A321" s="5" t="s">
        <v>97</v>
      </c>
      <c r="B321" s="5" t="s">
        <v>504</v>
      </c>
      <c r="C321" s="5" t="s">
        <v>100</v>
      </c>
      <c r="D321">
        <v>250</v>
      </c>
      <c r="E321">
        <v>6</v>
      </c>
      <c r="F321">
        <v>15</v>
      </c>
      <c r="G321" s="5">
        <v>1</v>
      </c>
      <c r="H321" s="5">
        <v>2.2499999999999999E-2</v>
      </c>
      <c r="I321" s="5">
        <v>508500</v>
      </c>
      <c r="J321" s="14">
        <v>508500</v>
      </c>
      <c r="K3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2" spans="1:11" hidden="1" x14ac:dyDescent="0.25">
      <c r="A322" s="5"/>
      <c r="B322" s="5"/>
      <c r="C322" s="5"/>
      <c r="G322" s="5"/>
      <c r="H322" s="5"/>
      <c r="I322" s="5"/>
      <c r="J322" s="14"/>
      <c r="K3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" spans="1:11" x14ac:dyDescent="0.25">
      <c r="A323" s="5"/>
      <c r="B323" s="5" t="s">
        <v>505</v>
      </c>
      <c r="C323" s="5" t="s">
        <v>101</v>
      </c>
      <c r="D323">
        <v>500</v>
      </c>
      <c r="E323">
        <v>6</v>
      </c>
      <c r="F323">
        <v>12</v>
      </c>
      <c r="G323" s="5">
        <v>1</v>
      </c>
      <c r="H323" s="5">
        <v>3.5999999999999997E-2</v>
      </c>
      <c r="I323" s="5">
        <v>813600</v>
      </c>
      <c r="J323" s="14">
        <v>813600</v>
      </c>
      <c r="K3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4" spans="1:11" hidden="1" x14ac:dyDescent="0.25">
      <c r="A324" s="5"/>
      <c r="B324" s="5"/>
      <c r="C324" s="5"/>
      <c r="G324" s="5"/>
      <c r="H324" s="5"/>
      <c r="I324" s="5"/>
      <c r="J324" s="14"/>
      <c r="K3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" spans="1:11" hidden="1" x14ac:dyDescent="0.25">
      <c r="A325" s="5"/>
      <c r="B325" s="5"/>
      <c r="C325" s="5"/>
      <c r="G325" s="5"/>
      <c r="H325" s="5"/>
      <c r="I325" s="5"/>
      <c r="J325" s="14"/>
      <c r="K3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" spans="1:11" x14ac:dyDescent="0.25">
      <c r="A326" s="5" t="s">
        <v>97</v>
      </c>
      <c r="B326" s="5" t="s">
        <v>490</v>
      </c>
      <c r="C326" s="5" t="s">
        <v>82</v>
      </c>
      <c r="D326">
        <v>250</v>
      </c>
      <c r="E326">
        <v>6</v>
      </c>
      <c r="F326">
        <v>15</v>
      </c>
      <c r="G326" s="5">
        <v>7</v>
      </c>
      <c r="H326" s="5">
        <v>0.1575</v>
      </c>
      <c r="I326" s="5">
        <v>207000</v>
      </c>
      <c r="J326" s="14">
        <v>1449000</v>
      </c>
      <c r="K3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7" spans="1:11" hidden="1" x14ac:dyDescent="0.25">
      <c r="A327" s="5"/>
      <c r="B327" s="5"/>
      <c r="C327" s="5"/>
      <c r="G327" s="5"/>
      <c r="H327" s="5"/>
      <c r="I327" s="5"/>
      <c r="J327" s="14"/>
      <c r="K3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" spans="1:11" hidden="1" x14ac:dyDescent="0.25">
      <c r="A328" s="5"/>
      <c r="B328" s="5"/>
      <c r="C328" s="5"/>
      <c r="G328" s="5"/>
      <c r="H328" s="5"/>
      <c r="I328" s="5"/>
      <c r="J328" s="14"/>
      <c r="K3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" spans="1:11" x14ac:dyDescent="0.25">
      <c r="A329" s="5" t="s">
        <v>102</v>
      </c>
      <c r="B329" s="5" t="s">
        <v>443</v>
      </c>
      <c r="C329" s="5" t="s">
        <v>21</v>
      </c>
      <c r="D329">
        <v>400</v>
      </c>
      <c r="E329">
        <v>4</v>
      </c>
      <c r="F329">
        <v>25</v>
      </c>
      <c r="G329" s="5">
        <v>6</v>
      </c>
      <c r="H329" s="5">
        <v>0.24</v>
      </c>
      <c r="I329" s="5">
        <v>372000</v>
      </c>
      <c r="J329" s="14">
        <v>2232000</v>
      </c>
      <c r="K3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" spans="1:11" hidden="1" x14ac:dyDescent="0.25">
      <c r="A330" s="5"/>
      <c r="B330" s="5"/>
      <c r="C330" s="5"/>
      <c r="G330" s="5"/>
      <c r="H330" s="5"/>
      <c r="I330" s="5"/>
      <c r="J330" s="14"/>
      <c r="K3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" spans="1:11" hidden="1" x14ac:dyDescent="0.25">
      <c r="A331" s="5"/>
      <c r="B331" s="5"/>
      <c r="C331" s="5"/>
      <c r="G331" s="5"/>
      <c r="H331" s="5"/>
      <c r="I331" s="5"/>
      <c r="J331" s="14"/>
      <c r="K3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" spans="1:11" x14ac:dyDescent="0.25">
      <c r="A332" s="5" t="s">
        <v>102</v>
      </c>
      <c r="B332" s="5" t="s">
        <v>506</v>
      </c>
      <c r="C332" s="5" t="s">
        <v>103</v>
      </c>
      <c r="D332">
        <v>400</v>
      </c>
      <c r="E332">
        <v>3</v>
      </c>
      <c r="F332">
        <v>30</v>
      </c>
      <c r="G332" s="5">
        <v>11</v>
      </c>
      <c r="H332" s="5">
        <v>0.39600000000000002</v>
      </c>
      <c r="I332" s="5">
        <v>878400</v>
      </c>
      <c r="J332" s="14">
        <v>9662400</v>
      </c>
      <c r="K3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" spans="1:11" hidden="1" x14ac:dyDescent="0.25">
      <c r="A333" s="5"/>
      <c r="B333" s="5"/>
      <c r="C333" s="5"/>
      <c r="G333" s="5"/>
      <c r="H333" s="5"/>
      <c r="I333" s="5"/>
      <c r="J333" s="14"/>
      <c r="K3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" spans="1:11" x14ac:dyDescent="0.25">
      <c r="A334" s="5"/>
      <c r="B334" s="5" t="s">
        <v>507</v>
      </c>
      <c r="C334" s="5" t="s">
        <v>104</v>
      </c>
      <c r="D334">
        <v>400</v>
      </c>
      <c r="E334">
        <v>4</v>
      </c>
      <c r="F334">
        <v>25</v>
      </c>
      <c r="G334" s="5">
        <v>15</v>
      </c>
      <c r="H334" s="5">
        <v>0.6</v>
      </c>
      <c r="I334" s="5">
        <v>956000</v>
      </c>
      <c r="J334" s="14">
        <v>14340000</v>
      </c>
      <c r="K3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5" spans="1:11" hidden="1" x14ac:dyDescent="0.25">
      <c r="A335" s="5"/>
      <c r="B335" s="5"/>
      <c r="C335" s="5"/>
      <c r="G335" s="5"/>
      <c r="H335" s="5"/>
      <c r="I335" s="5"/>
      <c r="J335" s="14"/>
      <c r="K3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" spans="1:11" x14ac:dyDescent="0.25">
      <c r="A336" s="5"/>
      <c r="B336" s="5" t="s">
        <v>484</v>
      </c>
      <c r="C336" s="5" t="s">
        <v>72</v>
      </c>
      <c r="D336">
        <v>500</v>
      </c>
      <c r="E336">
        <v>3</v>
      </c>
      <c r="F336">
        <v>30</v>
      </c>
      <c r="G336" s="5">
        <v>3</v>
      </c>
      <c r="H336" s="5">
        <v>0.13500000000000001</v>
      </c>
      <c r="I336" s="5">
        <v>1120500</v>
      </c>
      <c r="J336" s="14">
        <v>3361500</v>
      </c>
      <c r="K3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" spans="1:11" hidden="1" x14ac:dyDescent="0.25">
      <c r="A337" s="5"/>
      <c r="B337" s="5"/>
      <c r="C337" s="5"/>
      <c r="G337" s="5"/>
      <c r="H337" s="5"/>
      <c r="I337" s="5"/>
      <c r="J337" s="14"/>
      <c r="K3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" spans="1:11" x14ac:dyDescent="0.25">
      <c r="A338" s="5"/>
      <c r="B338" s="5" t="s">
        <v>508</v>
      </c>
      <c r="C338" s="5" t="s">
        <v>105</v>
      </c>
      <c r="D338">
        <v>500</v>
      </c>
      <c r="E338">
        <v>4</v>
      </c>
      <c r="F338">
        <v>30</v>
      </c>
      <c r="G338" s="5">
        <v>2</v>
      </c>
      <c r="H338" s="5">
        <v>0.12</v>
      </c>
      <c r="I338" s="5">
        <v>1494000</v>
      </c>
      <c r="J338" s="14">
        <v>2988000</v>
      </c>
      <c r="K3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" spans="1:11" hidden="1" x14ac:dyDescent="0.25">
      <c r="A339" s="5"/>
      <c r="B339" s="5"/>
      <c r="C339" s="5"/>
      <c r="G339" s="5"/>
      <c r="H339" s="5"/>
      <c r="I339" s="5"/>
      <c r="J339" s="14"/>
      <c r="K3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" spans="1:11" x14ac:dyDescent="0.25">
      <c r="A340" s="5"/>
      <c r="B340" s="5" t="s">
        <v>467</v>
      </c>
      <c r="C340" s="5" t="s">
        <v>50</v>
      </c>
      <c r="D340">
        <v>500</v>
      </c>
      <c r="E340">
        <v>5</v>
      </c>
      <c r="F340">
        <v>35</v>
      </c>
      <c r="G340" s="5">
        <v>4</v>
      </c>
      <c r="H340" s="5">
        <v>0.35</v>
      </c>
      <c r="I340" s="5">
        <v>2301250</v>
      </c>
      <c r="J340" s="14">
        <v>9205000</v>
      </c>
      <c r="K3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41" spans="1:11" hidden="1" x14ac:dyDescent="0.25">
      <c r="A341" s="5"/>
      <c r="B341" s="5"/>
      <c r="C341" s="5"/>
      <c r="G341" s="5"/>
      <c r="H341" s="5"/>
      <c r="I341" s="5"/>
      <c r="J341" s="14"/>
      <c r="K3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" spans="1:11" hidden="1" x14ac:dyDescent="0.25">
      <c r="A342" s="5"/>
      <c r="B342" s="5"/>
      <c r="C342" s="5"/>
      <c r="G342" s="5"/>
      <c r="H342" s="5"/>
      <c r="I342" s="5"/>
      <c r="J342" s="14"/>
      <c r="K3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3" spans="1:11" x14ac:dyDescent="0.25">
      <c r="A343" s="5" t="s">
        <v>102</v>
      </c>
      <c r="B343" s="5" t="s">
        <v>456</v>
      </c>
      <c r="C343" s="5" t="s">
        <v>37</v>
      </c>
      <c r="D343">
        <v>250</v>
      </c>
      <c r="E343">
        <v>4</v>
      </c>
      <c r="F343">
        <v>25</v>
      </c>
      <c r="G343" s="5">
        <v>8</v>
      </c>
      <c r="H343" s="5">
        <v>0.2</v>
      </c>
      <c r="I343" s="5">
        <v>597500</v>
      </c>
      <c r="J343" s="14">
        <v>4780000</v>
      </c>
      <c r="K3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" spans="1:11" hidden="1" x14ac:dyDescent="0.25">
      <c r="A344" s="5"/>
      <c r="B344" s="5"/>
      <c r="C344" s="5"/>
      <c r="G344" s="5"/>
      <c r="H344" s="5"/>
      <c r="I344" s="5"/>
      <c r="J344" s="14"/>
      <c r="K3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5" spans="1:11" x14ac:dyDescent="0.25">
      <c r="A345" s="5"/>
      <c r="B345" s="5" t="s">
        <v>507</v>
      </c>
      <c r="C345" s="5" t="s">
        <v>104</v>
      </c>
      <c r="D345">
        <v>400</v>
      </c>
      <c r="E345">
        <v>4</v>
      </c>
      <c r="F345">
        <v>25</v>
      </c>
      <c r="G345" s="5">
        <v>1</v>
      </c>
      <c r="H345" s="5">
        <v>0.04</v>
      </c>
      <c r="I345" s="5">
        <v>956000</v>
      </c>
      <c r="J345" s="14">
        <v>956000</v>
      </c>
      <c r="K3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" spans="1:11" hidden="1" x14ac:dyDescent="0.25">
      <c r="A346" s="5"/>
      <c r="B346" s="5"/>
      <c r="C346" s="5"/>
      <c r="G346" s="5"/>
      <c r="H346" s="5"/>
      <c r="I346" s="5"/>
      <c r="J346" s="14"/>
      <c r="K3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" spans="1:11" hidden="1" x14ac:dyDescent="0.25">
      <c r="A347" s="5"/>
      <c r="B347" s="5"/>
      <c r="C347" s="5"/>
      <c r="G347" s="5"/>
      <c r="H347" s="5"/>
      <c r="I347" s="5"/>
      <c r="J347" s="14"/>
      <c r="K3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" spans="1:11" x14ac:dyDescent="0.25">
      <c r="A348" s="5" t="s">
        <v>102</v>
      </c>
      <c r="B348" s="5" t="s">
        <v>484</v>
      </c>
      <c r="C348" s="5" t="s">
        <v>72</v>
      </c>
      <c r="D348">
        <v>500</v>
      </c>
      <c r="E348">
        <v>3</v>
      </c>
      <c r="F348">
        <v>30</v>
      </c>
      <c r="G348" s="5">
        <v>5</v>
      </c>
      <c r="H348" s="5">
        <v>0.22500000000000001</v>
      </c>
      <c r="I348" s="5">
        <v>1120500</v>
      </c>
      <c r="J348" s="14">
        <v>5602500</v>
      </c>
      <c r="K3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" spans="1:11" hidden="1" x14ac:dyDescent="0.25">
      <c r="A349" s="5"/>
      <c r="B349" s="5"/>
      <c r="C349" s="5"/>
      <c r="G349" s="5"/>
      <c r="H349" s="5"/>
      <c r="I349" s="5"/>
      <c r="J349" s="14"/>
      <c r="K3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" spans="1:11" hidden="1" x14ac:dyDescent="0.25">
      <c r="A350" s="5"/>
      <c r="B350" s="5"/>
      <c r="C350" s="5"/>
      <c r="G350" s="5"/>
      <c r="H350" s="5"/>
      <c r="I350" s="5"/>
      <c r="J350" s="14"/>
      <c r="K3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" spans="1:11" x14ac:dyDescent="0.25">
      <c r="A351" s="5" t="s">
        <v>106</v>
      </c>
      <c r="B351" s="5" t="s">
        <v>466</v>
      </c>
      <c r="C351" s="5" t="s">
        <v>49</v>
      </c>
      <c r="D351">
        <v>500</v>
      </c>
      <c r="E351">
        <v>5</v>
      </c>
      <c r="F351">
        <v>30</v>
      </c>
      <c r="G351" s="5">
        <v>4</v>
      </c>
      <c r="H351" s="5">
        <v>0.3</v>
      </c>
      <c r="I351" s="5">
        <v>1867500</v>
      </c>
      <c r="J351" s="14">
        <v>7470000</v>
      </c>
      <c r="K3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52" spans="1:11" hidden="1" x14ac:dyDescent="0.25">
      <c r="A352" s="5"/>
      <c r="B352" s="5"/>
      <c r="C352" s="5"/>
      <c r="G352" s="5"/>
      <c r="H352" s="5"/>
      <c r="I352" s="5"/>
      <c r="J352" s="14"/>
      <c r="K3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" spans="1:11" hidden="1" x14ac:dyDescent="0.25">
      <c r="A353" s="5"/>
      <c r="B353" s="5"/>
      <c r="C353" s="5"/>
      <c r="G353" s="5"/>
      <c r="H353" s="5"/>
      <c r="I353" s="5"/>
      <c r="J353" s="14"/>
      <c r="K3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4" spans="1:11" x14ac:dyDescent="0.25">
      <c r="A354" s="5" t="s">
        <v>106</v>
      </c>
      <c r="B354" s="5" t="s">
        <v>455</v>
      </c>
      <c r="C354" s="5" t="s">
        <v>36</v>
      </c>
      <c r="D354">
        <v>400</v>
      </c>
      <c r="E354">
        <v>3</v>
      </c>
      <c r="F354">
        <v>20</v>
      </c>
      <c r="G354" s="5">
        <v>1</v>
      </c>
      <c r="H354" s="5">
        <v>2.4E-2</v>
      </c>
      <c r="I354" s="5">
        <v>220800</v>
      </c>
      <c r="J354" s="14">
        <v>220800</v>
      </c>
      <c r="K3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" spans="1:11" hidden="1" x14ac:dyDescent="0.25">
      <c r="A355" s="5"/>
      <c r="B355" s="5"/>
      <c r="C355" s="5"/>
      <c r="G355" s="5"/>
      <c r="H355" s="5"/>
      <c r="I355" s="5"/>
      <c r="J355" s="14"/>
      <c r="K3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6" spans="1:11" x14ac:dyDescent="0.25">
      <c r="A356" s="5"/>
      <c r="B356" s="5" t="s">
        <v>471</v>
      </c>
      <c r="C356" s="5" t="s">
        <v>56</v>
      </c>
      <c r="D356">
        <v>500</v>
      </c>
      <c r="E356">
        <v>5</v>
      </c>
      <c r="F356">
        <v>15</v>
      </c>
      <c r="G356" s="5">
        <v>1</v>
      </c>
      <c r="H356" s="5">
        <v>3.7499999999999999E-2</v>
      </c>
      <c r="I356" s="5">
        <v>360000</v>
      </c>
      <c r="J356" s="14">
        <v>360000</v>
      </c>
      <c r="K3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7" spans="1:11" hidden="1" x14ac:dyDescent="0.25">
      <c r="A357" s="5"/>
      <c r="B357" s="5"/>
      <c r="C357" s="5"/>
      <c r="G357" s="5"/>
      <c r="H357" s="5"/>
      <c r="I357" s="5"/>
      <c r="J357" s="14"/>
      <c r="K3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" spans="1:11" hidden="1" x14ac:dyDescent="0.25">
      <c r="A358" s="5"/>
      <c r="B358" s="5"/>
      <c r="C358" s="5"/>
      <c r="G358" s="5"/>
      <c r="H358" s="5"/>
      <c r="I358" s="5"/>
      <c r="J358" s="14"/>
      <c r="K3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" spans="1:11" x14ac:dyDescent="0.25">
      <c r="A359" s="5" t="s">
        <v>106</v>
      </c>
      <c r="B359" s="5" t="s">
        <v>435</v>
      </c>
      <c r="C359" s="5" t="s">
        <v>11</v>
      </c>
      <c r="D359">
        <v>400</v>
      </c>
      <c r="E359">
        <v>6</v>
      </c>
      <c r="F359">
        <v>12</v>
      </c>
      <c r="G359" s="5">
        <v>10</v>
      </c>
      <c r="H359" s="5">
        <v>0.28799999999999998</v>
      </c>
      <c r="I359" s="5">
        <v>250560</v>
      </c>
      <c r="J359" s="14">
        <v>2505600</v>
      </c>
      <c r="K3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0" spans="1:11" hidden="1" x14ac:dyDescent="0.25">
      <c r="A360" s="5"/>
      <c r="B360" s="5"/>
      <c r="C360" s="5"/>
      <c r="G360" s="5"/>
      <c r="H360" s="5"/>
      <c r="I360" s="5"/>
      <c r="J360" s="14"/>
      <c r="K3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" spans="1:11" hidden="1" x14ac:dyDescent="0.25">
      <c r="A361" s="5"/>
      <c r="B361" s="5"/>
      <c r="C361" s="5"/>
      <c r="G361" s="5"/>
      <c r="H361" s="5"/>
      <c r="I361" s="5"/>
      <c r="J361" s="14"/>
      <c r="K3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" spans="1:11" x14ac:dyDescent="0.25">
      <c r="A362" s="5" t="s">
        <v>107</v>
      </c>
      <c r="B362" s="5" t="s">
        <v>456</v>
      </c>
      <c r="C362" s="5" t="s">
        <v>37</v>
      </c>
      <c r="D362">
        <v>250</v>
      </c>
      <c r="E362">
        <v>4</v>
      </c>
      <c r="F362">
        <v>25</v>
      </c>
      <c r="G362" s="5">
        <v>1</v>
      </c>
      <c r="H362" s="5">
        <v>2.5000000000000001E-2</v>
      </c>
      <c r="I362" s="5">
        <v>597500</v>
      </c>
      <c r="J362" s="14">
        <v>597500</v>
      </c>
      <c r="K3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" spans="1:11" hidden="1" x14ac:dyDescent="0.25">
      <c r="A363" s="5"/>
      <c r="B363" s="5"/>
      <c r="C363" s="5"/>
      <c r="G363" s="5"/>
      <c r="H363" s="5"/>
      <c r="I363" s="5"/>
      <c r="J363" s="14"/>
      <c r="K3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" spans="1:11" hidden="1" x14ac:dyDescent="0.25">
      <c r="A364" s="5"/>
      <c r="B364" s="5"/>
      <c r="C364" s="5"/>
      <c r="G364" s="5"/>
      <c r="H364" s="5"/>
      <c r="I364" s="5"/>
      <c r="J364" s="14"/>
      <c r="K3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" spans="1:11" x14ac:dyDescent="0.25">
      <c r="A365" s="5" t="s">
        <v>107</v>
      </c>
      <c r="B365" s="5" t="s">
        <v>433</v>
      </c>
      <c r="C365" s="5" t="s">
        <v>9</v>
      </c>
      <c r="D365">
        <v>400</v>
      </c>
      <c r="E365">
        <v>4</v>
      </c>
      <c r="F365">
        <v>20</v>
      </c>
      <c r="G365" s="5">
        <v>1</v>
      </c>
      <c r="H365" s="5">
        <v>3.2000000000000001E-2</v>
      </c>
      <c r="I365" s="5">
        <v>294400</v>
      </c>
      <c r="J365" s="14">
        <v>294400</v>
      </c>
      <c r="K3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" spans="1:11" hidden="1" x14ac:dyDescent="0.25">
      <c r="A366" s="5"/>
      <c r="B366" s="5"/>
      <c r="C366" s="5"/>
      <c r="G366" s="5"/>
      <c r="H366" s="5"/>
      <c r="I366" s="5"/>
      <c r="J366" s="14"/>
      <c r="K3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" spans="1:11" hidden="1" x14ac:dyDescent="0.25">
      <c r="A367" s="5"/>
      <c r="B367" s="5"/>
      <c r="C367" s="5"/>
      <c r="G367" s="5"/>
      <c r="H367" s="5"/>
      <c r="I367" s="5"/>
      <c r="J367" s="14"/>
      <c r="K3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" spans="1:11" x14ac:dyDescent="0.25">
      <c r="A368" s="5" t="s">
        <v>107</v>
      </c>
      <c r="B368" s="5" t="s">
        <v>502</v>
      </c>
      <c r="C368" s="5" t="s">
        <v>98</v>
      </c>
      <c r="D368">
        <v>400</v>
      </c>
      <c r="E368">
        <v>5</v>
      </c>
      <c r="F368">
        <v>15</v>
      </c>
      <c r="G368" s="5">
        <v>4</v>
      </c>
      <c r="H368" s="5">
        <v>0.12</v>
      </c>
      <c r="I368" s="5">
        <v>273000</v>
      </c>
      <c r="J368" s="14">
        <v>1092000</v>
      </c>
      <c r="K3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9" spans="1:11" hidden="1" x14ac:dyDescent="0.25">
      <c r="A369" s="5"/>
      <c r="B369" s="5"/>
      <c r="C369" s="5"/>
      <c r="G369" s="5"/>
      <c r="H369" s="5"/>
      <c r="I369" s="5"/>
      <c r="J369" s="14"/>
      <c r="K3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" spans="1:11" x14ac:dyDescent="0.25">
      <c r="A370" s="5"/>
      <c r="B370" s="5" t="s">
        <v>481</v>
      </c>
      <c r="C370" s="5" t="s">
        <v>68</v>
      </c>
      <c r="D370">
        <v>400</v>
      </c>
      <c r="E370">
        <v>6</v>
      </c>
      <c r="F370">
        <v>15</v>
      </c>
      <c r="G370" s="5">
        <v>8</v>
      </c>
      <c r="H370" s="5">
        <v>0.28799999999999998</v>
      </c>
      <c r="I370" s="5">
        <v>313200</v>
      </c>
      <c r="J370" s="14">
        <v>2505600</v>
      </c>
      <c r="K3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1" spans="1:11" hidden="1" x14ac:dyDescent="0.25">
      <c r="A371" s="5"/>
      <c r="B371" s="5"/>
      <c r="C371" s="5"/>
      <c r="G371" s="5"/>
      <c r="H371" s="5"/>
      <c r="I371" s="5"/>
      <c r="J371" s="14"/>
      <c r="K3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" spans="1:11" hidden="1" x14ac:dyDescent="0.25">
      <c r="A372" s="5"/>
      <c r="B372" s="5"/>
      <c r="C372" s="5"/>
      <c r="G372" s="5"/>
      <c r="H372" s="5"/>
      <c r="I372" s="5"/>
      <c r="J372" s="14"/>
      <c r="K3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" spans="1:11" x14ac:dyDescent="0.25">
      <c r="A373" s="5" t="s">
        <v>108</v>
      </c>
      <c r="B373" s="5" t="s">
        <v>439</v>
      </c>
      <c r="C373" s="5" t="s">
        <v>16</v>
      </c>
      <c r="D373">
        <v>400</v>
      </c>
      <c r="E373">
        <v>3</v>
      </c>
      <c r="F373">
        <v>30</v>
      </c>
      <c r="G373" s="5">
        <v>1</v>
      </c>
      <c r="H373" s="5">
        <v>3.5999999999999997E-2</v>
      </c>
      <c r="I373" s="5">
        <v>342000</v>
      </c>
      <c r="J373" s="14">
        <v>342000</v>
      </c>
      <c r="K3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" spans="1:11" hidden="1" x14ac:dyDescent="0.25">
      <c r="A374" s="5"/>
      <c r="B374" s="5"/>
      <c r="C374" s="5"/>
      <c r="G374" s="5"/>
      <c r="H374" s="5"/>
      <c r="I374" s="5"/>
      <c r="J374" s="14"/>
      <c r="K3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" spans="1:11" x14ac:dyDescent="0.25">
      <c r="A375" s="5"/>
      <c r="B375" s="5" t="s">
        <v>436</v>
      </c>
      <c r="C375" s="5" t="s">
        <v>12</v>
      </c>
      <c r="D375">
        <v>400</v>
      </c>
      <c r="E375">
        <v>6</v>
      </c>
      <c r="F375">
        <v>17</v>
      </c>
      <c r="G375" s="5">
        <v>10</v>
      </c>
      <c r="H375" s="5">
        <v>0.40799999999999997</v>
      </c>
      <c r="I375" s="5">
        <v>371280</v>
      </c>
      <c r="J375" s="14">
        <v>3712800</v>
      </c>
      <c r="K3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6" spans="1:11" hidden="1" x14ac:dyDescent="0.25">
      <c r="A376" s="5"/>
      <c r="B376" s="5"/>
      <c r="C376" s="5"/>
      <c r="G376" s="5"/>
      <c r="H376" s="5"/>
      <c r="I376" s="5"/>
      <c r="J376" s="14"/>
      <c r="K3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" spans="1:11" x14ac:dyDescent="0.25">
      <c r="A377" s="5"/>
      <c r="B377" s="5" t="s">
        <v>452</v>
      </c>
      <c r="C377" s="5" t="s">
        <v>32</v>
      </c>
      <c r="D377">
        <v>500</v>
      </c>
      <c r="E377">
        <v>6</v>
      </c>
      <c r="F377">
        <v>17</v>
      </c>
      <c r="G377" s="5">
        <v>2</v>
      </c>
      <c r="H377" s="5">
        <v>0.10199999999999999</v>
      </c>
      <c r="I377" s="5">
        <v>489600</v>
      </c>
      <c r="J377" s="14">
        <v>979200</v>
      </c>
      <c r="K3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8" spans="1:11" hidden="1" x14ac:dyDescent="0.25">
      <c r="A378" s="5"/>
      <c r="B378" s="5"/>
      <c r="C378" s="5"/>
      <c r="G378" s="5"/>
      <c r="H378" s="5"/>
      <c r="I378" s="5"/>
      <c r="J378" s="14"/>
      <c r="K3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" spans="1:11" hidden="1" x14ac:dyDescent="0.25">
      <c r="A379" s="5"/>
      <c r="B379" s="5"/>
      <c r="C379" s="5"/>
      <c r="G379" s="5"/>
      <c r="H379" s="5"/>
      <c r="I379" s="5"/>
      <c r="J379" s="14"/>
      <c r="K3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" spans="1:11" x14ac:dyDescent="0.25">
      <c r="A380" s="5" t="s">
        <v>108</v>
      </c>
      <c r="B380" s="5" t="s">
        <v>509</v>
      </c>
      <c r="C380" s="5" t="s">
        <v>109</v>
      </c>
      <c r="D380">
        <v>400</v>
      </c>
      <c r="E380">
        <v>5</v>
      </c>
      <c r="F380">
        <v>7</v>
      </c>
      <c r="G380" s="5">
        <v>2</v>
      </c>
      <c r="H380" s="5">
        <v>2.8000000000000001E-2</v>
      </c>
      <c r="I380" s="5">
        <v>309400</v>
      </c>
      <c r="J380" s="14">
        <v>618800</v>
      </c>
      <c r="K3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381" spans="1:11" hidden="1" x14ac:dyDescent="0.25">
      <c r="A381" s="5"/>
      <c r="B381" s="5"/>
      <c r="C381" s="5"/>
      <c r="G381" s="5"/>
      <c r="H381" s="5"/>
      <c r="I381" s="5"/>
      <c r="J381" s="14"/>
      <c r="K3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" spans="1:11" hidden="1" x14ac:dyDescent="0.25">
      <c r="A382" s="5"/>
      <c r="B382" s="5"/>
      <c r="C382" s="5"/>
      <c r="G382" s="5"/>
      <c r="H382" s="5"/>
      <c r="I382" s="5"/>
      <c r="J382" s="14"/>
      <c r="K3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" spans="1:11" x14ac:dyDescent="0.25">
      <c r="A383" s="5" t="s">
        <v>108</v>
      </c>
      <c r="B383" s="5" t="s">
        <v>510</v>
      </c>
      <c r="C383" s="5" t="s">
        <v>110</v>
      </c>
      <c r="D383">
        <v>400</v>
      </c>
      <c r="E383">
        <v>8</v>
      </c>
      <c r="G383" s="5">
        <v>2</v>
      </c>
      <c r="H383" s="5">
        <v>9.6000000000000002E-2</v>
      </c>
      <c r="I383" s="5">
        <v>864000</v>
      </c>
      <c r="J383" s="14">
        <v>1728000</v>
      </c>
      <c r="K3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84" spans="1:11" hidden="1" x14ac:dyDescent="0.25">
      <c r="A384" s="5"/>
      <c r="B384" s="5"/>
      <c r="C384" s="5"/>
      <c r="G384" s="5"/>
      <c r="H384" s="5"/>
      <c r="I384" s="5"/>
      <c r="J384" s="14"/>
      <c r="K3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" spans="1:11" x14ac:dyDescent="0.25">
      <c r="A385" s="5"/>
      <c r="B385" s="5" t="s">
        <v>511</v>
      </c>
      <c r="C385" s="5" t="s">
        <v>111</v>
      </c>
      <c r="D385">
        <v>400</v>
      </c>
      <c r="E385">
        <v>8</v>
      </c>
      <c r="F385">
        <v>12</v>
      </c>
      <c r="G385" s="5">
        <v>1</v>
      </c>
      <c r="H385" s="5">
        <v>3.8399999999999997E-2</v>
      </c>
      <c r="I385" s="5">
        <v>349440</v>
      </c>
      <c r="J385" s="14">
        <v>349440</v>
      </c>
      <c r="K3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86" spans="1:11" hidden="1" x14ac:dyDescent="0.25">
      <c r="A386" s="5"/>
      <c r="B386" s="5"/>
      <c r="C386" s="5"/>
      <c r="G386" s="5"/>
      <c r="H386" s="5"/>
      <c r="I386" s="5"/>
      <c r="J386" s="14"/>
      <c r="K3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" spans="1:11" hidden="1" x14ac:dyDescent="0.25">
      <c r="A387" s="5"/>
      <c r="B387" s="5"/>
      <c r="C387" s="5"/>
      <c r="G387" s="5"/>
      <c r="H387" s="5"/>
      <c r="I387" s="5"/>
      <c r="J387" s="14"/>
      <c r="K3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" spans="1:11" x14ac:dyDescent="0.25">
      <c r="A388" s="5" t="s">
        <v>108</v>
      </c>
      <c r="B388" s="5" t="s">
        <v>439</v>
      </c>
      <c r="C388" s="5" t="s">
        <v>16</v>
      </c>
      <c r="D388">
        <v>400</v>
      </c>
      <c r="E388">
        <v>3</v>
      </c>
      <c r="F388">
        <v>30</v>
      </c>
      <c r="G388" s="5">
        <v>2</v>
      </c>
      <c r="H388" s="5">
        <v>7.1999999999999995E-2</v>
      </c>
      <c r="I388" s="5">
        <v>342000</v>
      </c>
      <c r="J388" s="14">
        <v>684000</v>
      </c>
      <c r="K3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" spans="1:11" hidden="1" x14ac:dyDescent="0.25">
      <c r="A389" s="5"/>
      <c r="B389" s="5"/>
      <c r="C389" s="5"/>
      <c r="G389" s="5"/>
      <c r="H389" s="5"/>
      <c r="I389" s="5"/>
      <c r="J389" s="14"/>
      <c r="K3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" spans="1:11" x14ac:dyDescent="0.25">
      <c r="A390" s="5"/>
      <c r="B390" s="5" t="s">
        <v>443</v>
      </c>
      <c r="C390" s="5" t="s">
        <v>21</v>
      </c>
      <c r="D390">
        <v>400</v>
      </c>
      <c r="E390">
        <v>4</v>
      </c>
      <c r="F390">
        <v>25</v>
      </c>
      <c r="G390" s="5">
        <v>2</v>
      </c>
      <c r="H390" s="5">
        <v>0.08</v>
      </c>
      <c r="I390" s="5">
        <v>372000</v>
      </c>
      <c r="J390" s="14">
        <v>744000</v>
      </c>
      <c r="K3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" spans="1:11" hidden="1" x14ac:dyDescent="0.25">
      <c r="A391" s="5"/>
      <c r="B391" s="5"/>
      <c r="C391" s="5"/>
      <c r="G391" s="5"/>
      <c r="H391" s="5"/>
      <c r="I391" s="5"/>
      <c r="J391" s="14"/>
      <c r="K3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" spans="1:11" hidden="1" x14ac:dyDescent="0.25">
      <c r="A392" s="5"/>
      <c r="B392" s="5"/>
      <c r="C392" s="5"/>
      <c r="G392" s="5"/>
      <c r="H392" s="5"/>
      <c r="I392" s="5"/>
      <c r="J392" s="14"/>
      <c r="K3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" spans="1:11" x14ac:dyDescent="0.25">
      <c r="A393" s="5" t="s">
        <v>108</v>
      </c>
      <c r="B393" s="5" t="s">
        <v>435</v>
      </c>
      <c r="C393" s="5" t="s">
        <v>11</v>
      </c>
      <c r="D393">
        <v>400</v>
      </c>
      <c r="E393">
        <v>6</v>
      </c>
      <c r="F393">
        <v>12</v>
      </c>
      <c r="G393" s="5">
        <v>1</v>
      </c>
      <c r="H393" s="5">
        <v>2.8799999999999999E-2</v>
      </c>
      <c r="I393" s="5">
        <v>250560</v>
      </c>
      <c r="J393" s="14">
        <v>250560</v>
      </c>
      <c r="K3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4" spans="1:11" hidden="1" x14ac:dyDescent="0.25">
      <c r="A394" s="5"/>
      <c r="B394" s="5"/>
      <c r="C394" s="5"/>
      <c r="G394" s="5"/>
      <c r="H394" s="5"/>
      <c r="I394" s="5"/>
      <c r="J394" s="14"/>
      <c r="K3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" spans="1:11" hidden="1" x14ac:dyDescent="0.25">
      <c r="A395" s="5"/>
      <c r="B395" s="5"/>
      <c r="C395" s="5"/>
      <c r="G395" s="5"/>
      <c r="H395" s="5"/>
      <c r="I395" s="5"/>
      <c r="J395" s="14"/>
      <c r="K3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" spans="1:11" x14ac:dyDescent="0.25">
      <c r="A396" s="5" t="s">
        <v>112</v>
      </c>
      <c r="B396" s="5" t="s">
        <v>443</v>
      </c>
      <c r="C396" s="5" t="s">
        <v>21</v>
      </c>
      <c r="D396">
        <v>400</v>
      </c>
      <c r="E396">
        <v>4</v>
      </c>
      <c r="F396">
        <v>25</v>
      </c>
      <c r="G396" s="5">
        <v>13</v>
      </c>
      <c r="H396" s="5">
        <v>0.52</v>
      </c>
      <c r="I396" s="5">
        <v>372000</v>
      </c>
      <c r="J396" s="14">
        <v>4836000</v>
      </c>
      <c r="K3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" spans="1:11" hidden="1" x14ac:dyDescent="0.25">
      <c r="A397" s="5"/>
      <c r="B397" s="5"/>
      <c r="C397" s="5"/>
      <c r="G397" s="5"/>
      <c r="H397" s="5"/>
      <c r="I397" s="5"/>
      <c r="J397" s="14"/>
      <c r="K3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" spans="1:11" hidden="1" x14ac:dyDescent="0.25">
      <c r="A398" s="5"/>
      <c r="B398" s="5"/>
      <c r="C398" s="5"/>
      <c r="G398" s="5"/>
      <c r="H398" s="5"/>
      <c r="I398" s="5"/>
      <c r="J398" s="14"/>
      <c r="K3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" spans="1:11" x14ac:dyDescent="0.25">
      <c r="A399" s="5" t="s">
        <v>112</v>
      </c>
      <c r="B399" s="5" t="s">
        <v>490</v>
      </c>
      <c r="C399" s="5" t="s">
        <v>82</v>
      </c>
      <c r="D399">
        <v>250</v>
      </c>
      <c r="E399">
        <v>6</v>
      </c>
      <c r="F399">
        <v>15</v>
      </c>
      <c r="G399" s="5">
        <v>12</v>
      </c>
      <c r="H399" s="5">
        <v>0.27</v>
      </c>
      <c r="I399" s="5">
        <v>207000</v>
      </c>
      <c r="J399" s="14">
        <v>2484000</v>
      </c>
      <c r="K3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0" spans="1:11" hidden="1" x14ac:dyDescent="0.25">
      <c r="A400" s="5"/>
      <c r="B400" s="5"/>
      <c r="C400" s="5"/>
      <c r="G400" s="5"/>
      <c r="H400" s="5"/>
      <c r="I400" s="5"/>
      <c r="J400" s="14"/>
      <c r="K4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" spans="1:11" x14ac:dyDescent="0.25">
      <c r="A401" s="5"/>
      <c r="B401" s="5" t="s">
        <v>503</v>
      </c>
      <c r="C401" s="5" t="s">
        <v>99</v>
      </c>
      <c r="D401">
        <v>300</v>
      </c>
      <c r="E401">
        <v>6</v>
      </c>
      <c r="F401">
        <v>15</v>
      </c>
      <c r="G401" s="5">
        <v>2</v>
      </c>
      <c r="H401" s="5">
        <v>5.3999999999999999E-2</v>
      </c>
      <c r="I401" s="5">
        <v>234900</v>
      </c>
      <c r="J401" s="14">
        <v>469800</v>
      </c>
      <c r="K4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2" spans="1:11" hidden="1" x14ac:dyDescent="0.25">
      <c r="A402" s="5"/>
      <c r="B402" s="5"/>
      <c r="C402" s="5"/>
      <c r="G402" s="5"/>
      <c r="H402" s="5"/>
      <c r="I402" s="5"/>
      <c r="J402" s="14"/>
      <c r="K4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" spans="1:11" hidden="1" x14ac:dyDescent="0.25">
      <c r="A403" s="5"/>
      <c r="B403" s="5"/>
      <c r="C403" s="5"/>
      <c r="G403" s="5"/>
      <c r="H403" s="5"/>
      <c r="I403" s="5"/>
      <c r="J403" s="14"/>
      <c r="K4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" spans="1:11" x14ac:dyDescent="0.25">
      <c r="A404" s="5" t="s">
        <v>112</v>
      </c>
      <c r="B404" s="5" t="s">
        <v>438</v>
      </c>
      <c r="C404" s="5" t="s">
        <v>15</v>
      </c>
      <c r="D404">
        <v>400</v>
      </c>
      <c r="E404">
        <v>3</v>
      </c>
      <c r="F404">
        <v>25</v>
      </c>
      <c r="G404" s="5">
        <v>4</v>
      </c>
      <c r="H404" s="5">
        <v>0.12</v>
      </c>
      <c r="I404" s="5">
        <v>279000</v>
      </c>
      <c r="J404" s="14">
        <v>1116000</v>
      </c>
      <c r="K4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" spans="1:11" hidden="1" x14ac:dyDescent="0.25">
      <c r="A405" s="5"/>
      <c r="B405" s="5"/>
      <c r="C405" s="5"/>
      <c r="G405" s="5"/>
      <c r="H405" s="5"/>
      <c r="I405" s="5"/>
      <c r="J405" s="14"/>
      <c r="K4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" spans="1:11" x14ac:dyDescent="0.25">
      <c r="A406" s="5"/>
      <c r="B406" s="5" t="s">
        <v>433</v>
      </c>
      <c r="C406" s="5" t="s">
        <v>9</v>
      </c>
      <c r="D406">
        <v>400</v>
      </c>
      <c r="E406">
        <v>4</v>
      </c>
      <c r="F406">
        <v>20</v>
      </c>
      <c r="G406" s="5">
        <v>1</v>
      </c>
      <c r="H406" s="5">
        <v>3.2000000000000001E-2</v>
      </c>
      <c r="I406" s="5">
        <v>294400</v>
      </c>
      <c r="J406" s="14">
        <v>294400</v>
      </c>
      <c r="K4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" spans="1:11" hidden="1" x14ac:dyDescent="0.25">
      <c r="A407" s="5"/>
      <c r="B407" s="5"/>
      <c r="C407" s="5"/>
      <c r="G407" s="5"/>
      <c r="H407" s="5"/>
      <c r="I407" s="5"/>
      <c r="J407" s="14"/>
      <c r="K4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" spans="1:11" x14ac:dyDescent="0.25">
      <c r="A408" s="5"/>
      <c r="B408" s="5" t="s">
        <v>443</v>
      </c>
      <c r="C408" s="5" t="s">
        <v>21</v>
      </c>
      <c r="D408">
        <v>400</v>
      </c>
      <c r="E408">
        <v>4</v>
      </c>
      <c r="F408">
        <v>25</v>
      </c>
      <c r="G408" s="5">
        <v>4</v>
      </c>
      <c r="H408" s="5">
        <v>0.16</v>
      </c>
      <c r="I408" s="5">
        <v>372000</v>
      </c>
      <c r="J408" s="14">
        <v>1488000</v>
      </c>
      <c r="K4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" spans="1:11" hidden="1" x14ac:dyDescent="0.25">
      <c r="A409" s="5"/>
      <c r="B409" s="5"/>
      <c r="C409" s="5"/>
      <c r="G409" s="5"/>
      <c r="H409" s="5"/>
      <c r="I409" s="5"/>
      <c r="J409" s="14"/>
      <c r="K4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" spans="1:11" x14ac:dyDescent="0.25">
      <c r="A410" s="5"/>
      <c r="B410" s="5" t="s">
        <v>434</v>
      </c>
      <c r="C410" s="5" t="s">
        <v>10</v>
      </c>
      <c r="D410">
        <v>400</v>
      </c>
      <c r="E410">
        <v>4</v>
      </c>
      <c r="F410">
        <v>30</v>
      </c>
      <c r="G410" s="5">
        <v>1</v>
      </c>
      <c r="H410" s="5">
        <v>4.8000000000000001E-2</v>
      </c>
      <c r="I410" s="5">
        <v>456000</v>
      </c>
      <c r="J410" s="14">
        <v>456000</v>
      </c>
      <c r="K4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" spans="1:11" hidden="1" x14ac:dyDescent="0.25">
      <c r="A411" s="5"/>
      <c r="B411" s="5"/>
      <c r="C411" s="5"/>
      <c r="G411" s="5"/>
      <c r="H411" s="5"/>
      <c r="I411" s="5"/>
      <c r="J411" s="14"/>
      <c r="K4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" spans="1:11" hidden="1" x14ac:dyDescent="0.25">
      <c r="A412" s="5"/>
      <c r="B412" s="5"/>
      <c r="C412" s="5"/>
      <c r="G412" s="5"/>
      <c r="H412" s="5"/>
      <c r="I412" s="5"/>
      <c r="J412" s="14"/>
      <c r="K4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" spans="1:11" x14ac:dyDescent="0.25">
      <c r="A413" s="5" t="s">
        <v>112</v>
      </c>
      <c r="B413" s="5" t="s">
        <v>512</v>
      </c>
      <c r="C413" s="5" t="s">
        <v>113</v>
      </c>
      <c r="D413">
        <v>450</v>
      </c>
      <c r="E413">
        <v>3</v>
      </c>
      <c r="F413">
        <v>25</v>
      </c>
      <c r="G413" s="5">
        <v>1</v>
      </c>
      <c r="H413" s="5">
        <v>3.3799999999999997E-2</v>
      </c>
      <c r="I413" s="5">
        <v>824720</v>
      </c>
      <c r="J413" s="14">
        <v>824720</v>
      </c>
      <c r="K4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" spans="1:11" hidden="1" x14ac:dyDescent="0.25">
      <c r="A414" s="5"/>
      <c r="B414" s="5"/>
      <c r="C414" s="5"/>
      <c r="G414" s="5"/>
      <c r="H414" s="5"/>
      <c r="I414" s="5"/>
      <c r="J414" s="14"/>
      <c r="K4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" spans="1:11" x14ac:dyDescent="0.25">
      <c r="A415" s="5"/>
      <c r="B415" s="5" t="s">
        <v>513</v>
      </c>
      <c r="C415" s="5" t="s">
        <v>114</v>
      </c>
      <c r="D415">
        <v>500</v>
      </c>
      <c r="E415">
        <v>3</v>
      </c>
      <c r="F415">
        <v>20</v>
      </c>
      <c r="G415" s="5">
        <v>1</v>
      </c>
      <c r="H415" s="5">
        <v>0.03</v>
      </c>
      <c r="I415" s="5">
        <v>729000</v>
      </c>
      <c r="J415" s="14">
        <v>729000</v>
      </c>
      <c r="K4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" spans="1:11" hidden="1" x14ac:dyDescent="0.25">
      <c r="A416" s="5"/>
      <c r="B416" s="5"/>
      <c r="C416" s="5"/>
      <c r="G416" s="5"/>
      <c r="H416" s="5"/>
      <c r="I416" s="5"/>
      <c r="J416" s="14"/>
      <c r="K4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" spans="1:11" hidden="1" x14ac:dyDescent="0.25">
      <c r="A417" s="5"/>
      <c r="B417" s="5"/>
      <c r="C417" s="5"/>
      <c r="G417" s="5"/>
      <c r="H417" s="5"/>
      <c r="I417" s="5"/>
      <c r="J417" s="14"/>
      <c r="K4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" spans="1:11" x14ac:dyDescent="0.25">
      <c r="A418" s="5" t="s">
        <v>115</v>
      </c>
      <c r="B418" s="5" t="s">
        <v>471</v>
      </c>
      <c r="C418" s="5" t="s">
        <v>56</v>
      </c>
      <c r="D418">
        <v>500</v>
      </c>
      <c r="E418">
        <v>5</v>
      </c>
      <c r="F418">
        <v>15</v>
      </c>
      <c r="G418" s="5">
        <v>1</v>
      </c>
      <c r="H418" s="5">
        <v>3.7499999999999999E-2</v>
      </c>
      <c r="I418" s="5">
        <v>360000</v>
      </c>
      <c r="J418" s="14">
        <v>360000</v>
      </c>
      <c r="K4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9" spans="1:11" hidden="1" x14ac:dyDescent="0.25">
      <c r="A419" s="5"/>
      <c r="B419" s="5"/>
      <c r="C419" s="5"/>
      <c r="G419" s="5"/>
      <c r="H419" s="5"/>
      <c r="I419" s="5"/>
      <c r="J419" s="14"/>
      <c r="K4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" spans="1:11" x14ac:dyDescent="0.25">
      <c r="A420" s="5"/>
      <c r="B420" s="5" t="s">
        <v>514</v>
      </c>
      <c r="C420" s="5" t="s">
        <v>116</v>
      </c>
      <c r="D420">
        <v>500</v>
      </c>
      <c r="E420">
        <v>5</v>
      </c>
      <c r="F420">
        <v>30</v>
      </c>
      <c r="G420" s="5">
        <v>1</v>
      </c>
      <c r="H420" s="5">
        <v>7.4999999999999997E-2</v>
      </c>
      <c r="I420" s="5">
        <v>727500</v>
      </c>
      <c r="J420" s="14">
        <v>727500</v>
      </c>
      <c r="K4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1" spans="1:11" hidden="1" x14ac:dyDescent="0.25">
      <c r="A421" s="5"/>
      <c r="B421" s="5"/>
      <c r="C421" s="5"/>
      <c r="G421" s="5"/>
      <c r="H421" s="5"/>
      <c r="I421" s="5"/>
      <c r="J421" s="14"/>
      <c r="K4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" spans="1:11" hidden="1" x14ac:dyDescent="0.25">
      <c r="A422" s="5"/>
      <c r="B422" s="5"/>
      <c r="C422" s="5"/>
      <c r="G422" s="5"/>
      <c r="H422" s="5"/>
      <c r="I422" s="5"/>
      <c r="J422" s="14"/>
      <c r="K4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" spans="1:11" x14ac:dyDescent="0.25">
      <c r="A423" s="5" t="s">
        <v>115</v>
      </c>
      <c r="B423" s="5" t="s">
        <v>515</v>
      </c>
      <c r="C423" s="5" t="s">
        <v>117</v>
      </c>
      <c r="D423">
        <v>400</v>
      </c>
      <c r="E423">
        <v>12</v>
      </c>
      <c r="F423">
        <v>40</v>
      </c>
      <c r="G423" s="5">
        <v>1</v>
      </c>
      <c r="H423" s="5">
        <v>0.192</v>
      </c>
      <c r="I423" s="5">
        <v>4896000</v>
      </c>
      <c r="J423" s="14">
        <v>4896000</v>
      </c>
      <c r="K4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4" spans="1:11" hidden="1" x14ac:dyDescent="0.25">
      <c r="A424" s="5"/>
      <c r="B424" s="5"/>
      <c r="C424" s="5"/>
      <c r="G424" s="5"/>
      <c r="H424" s="5"/>
      <c r="I424" s="5"/>
      <c r="J424" s="14"/>
      <c r="K4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" spans="1:11" hidden="1" x14ac:dyDescent="0.25">
      <c r="A425" s="5"/>
      <c r="B425" s="5"/>
      <c r="C425" s="5"/>
      <c r="G425" s="5"/>
      <c r="H425" s="5"/>
      <c r="I425" s="5"/>
      <c r="J425" s="14"/>
      <c r="K4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" spans="1:11" x14ac:dyDescent="0.25">
      <c r="A426" s="5" t="s">
        <v>115</v>
      </c>
      <c r="B426" s="5" t="s">
        <v>481</v>
      </c>
      <c r="C426" s="5" t="s">
        <v>68</v>
      </c>
      <c r="D426">
        <v>400</v>
      </c>
      <c r="E426">
        <v>6</v>
      </c>
      <c r="F426">
        <v>15</v>
      </c>
      <c r="G426" s="5">
        <v>9</v>
      </c>
      <c r="H426" s="5">
        <v>0.32400000000000001</v>
      </c>
      <c r="I426" s="5">
        <v>313200</v>
      </c>
      <c r="J426" s="14">
        <v>2818800</v>
      </c>
      <c r="K4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7" spans="1:11" hidden="1" x14ac:dyDescent="0.25">
      <c r="A427" s="5"/>
      <c r="B427" s="5"/>
      <c r="C427" s="5"/>
      <c r="G427" s="5"/>
      <c r="H427" s="5"/>
      <c r="I427" s="5"/>
      <c r="J427" s="14"/>
      <c r="K4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" spans="1:11" hidden="1" x14ac:dyDescent="0.25">
      <c r="A428" s="5"/>
      <c r="B428" s="5"/>
      <c r="C428" s="5"/>
      <c r="G428" s="5"/>
      <c r="H428" s="5"/>
      <c r="I428" s="5"/>
      <c r="J428" s="14"/>
      <c r="K4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" spans="1:11" x14ac:dyDescent="0.25">
      <c r="A429" s="5" t="s">
        <v>115</v>
      </c>
      <c r="B429" s="5" t="s">
        <v>448</v>
      </c>
      <c r="C429" s="5" t="s">
        <v>27</v>
      </c>
      <c r="D429">
        <v>400</v>
      </c>
      <c r="E429">
        <v>8</v>
      </c>
      <c r="F429">
        <v>15</v>
      </c>
      <c r="G429" s="5">
        <v>4</v>
      </c>
      <c r="H429" s="5">
        <v>0.192</v>
      </c>
      <c r="I429" s="5">
        <v>1084800</v>
      </c>
      <c r="J429" s="14">
        <v>4339200</v>
      </c>
      <c r="K4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0" spans="1:11" hidden="1" x14ac:dyDescent="0.25">
      <c r="A430" s="5"/>
      <c r="B430" s="5"/>
      <c r="C430" s="5"/>
      <c r="G430" s="5"/>
      <c r="H430" s="5"/>
      <c r="I430" s="5"/>
      <c r="J430" s="14"/>
      <c r="K4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" spans="1:11" x14ac:dyDescent="0.25">
      <c r="A431" s="5"/>
      <c r="B431" s="5" t="s">
        <v>516</v>
      </c>
      <c r="C431" s="5" t="s">
        <v>118</v>
      </c>
      <c r="D431">
        <v>500</v>
      </c>
      <c r="E431">
        <v>8</v>
      </c>
      <c r="F431">
        <v>15</v>
      </c>
      <c r="G431" s="5">
        <v>1</v>
      </c>
      <c r="H431" s="5">
        <v>0.06</v>
      </c>
      <c r="I431" s="5">
        <v>1386000</v>
      </c>
      <c r="J431" s="14">
        <v>1386000</v>
      </c>
      <c r="K4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2" spans="1:11" hidden="1" x14ac:dyDescent="0.25">
      <c r="A432" s="5"/>
      <c r="B432" s="5"/>
      <c r="C432" s="5"/>
      <c r="G432" s="5"/>
      <c r="H432" s="5"/>
      <c r="I432" s="5"/>
      <c r="J432" s="14"/>
      <c r="K4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" spans="1:11" hidden="1" x14ac:dyDescent="0.25">
      <c r="A433" s="5"/>
      <c r="B433" s="5"/>
      <c r="C433" s="5"/>
      <c r="G433" s="5"/>
      <c r="H433" s="5"/>
      <c r="I433" s="5"/>
      <c r="J433" s="14"/>
      <c r="K4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" spans="1:11" x14ac:dyDescent="0.25">
      <c r="A434" s="5" t="s">
        <v>119</v>
      </c>
      <c r="B434" s="5" t="s">
        <v>479</v>
      </c>
      <c r="C434" s="5" t="s">
        <v>65</v>
      </c>
      <c r="D434">
        <v>240</v>
      </c>
      <c r="E434">
        <v>6</v>
      </c>
      <c r="F434">
        <v>15</v>
      </c>
      <c r="G434" s="5">
        <v>6</v>
      </c>
      <c r="H434" s="5">
        <v>0.12959999999999999</v>
      </c>
      <c r="I434" s="5">
        <v>466560</v>
      </c>
      <c r="J434" s="14">
        <v>2799360</v>
      </c>
      <c r="K4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5" spans="1:11" hidden="1" x14ac:dyDescent="0.25">
      <c r="A435" s="5"/>
      <c r="B435" s="5"/>
      <c r="C435" s="5"/>
      <c r="G435" s="5"/>
      <c r="H435" s="5"/>
      <c r="I435" s="5"/>
      <c r="J435" s="14"/>
      <c r="K4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" spans="1:11" x14ac:dyDescent="0.25">
      <c r="A436" s="5"/>
      <c r="B436" s="5" t="s">
        <v>451</v>
      </c>
      <c r="C436" s="5" t="s">
        <v>30</v>
      </c>
      <c r="D436">
        <v>90</v>
      </c>
      <c r="E436">
        <v>6</v>
      </c>
      <c r="F436">
        <v>15</v>
      </c>
      <c r="G436" s="5">
        <v>1</v>
      </c>
      <c r="H436" s="5">
        <v>8.0999999999999996E-3</v>
      </c>
      <c r="I436" s="5">
        <v>163620</v>
      </c>
      <c r="J436" s="14">
        <v>163620</v>
      </c>
      <c r="K4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7" spans="1:11" hidden="1" x14ac:dyDescent="0.25">
      <c r="A437" s="5"/>
      <c r="B437" s="5"/>
      <c r="C437" s="5"/>
      <c r="G437" s="5"/>
      <c r="H437" s="5"/>
      <c r="I437" s="5"/>
      <c r="J437" s="14"/>
      <c r="K4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" spans="1:11" hidden="1" x14ac:dyDescent="0.25">
      <c r="A438" s="5"/>
      <c r="B438" s="5"/>
      <c r="C438" s="5"/>
      <c r="G438" s="5"/>
      <c r="H438" s="5"/>
      <c r="I438" s="5"/>
      <c r="J438" s="14"/>
      <c r="K4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" spans="1:11" x14ac:dyDescent="0.25">
      <c r="A439" s="5" t="s">
        <v>120</v>
      </c>
      <c r="B439" s="5" t="s">
        <v>489</v>
      </c>
      <c r="C439" s="5" t="s">
        <v>80</v>
      </c>
      <c r="D439">
        <v>400</v>
      </c>
      <c r="E439">
        <v>5</v>
      </c>
      <c r="F439">
        <v>20</v>
      </c>
      <c r="G439" s="5">
        <v>4</v>
      </c>
      <c r="H439" s="5">
        <v>0.16</v>
      </c>
      <c r="I439" s="5">
        <v>960000</v>
      </c>
      <c r="J439" s="14">
        <v>3840000</v>
      </c>
      <c r="K4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40" spans="1:11" hidden="1" x14ac:dyDescent="0.25">
      <c r="A440" s="5"/>
      <c r="B440" s="5"/>
      <c r="C440" s="5"/>
      <c r="G440" s="5"/>
      <c r="H440" s="5"/>
      <c r="I440" s="5"/>
      <c r="J440" s="14"/>
      <c r="K4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" spans="1:11" x14ac:dyDescent="0.25">
      <c r="A441" s="5"/>
      <c r="B441" s="5" t="s">
        <v>497</v>
      </c>
      <c r="C441" s="5" t="s">
        <v>90</v>
      </c>
      <c r="D441">
        <v>400</v>
      </c>
      <c r="E441">
        <v>6</v>
      </c>
      <c r="F441">
        <v>35</v>
      </c>
      <c r="G441" s="5">
        <v>1</v>
      </c>
      <c r="H441" s="5">
        <v>8.4000000000000005E-2</v>
      </c>
      <c r="I441" s="5">
        <v>2167200</v>
      </c>
      <c r="J441" s="14">
        <v>2167200</v>
      </c>
      <c r="K4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42" spans="1:11" hidden="1" x14ac:dyDescent="0.25">
      <c r="A442" s="5"/>
      <c r="B442" s="5"/>
      <c r="C442" s="5"/>
      <c r="G442" s="5"/>
      <c r="H442" s="5"/>
      <c r="I442" s="5"/>
      <c r="J442" s="14"/>
      <c r="K4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" spans="1:11" hidden="1" x14ac:dyDescent="0.25">
      <c r="A443" s="5"/>
      <c r="B443" s="5"/>
      <c r="C443" s="5"/>
      <c r="G443" s="5"/>
      <c r="H443" s="5"/>
      <c r="I443" s="5"/>
      <c r="J443" s="14"/>
      <c r="K4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" spans="1:11" x14ac:dyDescent="0.25">
      <c r="A444" s="5" t="s">
        <v>120</v>
      </c>
      <c r="B444" s="5" t="s">
        <v>503</v>
      </c>
      <c r="C444" s="5" t="s">
        <v>99</v>
      </c>
      <c r="D444">
        <v>300</v>
      </c>
      <c r="E444">
        <v>6</v>
      </c>
      <c r="F444">
        <v>15</v>
      </c>
      <c r="G444" s="5">
        <v>3</v>
      </c>
      <c r="H444" s="5">
        <v>8.1000000000000003E-2</v>
      </c>
      <c r="I444" s="5">
        <v>234900</v>
      </c>
      <c r="J444" s="14">
        <v>704700</v>
      </c>
      <c r="K4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5" spans="1:11" hidden="1" x14ac:dyDescent="0.25">
      <c r="A445" s="5"/>
      <c r="B445" s="5"/>
      <c r="C445" s="5"/>
      <c r="G445" s="5"/>
      <c r="H445" s="5"/>
      <c r="I445" s="5"/>
      <c r="J445" s="14"/>
      <c r="K4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" spans="1:11" x14ac:dyDescent="0.25">
      <c r="A446" s="5"/>
      <c r="B446" s="5" t="s">
        <v>439</v>
      </c>
      <c r="C446" s="5" t="s">
        <v>16</v>
      </c>
      <c r="D446">
        <v>400</v>
      </c>
      <c r="E446">
        <v>3</v>
      </c>
      <c r="F446">
        <v>30</v>
      </c>
      <c r="G446" s="5">
        <v>2</v>
      </c>
      <c r="H446" s="5">
        <v>7.1999999999999995E-2</v>
      </c>
      <c r="I446" s="5">
        <v>342000</v>
      </c>
      <c r="J446" s="14">
        <v>684000</v>
      </c>
      <c r="K4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" spans="1:11" hidden="1" x14ac:dyDescent="0.25">
      <c r="A447" s="5"/>
      <c r="B447" s="5"/>
      <c r="C447" s="5"/>
      <c r="G447" s="5"/>
      <c r="H447" s="5"/>
      <c r="I447" s="5"/>
      <c r="J447" s="14"/>
      <c r="K4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" spans="1:11" x14ac:dyDescent="0.25">
      <c r="A448" s="5"/>
      <c r="B448" s="5" t="s">
        <v>434</v>
      </c>
      <c r="C448" s="5" t="s">
        <v>10</v>
      </c>
      <c r="D448">
        <v>400</v>
      </c>
      <c r="E448">
        <v>4</v>
      </c>
      <c r="F448">
        <v>30</v>
      </c>
      <c r="G448" s="5">
        <v>1</v>
      </c>
      <c r="H448" s="5">
        <v>4.8000000000000001E-2</v>
      </c>
      <c r="I448" s="5">
        <v>456000</v>
      </c>
      <c r="J448" s="14">
        <v>456000</v>
      </c>
      <c r="K4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" spans="1:11" hidden="1" x14ac:dyDescent="0.25">
      <c r="A449" s="5"/>
      <c r="B449" s="5"/>
      <c r="C449" s="5"/>
      <c r="G449" s="5"/>
      <c r="H449" s="5"/>
      <c r="I449" s="5"/>
      <c r="J449" s="14"/>
      <c r="K4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0" spans="1:11" x14ac:dyDescent="0.25">
      <c r="A450" s="5"/>
      <c r="B450" s="5" t="s">
        <v>440</v>
      </c>
      <c r="C450" s="5" t="s">
        <v>17</v>
      </c>
      <c r="D450">
        <v>500</v>
      </c>
      <c r="E450">
        <v>4</v>
      </c>
      <c r="F450">
        <v>25</v>
      </c>
      <c r="G450" s="5">
        <v>4</v>
      </c>
      <c r="H450" s="5">
        <v>0.2</v>
      </c>
      <c r="I450" s="5">
        <v>465000</v>
      </c>
      <c r="J450" s="14">
        <v>1860000</v>
      </c>
      <c r="K4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1" spans="1:11" hidden="1" x14ac:dyDescent="0.25">
      <c r="A451" s="5"/>
      <c r="B451" s="5"/>
      <c r="C451" s="5"/>
      <c r="G451" s="5"/>
      <c r="H451" s="5"/>
      <c r="I451" s="5"/>
      <c r="J451" s="14"/>
      <c r="K4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2" spans="1:11" hidden="1" x14ac:dyDescent="0.25">
      <c r="A452" s="5"/>
      <c r="B452" s="5"/>
      <c r="C452" s="5"/>
      <c r="G452" s="5"/>
      <c r="H452" s="5"/>
      <c r="I452" s="5"/>
      <c r="J452" s="14"/>
      <c r="K4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3" spans="1:11" x14ac:dyDescent="0.25">
      <c r="A453" s="5" t="s">
        <v>120</v>
      </c>
      <c r="B453" s="5" t="s">
        <v>455</v>
      </c>
      <c r="C453" s="5" t="s">
        <v>36</v>
      </c>
      <c r="D453">
        <v>400</v>
      </c>
      <c r="E453">
        <v>3</v>
      </c>
      <c r="F453">
        <v>20</v>
      </c>
      <c r="G453" s="5">
        <v>5</v>
      </c>
      <c r="H453" s="5">
        <v>0.12</v>
      </c>
      <c r="I453" s="5">
        <v>220800</v>
      </c>
      <c r="J453" s="14">
        <v>1104000</v>
      </c>
      <c r="K4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4" spans="1:11" hidden="1" x14ac:dyDescent="0.25">
      <c r="A454" s="5"/>
      <c r="B454" s="5"/>
      <c r="C454" s="5"/>
      <c r="G454" s="5"/>
      <c r="H454" s="5"/>
      <c r="I454" s="5"/>
      <c r="J454" s="14"/>
      <c r="K4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5" spans="1:11" x14ac:dyDescent="0.25">
      <c r="A455" s="5"/>
      <c r="B455" s="5" t="s">
        <v>438</v>
      </c>
      <c r="C455" s="5" t="s">
        <v>15</v>
      </c>
      <c r="D455">
        <v>400</v>
      </c>
      <c r="E455">
        <v>3</v>
      </c>
      <c r="F455">
        <v>25</v>
      </c>
      <c r="G455" s="5">
        <v>5</v>
      </c>
      <c r="H455" s="5">
        <v>0.15</v>
      </c>
      <c r="I455" s="5">
        <v>279000</v>
      </c>
      <c r="J455" s="14">
        <v>1395000</v>
      </c>
      <c r="K4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6" spans="1:11" hidden="1" x14ac:dyDescent="0.25">
      <c r="A456" s="5"/>
      <c r="B456" s="5"/>
      <c r="C456" s="5"/>
      <c r="G456" s="5"/>
      <c r="H456" s="5"/>
      <c r="I456" s="5"/>
      <c r="J456" s="14"/>
      <c r="K4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7" spans="1:11" x14ac:dyDescent="0.25">
      <c r="A457" s="5"/>
      <c r="B457" s="5" t="s">
        <v>443</v>
      </c>
      <c r="C457" s="5" t="s">
        <v>21</v>
      </c>
      <c r="D457">
        <v>400</v>
      </c>
      <c r="E457">
        <v>4</v>
      </c>
      <c r="F457">
        <v>25</v>
      </c>
      <c r="G457" s="5">
        <v>8</v>
      </c>
      <c r="H457" s="5">
        <v>0.32</v>
      </c>
      <c r="I457" s="5">
        <v>372000</v>
      </c>
      <c r="J457" s="14">
        <v>2976000</v>
      </c>
      <c r="K4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8" spans="1:11" hidden="1" x14ac:dyDescent="0.25">
      <c r="A458" s="5"/>
      <c r="B458" s="5"/>
      <c r="C458" s="5"/>
      <c r="G458" s="5"/>
      <c r="H458" s="5"/>
      <c r="I458" s="5"/>
      <c r="J458" s="14"/>
      <c r="K4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9" spans="1:11" hidden="1" x14ac:dyDescent="0.25">
      <c r="A459" s="5"/>
      <c r="B459" s="5"/>
      <c r="C459" s="5"/>
      <c r="G459" s="5"/>
      <c r="H459" s="5"/>
      <c r="I459" s="5"/>
      <c r="J459" s="14"/>
      <c r="K4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0" spans="1:11" x14ac:dyDescent="0.25">
      <c r="A460" s="5" t="s">
        <v>121</v>
      </c>
      <c r="B460" s="5" t="s">
        <v>455</v>
      </c>
      <c r="C460" s="5" t="s">
        <v>36</v>
      </c>
      <c r="D460">
        <v>400</v>
      </c>
      <c r="E460">
        <v>3</v>
      </c>
      <c r="F460">
        <v>20</v>
      </c>
      <c r="G460" s="5">
        <v>1</v>
      </c>
      <c r="H460" s="5">
        <v>2.4E-2</v>
      </c>
      <c r="I460" s="5">
        <v>220800</v>
      </c>
      <c r="J460" s="14">
        <v>220800</v>
      </c>
      <c r="K4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1" spans="1:11" hidden="1" x14ac:dyDescent="0.25">
      <c r="A461" s="5"/>
      <c r="B461" s="5"/>
      <c r="C461" s="5"/>
      <c r="G461" s="5"/>
      <c r="H461" s="5"/>
      <c r="I461" s="5"/>
      <c r="J461" s="14"/>
      <c r="K4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2" spans="1:11" x14ac:dyDescent="0.25">
      <c r="A462" s="5"/>
      <c r="B462" s="5" t="s">
        <v>438</v>
      </c>
      <c r="C462" s="5" t="s">
        <v>15</v>
      </c>
      <c r="D462">
        <v>400</v>
      </c>
      <c r="E462">
        <v>3</v>
      </c>
      <c r="F462">
        <v>25</v>
      </c>
      <c r="G462" s="5">
        <v>1</v>
      </c>
      <c r="H462" s="5">
        <v>0.03</v>
      </c>
      <c r="I462" s="5">
        <v>279000</v>
      </c>
      <c r="J462" s="14">
        <v>279000</v>
      </c>
      <c r="K4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3" spans="1:11" hidden="1" x14ac:dyDescent="0.25">
      <c r="A463" s="5"/>
      <c r="B463" s="5"/>
      <c r="C463" s="5"/>
      <c r="G463" s="5"/>
      <c r="H463" s="5"/>
      <c r="I463" s="5"/>
      <c r="J463" s="14"/>
      <c r="K4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4" spans="1:11" x14ac:dyDescent="0.25">
      <c r="A464" s="5"/>
      <c r="B464" s="5" t="s">
        <v>433</v>
      </c>
      <c r="C464" s="5" t="s">
        <v>9</v>
      </c>
      <c r="D464">
        <v>400</v>
      </c>
      <c r="E464">
        <v>4</v>
      </c>
      <c r="F464">
        <v>20</v>
      </c>
      <c r="G464" s="5">
        <v>2</v>
      </c>
      <c r="H464" s="5">
        <v>6.4000000000000001E-2</v>
      </c>
      <c r="I464" s="5">
        <v>294400</v>
      </c>
      <c r="J464" s="14">
        <v>588800</v>
      </c>
      <c r="K4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5" spans="1:11" hidden="1" x14ac:dyDescent="0.25">
      <c r="A465" s="5"/>
      <c r="B465" s="5"/>
      <c r="C465" s="5"/>
      <c r="G465" s="5"/>
      <c r="H465" s="5"/>
      <c r="I465" s="5"/>
      <c r="J465" s="14"/>
      <c r="K4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6" spans="1:11" x14ac:dyDescent="0.25">
      <c r="A466" s="5"/>
      <c r="B466" s="5" t="s">
        <v>443</v>
      </c>
      <c r="C466" s="5" t="s">
        <v>21</v>
      </c>
      <c r="D466">
        <v>400</v>
      </c>
      <c r="E466">
        <v>4</v>
      </c>
      <c r="F466">
        <v>25</v>
      </c>
      <c r="G466" s="5">
        <v>2</v>
      </c>
      <c r="H466" s="5">
        <v>0.08</v>
      </c>
      <c r="I466" s="5">
        <v>372000</v>
      </c>
      <c r="J466" s="14">
        <v>744000</v>
      </c>
      <c r="K4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7" spans="1:11" hidden="1" x14ac:dyDescent="0.25">
      <c r="A467" s="5"/>
      <c r="B467" s="5"/>
      <c r="C467" s="5"/>
      <c r="G467" s="5"/>
      <c r="H467" s="5"/>
      <c r="I467" s="5"/>
      <c r="J467" s="14"/>
      <c r="K4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8" spans="1:11" x14ac:dyDescent="0.25">
      <c r="A468" s="5"/>
      <c r="B468" s="5" t="s">
        <v>440</v>
      </c>
      <c r="C468" s="5" t="s">
        <v>17</v>
      </c>
      <c r="D468">
        <v>500</v>
      </c>
      <c r="E468">
        <v>4</v>
      </c>
      <c r="F468">
        <v>25</v>
      </c>
      <c r="G468" s="5">
        <v>3</v>
      </c>
      <c r="H468" s="5">
        <v>0.15</v>
      </c>
      <c r="I468" s="5">
        <v>465000</v>
      </c>
      <c r="J468" s="14">
        <v>1395000</v>
      </c>
      <c r="K4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69" spans="1:11" hidden="1" x14ac:dyDescent="0.25">
      <c r="A469" s="5"/>
      <c r="B469" s="5"/>
      <c r="C469" s="5"/>
      <c r="G469" s="5"/>
      <c r="H469" s="5"/>
      <c r="I469" s="5"/>
      <c r="J469" s="14"/>
      <c r="K4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70" spans="1:11" hidden="1" x14ac:dyDescent="0.25">
      <c r="A470" s="5"/>
      <c r="B470" s="5"/>
      <c r="C470" s="5"/>
      <c r="G470" s="5"/>
      <c r="H470" s="5"/>
      <c r="I470" s="5"/>
      <c r="J470" s="14"/>
      <c r="K4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71" spans="1:11" x14ac:dyDescent="0.25">
      <c r="A471" s="5" t="s">
        <v>121</v>
      </c>
      <c r="B471" s="5" t="s">
        <v>517</v>
      </c>
      <c r="C471" s="5" t="s">
        <v>122</v>
      </c>
      <c r="D471">
        <v>400</v>
      </c>
      <c r="E471">
        <v>6</v>
      </c>
      <c r="F471">
        <v>15</v>
      </c>
      <c r="G471" s="5">
        <v>8</v>
      </c>
      <c r="H471" s="5">
        <v>0.28799999999999998</v>
      </c>
      <c r="I471" s="5">
        <v>795600</v>
      </c>
      <c r="J471" s="14">
        <v>6364800</v>
      </c>
      <c r="K4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72" spans="1:11" hidden="1" x14ac:dyDescent="0.25">
      <c r="A472" s="5"/>
      <c r="B472" s="5"/>
      <c r="C472" s="5"/>
      <c r="G472" s="5"/>
      <c r="H472" s="5"/>
      <c r="I472" s="5"/>
      <c r="J472" s="14"/>
      <c r="K4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73" spans="1:11" x14ac:dyDescent="0.25">
      <c r="A473" s="5"/>
      <c r="B473" s="5" t="s">
        <v>479</v>
      </c>
      <c r="C473" s="5" t="s">
        <v>65</v>
      </c>
      <c r="D473">
        <v>240</v>
      </c>
      <c r="E473">
        <v>6</v>
      </c>
      <c r="F473">
        <v>15</v>
      </c>
      <c r="G473" s="5">
        <v>10</v>
      </c>
      <c r="H473" s="5">
        <v>0.216</v>
      </c>
      <c r="I473" s="5">
        <v>466560</v>
      </c>
      <c r="J473" s="14">
        <v>4665600</v>
      </c>
      <c r="K4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74" spans="1:11" hidden="1" x14ac:dyDescent="0.25">
      <c r="A474" s="5"/>
      <c r="B474" s="5"/>
      <c r="C474" s="5"/>
      <c r="G474" s="5"/>
      <c r="H474" s="5"/>
      <c r="I474" s="5"/>
      <c r="J474" s="14"/>
      <c r="K4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75" spans="1:11" x14ac:dyDescent="0.25">
      <c r="A475" s="5"/>
      <c r="B475" s="5" t="s">
        <v>518</v>
      </c>
      <c r="C475" s="5" t="s">
        <v>123</v>
      </c>
      <c r="D475">
        <v>400</v>
      </c>
      <c r="E475">
        <v>5</v>
      </c>
      <c r="F475">
        <v>10</v>
      </c>
      <c r="G475" s="5">
        <v>10</v>
      </c>
      <c r="H475" s="5">
        <v>0.2</v>
      </c>
      <c r="I475" s="5">
        <v>444000</v>
      </c>
      <c r="J475" s="14">
        <v>4440000</v>
      </c>
      <c r="K4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76" spans="1:11" hidden="1" x14ac:dyDescent="0.25">
      <c r="A476" s="5"/>
      <c r="B476" s="5"/>
      <c r="C476" s="5"/>
      <c r="G476" s="5"/>
      <c r="H476" s="5"/>
      <c r="I476" s="5"/>
      <c r="J476" s="14"/>
      <c r="K4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77" spans="1:11" x14ac:dyDescent="0.25">
      <c r="A477" s="5"/>
      <c r="B477" s="5" t="s">
        <v>451</v>
      </c>
      <c r="C477" s="5" t="s">
        <v>30</v>
      </c>
      <c r="D477">
        <v>90</v>
      </c>
      <c r="E477">
        <v>6</v>
      </c>
      <c r="F477">
        <v>15</v>
      </c>
      <c r="G477" s="5">
        <v>3</v>
      </c>
      <c r="H477" s="5">
        <v>2.4299999999999999E-2</v>
      </c>
      <c r="I477" s="5">
        <v>163620</v>
      </c>
      <c r="J477" s="14">
        <v>490860</v>
      </c>
      <c r="K4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78" spans="1:11" hidden="1" x14ac:dyDescent="0.25">
      <c r="A478" s="5"/>
      <c r="B478" s="5"/>
      <c r="C478" s="5"/>
      <c r="G478" s="5"/>
      <c r="H478" s="5"/>
      <c r="I478" s="5"/>
      <c r="J478" s="14"/>
      <c r="K4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79" spans="1:11" hidden="1" x14ac:dyDescent="0.25">
      <c r="A479" s="5"/>
      <c r="B479" s="5"/>
      <c r="C479" s="5"/>
      <c r="G479" s="5"/>
      <c r="H479" s="5"/>
      <c r="I479" s="5"/>
      <c r="J479" s="14"/>
      <c r="K4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0" spans="1:11" x14ac:dyDescent="0.25">
      <c r="A480" s="5" t="s">
        <v>124</v>
      </c>
      <c r="B480" s="5" t="s">
        <v>486</v>
      </c>
      <c r="C480" s="5" t="s">
        <v>76</v>
      </c>
      <c r="D480">
        <v>400</v>
      </c>
      <c r="E480">
        <v>3</v>
      </c>
      <c r="F480">
        <v>25</v>
      </c>
      <c r="G480" s="5">
        <v>1</v>
      </c>
      <c r="H480" s="5">
        <v>0.03</v>
      </c>
      <c r="I480" s="5">
        <v>717000</v>
      </c>
      <c r="J480" s="14">
        <v>717000</v>
      </c>
      <c r="K4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1" spans="1:11" hidden="1" x14ac:dyDescent="0.25">
      <c r="A481" s="5"/>
      <c r="B481" s="5"/>
      <c r="C481" s="5"/>
      <c r="G481" s="5"/>
      <c r="H481" s="5"/>
      <c r="I481" s="5"/>
      <c r="J481" s="14"/>
      <c r="K4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2" spans="1:11" hidden="1" x14ac:dyDescent="0.25">
      <c r="A482" s="5"/>
      <c r="B482" s="5"/>
      <c r="C482" s="5"/>
      <c r="G482" s="5"/>
      <c r="H482" s="5"/>
      <c r="I482" s="5"/>
      <c r="J482" s="14"/>
      <c r="K4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3" spans="1:11" x14ac:dyDescent="0.25">
      <c r="A483" s="5" t="s">
        <v>124</v>
      </c>
      <c r="B483" s="5" t="s">
        <v>503</v>
      </c>
      <c r="C483" s="5" t="s">
        <v>99</v>
      </c>
      <c r="D483">
        <v>300</v>
      </c>
      <c r="E483">
        <v>6</v>
      </c>
      <c r="F483">
        <v>15</v>
      </c>
      <c r="G483" s="5">
        <v>4</v>
      </c>
      <c r="H483" s="5">
        <v>0.108</v>
      </c>
      <c r="I483" s="5">
        <v>234900</v>
      </c>
      <c r="J483" s="14">
        <v>939600</v>
      </c>
      <c r="K4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84" spans="1:11" hidden="1" x14ac:dyDescent="0.25">
      <c r="A484" s="5"/>
      <c r="B484" s="5"/>
      <c r="C484" s="5"/>
      <c r="G484" s="5"/>
      <c r="H484" s="5"/>
      <c r="I484" s="5"/>
      <c r="J484" s="14"/>
      <c r="K4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5" spans="1:11" x14ac:dyDescent="0.25">
      <c r="A485" s="5"/>
      <c r="B485" s="5" t="s">
        <v>519</v>
      </c>
      <c r="C485" s="5" t="s">
        <v>125</v>
      </c>
      <c r="D485">
        <v>400</v>
      </c>
      <c r="E485">
        <v>5</v>
      </c>
      <c r="F485">
        <v>25</v>
      </c>
      <c r="G485" s="5">
        <v>3</v>
      </c>
      <c r="H485" s="5">
        <v>0.15</v>
      </c>
      <c r="I485" s="5">
        <v>475000</v>
      </c>
      <c r="J485" s="14">
        <v>1425000</v>
      </c>
      <c r="K4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86" spans="1:11" hidden="1" x14ac:dyDescent="0.25">
      <c r="A486" s="5"/>
      <c r="B486" s="5"/>
      <c r="C486" s="5"/>
      <c r="G486" s="5"/>
      <c r="H486" s="5"/>
      <c r="I486" s="5"/>
      <c r="J486" s="14"/>
      <c r="K4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7" spans="1:11" x14ac:dyDescent="0.25">
      <c r="A487" s="5"/>
      <c r="B487" s="5" t="s">
        <v>481</v>
      </c>
      <c r="C487" s="5" t="s">
        <v>68</v>
      </c>
      <c r="D487">
        <v>400</v>
      </c>
      <c r="E487">
        <v>6</v>
      </c>
      <c r="F487">
        <v>15</v>
      </c>
      <c r="G487" s="5">
        <v>4</v>
      </c>
      <c r="H487" s="5">
        <v>0.14399999999999999</v>
      </c>
      <c r="I487" s="5">
        <v>313200</v>
      </c>
      <c r="J487" s="14">
        <v>1252800</v>
      </c>
      <c r="K4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88" spans="1:11" hidden="1" x14ac:dyDescent="0.25">
      <c r="A488" s="5"/>
      <c r="B488" s="5"/>
      <c r="C488" s="5"/>
      <c r="G488" s="5"/>
      <c r="H488" s="5"/>
      <c r="I488" s="5"/>
      <c r="J488" s="14"/>
      <c r="K4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89" spans="1:11" x14ac:dyDescent="0.25">
      <c r="A489" s="5"/>
      <c r="B489" s="5" t="s">
        <v>463</v>
      </c>
      <c r="C489" s="5" t="s">
        <v>45</v>
      </c>
      <c r="D489">
        <v>500</v>
      </c>
      <c r="E489">
        <v>4</v>
      </c>
      <c r="F489">
        <v>30</v>
      </c>
      <c r="G489" s="5">
        <v>1</v>
      </c>
      <c r="H489" s="5">
        <v>0.06</v>
      </c>
      <c r="I489" s="5">
        <v>570000</v>
      </c>
      <c r="J489" s="14">
        <v>570000</v>
      </c>
      <c r="K4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0" spans="1:11" hidden="1" x14ac:dyDescent="0.25">
      <c r="A490" s="5"/>
      <c r="B490" s="5"/>
      <c r="C490" s="5"/>
      <c r="G490" s="5"/>
      <c r="H490" s="5"/>
      <c r="I490" s="5"/>
      <c r="J490" s="14"/>
      <c r="K4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1" spans="1:11" x14ac:dyDescent="0.25">
      <c r="A491" s="5"/>
      <c r="B491" s="5" t="s">
        <v>520</v>
      </c>
      <c r="C491" s="5" t="s">
        <v>126</v>
      </c>
      <c r="D491">
        <v>500</v>
      </c>
      <c r="E491">
        <v>6</v>
      </c>
      <c r="F491">
        <v>12</v>
      </c>
      <c r="G491" s="5">
        <v>2</v>
      </c>
      <c r="H491" s="5">
        <v>7.1999999999999995E-2</v>
      </c>
      <c r="I491" s="5">
        <v>331200</v>
      </c>
      <c r="J491" s="14">
        <v>662400</v>
      </c>
      <c r="K4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92" spans="1:11" hidden="1" x14ac:dyDescent="0.25">
      <c r="A492" s="5"/>
      <c r="B492" s="5"/>
      <c r="C492" s="5"/>
      <c r="G492" s="5"/>
      <c r="H492" s="5"/>
      <c r="I492" s="5"/>
      <c r="J492" s="14"/>
      <c r="K4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3" spans="1:11" hidden="1" x14ac:dyDescent="0.25">
      <c r="A493" s="5"/>
      <c r="B493" s="5"/>
      <c r="C493" s="5"/>
      <c r="G493" s="5"/>
      <c r="H493" s="5"/>
      <c r="I493" s="5"/>
      <c r="J493" s="14"/>
      <c r="K4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4" spans="1:11" x14ac:dyDescent="0.25">
      <c r="A494" s="5" t="s">
        <v>124</v>
      </c>
      <c r="B494" s="5" t="s">
        <v>497</v>
      </c>
      <c r="C494" s="5" t="s">
        <v>90</v>
      </c>
      <c r="D494">
        <v>400</v>
      </c>
      <c r="E494">
        <v>6</v>
      </c>
      <c r="F494">
        <v>35</v>
      </c>
      <c r="G494" s="5">
        <v>2</v>
      </c>
      <c r="H494" s="5">
        <v>0.16800000000000001</v>
      </c>
      <c r="I494" s="5">
        <v>2167200</v>
      </c>
      <c r="J494" s="14">
        <v>4334400</v>
      </c>
      <c r="K4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95" spans="1:11" hidden="1" x14ac:dyDescent="0.25">
      <c r="A495" s="5"/>
      <c r="B495" s="5"/>
      <c r="C495" s="5"/>
      <c r="G495" s="5"/>
      <c r="H495" s="5"/>
      <c r="I495" s="5"/>
      <c r="J495" s="14"/>
      <c r="K4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6" spans="1:11" hidden="1" x14ac:dyDescent="0.25">
      <c r="A496" s="5"/>
      <c r="B496" s="5"/>
      <c r="C496" s="5"/>
      <c r="G496" s="5"/>
      <c r="H496" s="5"/>
      <c r="I496" s="5"/>
      <c r="J496" s="14"/>
      <c r="K4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7" spans="1:11" x14ac:dyDescent="0.25">
      <c r="A497" s="5" t="s">
        <v>124</v>
      </c>
      <c r="B497" s="5" t="s">
        <v>455</v>
      </c>
      <c r="C497" s="5" t="s">
        <v>36</v>
      </c>
      <c r="D497">
        <v>400</v>
      </c>
      <c r="E497">
        <v>3</v>
      </c>
      <c r="F497">
        <v>20</v>
      </c>
      <c r="G497" s="5">
        <v>2</v>
      </c>
      <c r="H497" s="5">
        <v>4.8000000000000001E-2</v>
      </c>
      <c r="I497" s="5">
        <v>220800</v>
      </c>
      <c r="J497" s="14">
        <v>441600</v>
      </c>
      <c r="K4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8" spans="1:11" hidden="1" x14ac:dyDescent="0.25">
      <c r="A498" s="5"/>
      <c r="B498" s="5"/>
      <c r="C498" s="5"/>
      <c r="G498" s="5"/>
      <c r="H498" s="5"/>
      <c r="I498" s="5"/>
      <c r="J498" s="14"/>
      <c r="K4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99" spans="1:11" x14ac:dyDescent="0.25">
      <c r="A499" s="5"/>
      <c r="B499" s="5" t="s">
        <v>439</v>
      </c>
      <c r="C499" s="5" t="s">
        <v>16</v>
      </c>
      <c r="D499">
        <v>400</v>
      </c>
      <c r="E499">
        <v>3</v>
      </c>
      <c r="F499">
        <v>30</v>
      </c>
      <c r="G499" s="5">
        <v>2</v>
      </c>
      <c r="H499" s="5">
        <v>7.1999999999999995E-2</v>
      </c>
      <c r="I499" s="5">
        <v>342000</v>
      </c>
      <c r="J499" s="14">
        <v>684000</v>
      </c>
      <c r="K4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0" spans="1:11" hidden="1" x14ac:dyDescent="0.25">
      <c r="A500" s="5"/>
      <c r="B500" s="5"/>
      <c r="C500" s="5"/>
      <c r="G500" s="5"/>
      <c r="H500" s="5"/>
      <c r="I500" s="5"/>
      <c r="J500" s="14"/>
      <c r="K5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1" spans="1:11" x14ac:dyDescent="0.25">
      <c r="A501" s="5"/>
      <c r="B501" s="5" t="s">
        <v>433</v>
      </c>
      <c r="C501" s="5" t="s">
        <v>9</v>
      </c>
      <c r="D501">
        <v>400</v>
      </c>
      <c r="E501">
        <v>4</v>
      </c>
      <c r="F501">
        <v>20</v>
      </c>
      <c r="G501" s="5">
        <v>2</v>
      </c>
      <c r="H501" s="5">
        <v>6.4000000000000001E-2</v>
      </c>
      <c r="I501" s="5">
        <v>294400</v>
      </c>
      <c r="J501" s="14">
        <v>588800</v>
      </c>
      <c r="K5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2" spans="1:11" hidden="1" x14ac:dyDescent="0.25">
      <c r="A502" s="5"/>
      <c r="B502" s="5"/>
      <c r="C502" s="5"/>
      <c r="G502" s="5"/>
      <c r="H502" s="5"/>
      <c r="I502" s="5"/>
      <c r="J502" s="14"/>
      <c r="K5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3" spans="1:11" hidden="1" x14ac:dyDescent="0.25">
      <c r="A503" s="5"/>
      <c r="B503" s="5"/>
      <c r="C503" s="5"/>
      <c r="G503" s="5"/>
      <c r="H503" s="5"/>
      <c r="I503" s="5"/>
      <c r="J503" s="14"/>
      <c r="K5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4" spans="1:11" x14ac:dyDescent="0.25">
      <c r="A504" s="5" t="s">
        <v>127</v>
      </c>
      <c r="B504" s="5" t="s">
        <v>452</v>
      </c>
      <c r="C504" s="5" t="s">
        <v>32</v>
      </c>
      <c r="D504">
        <v>500</v>
      </c>
      <c r="E504">
        <v>6</v>
      </c>
      <c r="F504">
        <v>17</v>
      </c>
      <c r="G504" s="5">
        <v>3</v>
      </c>
      <c r="H504" s="5">
        <v>0.153</v>
      </c>
      <c r="I504" s="5">
        <v>504900</v>
      </c>
      <c r="J504" s="14">
        <v>1514700</v>
      </c>
      <c r="K5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05" spans="1:11" hidden="1" x14ac:dyDescent="0.25">
      <c r="A505" s="5"/>
      <c r="B505" s="5"/>
      <c r="C505" s="5"/>
      <c r="G505" s="5"/>
      <c r="H505" s="5"/>
      <c r="I505" s="5"/>
      <c r="J505" s="14"/>
      <c r="K5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6" spans="1:11" hidden="1" x14ac:dyDescent="0.25">
      <c r="A506" s="5"/>
      <c r="B506" s="5"/>
      <c r="C506" s="5"/>
      <c r="G506" s="5"/>
      <c r="H506" s="5"/>
      <c r="I506" s="5"/>
      <c r="J506" s="14"/>
      <c r="K5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7" spans="1:11" x14ac:dyDescent="0.25">
      <c r="A507" s="5" t="s">
        <v>127</v>
      </c>
      <c r="B507" s="5" t="s">
        <v>504</v>
      </c>
      <c r="C507" s="5" t="s">
        <v>100</v>
      </c>
      <c r="D507">
        <v>250</v>
      </c>
      <c r="E507">
        <v>6</v>
      </c>
      <c r="F507">
        <v>15</v>
      </c>
      <c r="G507" s="5">
        <v>4</v>
      </c>
      <c r="H507" s="5">
        <v>0.09</v>
      </c>
      <c r="I507" s="5">
        <v>508500</v>
      </c>
      <c r="J507" s="14">
        <v>2034000</v>
      </c>
      <c r="K5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08" spans="1:11" hidden="1" x14ac:dyDescent="0.25">
      <c r="A508" s="5"/>
      <c r="B508" s="5"/>
      <c r="C508" s="5"/>
      <c r="G508" s="5"/>
      <c r="H508" s="5"/>
      <c r="I508" s="5"/>
      <c r="J508" s="14"/>
      <c r="K5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09" spans="1:11" x14ac:dyDescent="0.25">
      <c r="A509" s="5"/>
      <c r="B509" s="5" t="s">
        <v>507</v>
      </c>
      <c r="C509" s="5" t="s">
        <v>104</v>
      </c>
      <c r="D509">
        <v>400</v>
      </c>
      <c r="E509">
        <v>4</v>
      </c>
      <c r="F509">
        <v>25</v>
      </c>
      <c r="G509" s="5">
        <v>1</v>
      </c>
      <c r="H509" s="5">
        <v>0.04</v>
      </c>
      <c r="I509" s="5">
        <v>956000</v>
      </c>
      <c r="J509" s="14">
        <v>956000</v>
      </c>
      <c r="K5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0" spans="1:11" hidden="1" x14ac:dyDescent="0.25">
      <c r="A510" s="5"/>
      <c r="B510" s="5"/>
      <c r="C510" s="5"/>
      <c r="G510" s="5"/>
      <c r="H510" s="5"/>
      <c r="I510" s="5"/>
      <c r="J510" s="14"/>
      <c r="K5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1" spans="1:11" x14ac:dyDescent="0.25">
      <c r="A511" s="5"/>
      <c r="B511" s="5" t="s">
        <v>484</v>
      </c>
      <c r="C511" s="5" t="s">
        <v>72</v>
      </c>
      <c r="D511">
        <v>500</v>
      </c>
      <c r="E511">
        <v>3</v>
      </c>
      <c r="F511">
        <v>30</v>
      </c>
      <c r="G511" s="5">
        <v>1</v>
      </c>
      <c r="H511" s="5">
        <v>4.4999999999999998E-2</v>
      </c>
      <c r="I511" s="5">
        <v>1120500</v>
      </c>
      <c r="J511" s="14">
        <v>1120500</v>
      </c>
      <c r="K5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2" spans="1:11" hidden="1" x14ac:dyDescent="0.25">
      <c r="A512" s="5"/>
      <c r="B512" s="5"/>
      <c r="C512" s="5"/>
      <c r="G512" s="5"/>
      <c r="H512" s="5"/>
      <c r="I512" s="5"/>
      <c r="J512" s="14"/>
      <c r="K5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3" spans="1:11" x14ac:dyDescent="0.25">
      <c r="A513" s="5"/>
      <c r="B513" s="5" t="s">
        <v>477</v>
      </c>
      <c r="C513" s="5" t="s">
        <v>63</v>
      </c>
      <c r="D513">
        <v>100</v>
      </c>
      <c r="E513">
        <v>6</v>
      </c>
      <c r="F513">
        <v>15</v>
      </c>
      <c r="G513" s="5">
        <v>2</v>
      </c>
      <c r="H513" s="5">
        <v>1.7999999999999999E-2</v>
      </c>
      <c r="I513" s="5">
        <v>181800</v>
      </c>
      <c r="J513" s="14">
        <v>363600</v>
      </c>
      <c r="K5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14" spans="1:11" hidden="1" x14ac:dyDescent="0.25">
      <c r="A514" s="5"/>
      <c r="B514" s="5"/>
      <c r="C514" s="5"/>
      <c r="G514" s="5"/>
      <c r="H514" s="5"/>
      <c r="I514" s="5"/>
      <c r="J514" s="14"/>
      <c r="K5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5" spans="1:11" hidden="1" x14ac:dyDescent="0.25">
      <c r="A515" s="5"/>
      <c r="B515" s="5"/>
      <c r="C515" s="5"/>
      <c r="G515" s="5"/>
      <c r="H515" s="5"/>
      <c r="I515" s="5"/>
      <c r="J515" s="14"/>
      <c r="K5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6" spans="1:11" x14ac:dyDescent="0.25">
      <c r="A516" s="5" t="s">
        <v>128</v>
      </c>
      <c r="B516" s="5" t="s">
        <v>507</v>
      </c>
      <c r="C516" s="5" t="s">
        <v>104</v>
      </c>
      <c r="D516">
        <v>400</v>
      </c>
      <c r="E516">
        <v>4</v>
      </c>
      <c r="F516">
        <v>25</v>
      </c>
      <c r="G516" s="5">
        <v>16</v>
      </c>
      <c r="H516" s="5">
        <v>0.64</v>
      </c>
      <c r="I516" s="5">
        <v>956000</v>
      </c>
      <c r="J516" s="14">
        <v>15296000</v>
      </c>
      <c r="K5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7" spans="1:11" hidden="1" x14ac:dyDescent="0.25">
      <c r="A517" s="5"/>
      <c r="B517" s="5"/>
      <c r="C517" s="5"/>
      <c r="G517" s="5"/>
      <c r="H517" s="5"/>
      <c r="I517" s="5"/>
      <c r="J517" s="14"/>
      <c r="K5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8" spans="1:11" hidden="1" x14ac:dyDescent="0.25">
      <c r="A518" s="5"/>
      <c r="B518" s="5"/>
      <c r="C518" s="5"/>
      <c r="G518" s="5"/>
      <c r="H518" s="5"/>
      <c r="I518" s="5"/>
      <c r="J518" s="14"/>
      <c r="K5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19" spans="1:11" x14ac:dyDescent="0.25">
      <c r="A519" s="5" t="s">
        <v>128</v>
      </c>
      <c r="B519" s="5" t="s">
        <v>438</v>
      </c>
      <c r="C519" s="5" t="s">
        <v>15</v>
      </c>
      <c r="D519">
        <v>400</v>
      </c>
      <c r="E519">
        <v>3</v>
      </c>
      <c r="F519">
        <v>25</v>
      </c>
      <c r="G519" s="5">
        <v>15</v>
      </c>
      <c r="H519" s="5">
        <v>0.45</v>
      </c>
      <c r="I519" s="5">
        <v>279000</v>
      </c>
      <c r="J519" s="14">
        <v>4185000</v>
      </c>
      <c r="K5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0" spans="1:11" hidden="1" x14ac:dyDescent="0.25">
      <c r="A520" s="5"/>
      <c r="B520" s="5"/>
      <c r="C520" s="5"/>
      <c r="G520" s="5"/>
      <c r="H520" s="5"/>
      <c r="I520" s="5"/>
      <c r="J520" s="14"/>
      <c r="K5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1" spans="1:11" x14ac:dyDescent="0.25">
      <c r="A521" s="5"/>
      <c r="B521" s="5" t="s">
        <v>443</v>
      </c>
      <c r="C521" s="5" t="s">
        <v>21</v>
      </c>
      <c r="D521">
        <v>400</v>
      </c>
      <c r="E521">
        <v>4</v>
      </c>
      <c r="F521">
        <v>25</v>
      </c>
      <c r="G521" s="5">
        <v>20</v>
      </c>
      <c r="H521" s="5">
        <v>0.8</v>
      </c>
      <c r="I521" s="5">
        <v>372000</v>
      </c>
      <c r="J521" s="14">
        <v>7440000</v>
      </c>
      <c r="K5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2" spans="1:11" hidden="1" x14ac:dyDescent="0.25">
      <c r="A522" s="5"/>
      <c r="B522" s="5"/>
      <c r="C522" s="5"/>
      <c r="G522" s="5"/>
      <c r="H522" s="5"/>
      <c r="I522" s="5"/>
      <c r="J522" s="14"/>
      <c r="K5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3" spans="1:11" hidden="1" x14ac:dyDescent="0.25">
      <c r="A523" s="5"/>
      <c r="B523" s="5"/>
      <c r="C523" s="5"/>
      <c r="G523" s="5"/>
      <c r="H523" s="5"/>
      <c r="I523" s="5"/>
      <c r="J523" s="14"/>
      <c r="K5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4" spans="1:11" x14ac:dyDescent="0.25">
      <c r="A524" s="5" t="s">
        <v>128</v>
      </c>
      <c r="B524" s="5" t="s">
        <v>518</v>
      </c>
      <c r="C524" s="5" t="s">
        <v>123</v>
      </c>
      <c r="D524">
        <v>400</v>
      </c>
      <c r="E524">
        <v>5</v>
      </c>
      <c r="F524">
        <v>10</v>
      </c>
      <c r="G524" s="5">
        <v>6</v>
      </c>
      <c r="H524" s="5">
        <v>0.12</v>
      </c>
      <c r="I524" s="5">
        <v>444000</v>
      </c>
      <c r="J524" s="14">
        <v>2664000</v>
      </c>
      <c r="K5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25" spans="1:11" hidden="1" x14ac:dyDescent="0.25">
      <c r="A525" s="5"/>
      <c r="B525" s="5"/>
      <c r="C525" s="5"/>
      <c r="G525" s="5"/>
      <c r="H525" s="5"/>
      <c r="I525" s="5"/>
      <c r="J525" s="14"/>
      <c r="K5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6" spans="1:11" hidden="1" x14ac:dyDescent="0.25">
      <c r="A526" s="5"/>
      <c r="B526" s="5"/>
      <c r="C526" s="5"/>
      <c r="G526" s="5"/>
      <c r="H526" s="5"/>
      <c r="I526" s="5"/>
      <c r="J526" s="14"/>
      <c r="K5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7" spans="1:11" x14ac:dyDescent="0.25">
      <c r="A527" s="5" t="s">
        <v>128</v>
      </c>
      <c r="B527" s="5" t="s">
        <v>438</v>
      </c>
      <c r="C527" s="5" t="s">
        <v>15</v>
      </c>
      <c r="D527">
        <v>400</v>
      </c>
      <c r="E527">
        <v>3</v>
      </c>
      <c r="F527">
        <v>25</v>
      </c>
      <c r="G527" s="5">
        <v>7</v>
      </c>
      <c r="H527" s="5">
        <v>0.21</v>
      </c>
      <c r="I527" s="5">
        <v>279000</v>
      </c>
      <c r="J527" s="14">
        <v>1953000</v>
      </c>
      <c r="K5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8" spans="1:11" hidden="1" x14ac:dyDescent="0.25">
      <c r="A528" s="5"/>
      <c r="B528" s="5"/>
      <c r="C528" s="5"/>
      <c r="G528" s="5"/>
      <c r="H528" s="5"/>
      <c r="I528" s="5"/>
      <c r="J528" s="14"/>
      <c r="K5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29" spans="1:11" x14ac:dyDescent="0.25">
      <c r="A529" s="5"/>
      <c r="B529" s="5" t="s">
        <v>443</v>
      </c>
      <c r="C529" s="5" t="s">
        <v>21</v>
      </c>
      <c r="D529">
        <v>400</v>
      </c>
      <c r="E529">
        <v>4</v>
      </c>
      <c r="F529">
        <v>25</v>
      </c>
      <c r="G529" s="5">
        <v>6</v>
      </c>
      <c r="H529" s="5">
        <v>0.24</v>
      </c>
      <c r="I529" s="5">
        <v>372000</v>
      </c>
      <c r="J529" s="14">
        <v>2232000</v>
      </c>
      <c r="K5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30" spans="1:11" hidden="1" x14ac:dyDescent="0.25">
      <c r="A530" s="5"/>
      <c r="B530" s="5"/>
      <c r="C530" s="5"/>
      <c r="G530" s="5"/>
      <c r="H530" s="5"/>
      <c r="I530" s="5"/>
      <c r="J530" s="14"/>
      <c r="K5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31" spans="1:11" hidden="1" x14ac:dyDescent="0.25">
      <c r="A531" s="5"/>
      <c r="B531" s="5"/>
      <c r="C531" s="5"/>
      <c r="G531" s="5"/>
      <c r="H531" s="5"/>
      <c r="I531" s="5"/>
      <c r="J531" s="14"/>
      <c r="K5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32" spans="1:11" x14ac:dyDescent="0.25">
      <c r="A532" s="5" t="s">
        <v>129</v>
      </c>
      <c r="B532" s="5" t="s">
        <v>521</v>
      </c>
      <c r="C532" s="5" t="s">
        <v>130</v>
      </c>
      <c r="D532">
        <v>350</v>
      </c>
      <c r="E532">
        <v>6</v>
      </c>
      <c r="F532">
        <v>15</v>
      </c>
      <c r="G532" s="5">
        <v>3</v>
      </c>
      <c r="H532" s="5">
        <v>9.4500000000000001E-2</v>
      </c>
      <c r="I532" s="5">
        <v>696150</v>
      </c>
      <c r="J532" s="14">
        <v>2088450</v>
      </c>
      <c r="K5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33" spans="1:11" hidden="1" x14ac:dyDescent="0.25">
      <c r="A533" s="5"/>
      <c r="B533" s="5"/>
      <c r="C533" s="5"/>
      <c r="G533" s="5"/>
      <c r="H533" s="5"/>
      <c r="I533" s="5"/>
      <c r="J533" s="14"/>
      <c r="K5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34" spans="1:11" x14ac:dyDescent="0.25">
      <c r="A534" s="5"/>
      <c r="B534" s="5" t="s">
        <v>517</v>
      </c>
      <c r="C534" s="5" t="s">
        <v>122</v>
      </c>
      <c r="D534">
        <v>400</v>
      </c>
      <c r="E534">
        <v>6</v>
      </c>
      <c r="F534">
        <v>15</v>
      </c>
      <c r="G534" s="5">
        <v>4</v>
      </c>
      <c r="H534" s="5">
        <v>0.14399999999999999</v>
      </c>
      <c r="I534" s="5">
        <v>795600</v>
      </c>
      <c r="J534" s="14">
        <v>3182400</v>
      </c>
      <c r="K5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35" spans="1:11" hidden="1" x14ac:dyDescent="0.25">
      <c r="A535" s="5"/>
      <c r="B535" s="5"/>
      <c r="C535" s="5"/>
      <c r="G535" s="5"/>
      <c r="H535" s="5"/>
      <c r="I535" s="5"/>
      <c r="J535" s="14"/>
      <c r="K5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36" spans="1:11" x14ac:dyDescent="0.25">
      <c r="A536" s="5"/>
      <c r="B536" s="5" t="s">
        <v>522</v>
      </c>
      <c r="C536" s="5" t="s">
        <v>131</v>
      </c>
      <c r="D536">
        <v>200</v>
      </c>
      <c r="E536">
        <v>6</v>
      </c>
      <c r="F536">
        <v>15</v>
      </c>
      <c r="G536" s="5">
        <v>1</v>
      </c>
      <c r="H536" s="5">
        <v>1.7999999999999999E-2</v>
      </c>
      <c r="I536" s="5">
        <v>388800</v>
      </c>
      <c r="J536" s="14">
        <v>388800</v>
      </c>
      <c r="K5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37" spans="1:11" hidden="1" x14ac:dyDescent="0.25">
      <c r="A537" s="5"/>
      <c r="B537" s="5"/>
      <c r="C537" s="5"/>
      <c r="G537" s="5"/>
      <c r="H537" s="5"/>
      <c r="I537" s="5"/>
      <c r="J537" s="14"/>
      <c r="K5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38" spans="1:11" x14ac:dyDescent="0.25">
      <c r="A538" s="5"/>
      <c r="B538" s="5" t="s">
        <v>499</v>
      </c>
      <c r="C538" s="5" t="s">
        <v>94</v>
      </c>
      <c r="D538">
        <v>300</v>
      </c>
      <c r="E538">
        <v>6</v>
      </c>
      <c r="F538">
        <v>15</v>
      </c>
      <c r="G538" s="5">
        <v>6</v>
      </c>
      <c r="H538" s="5">
        <v>0.16200000000000001</v>
      </c>
      <c r="I538" s="5">
        <v>583200</v>
      </c>
      <c r="J538" s="14">
        <v>3499200</v>
      </c>
      <c r="K5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39" spans="1:11" hidden="1" x14ac:dyDescent="0.25">
      <c r="A539" s="5"/>
      <c r="B539" s="5"/>
      <c r="C539" s="5"/>
      <c r="G539" s="5"/>
      <c r="H539" s="5"/>
      <c r="I539" s="5"/>
      <c r="J539" s="14"/>
      <c r="K5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0" spans="1:11" hidden="1" x14ac:dyDescent="0.25">
      <c r="A540" s="5"/>
      <c r="B540" s="5"/>
      <c r="C540" s="5"/>
      <c r="G540" s="5"/>
      <c r="H540" s="5"/>
      <c r="I540" s="5"/>
      <c r="J540" s="14"/>
      <c r="K5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1" spans="1:11" x14ac:dyDescent="0.25">
      <c r="A541" s="5" t="s">
        <v>132</v>
      </c>
      <c r="B541" s="5" t="s">
        <v>455</v>
      </c>
      <c r="C541" s="5" t="s">
        <v>36</v>
      </c>
      <c r="D541">
        <v>400</v>
      </c>
      <c r="E541">
        <v>3</v>
      </c>
      <c r="F541">
        <v>20</v>
      </c>
      <c r="G541" s="5">
        <v>5</v>
      </c>
      <c r="H541" s="5">
        <v>0.12</v>
      </c>
      <c r="I541" s="5">
        <v>220800</v>
      </c>
      <c r="J541" s="14">
        <v>1104000</v>
      </c>
      <c r="K5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2" spans="1:11" hidden="1" x14ac:dyDescent="0.25">
      <c r="A542" s="5"/>
      <c r="B542" s="5"/>
      <c r="C542" s="5"/>
      <c r="G542" s="5"/>
      <c r="H542" s="5"/>
      <c r="I542" s="5"/>
      <c r="J542" s="14"/>
      <c r="K5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3" spans="1:11" x14ac:dyDescent="0.25">
      <c r="A543" s="5"/>
      <c r="B543" s="5" t="s">
        <v>438</v>
      </c>
      <c r="C543" s="5" t="s">
        <v>15</v>
      </c>
      <c r="D543">
        <v>400</v>
      </c>
      <c r="E543">
        <v>3</v>
      </c>
      <c r="F543">
        <v>25</v>
      </c>
      <c r="G543" s="5">
        <v>9</v>
      </c>
      <c r="H543" s="5">
        <v>0.27</v>
      </c>
      <c r="I543" s="5">
        <v>279000</v>
      </c>
      <c r="J543" s="14">
        <v>2511000</v>
      </c>
      <c r="K5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4" spans="1:11" hidden="1" x14ac:dyDescent="0.25">
      <c r="A544" s="5"/>
      <c r="B544" s="5"/>
      <c r="C544" s="5"/>
      <c r="G544" s="5"/>
      <c r="H544" s="5"/>
      <c r="I544" s="5"/>
      <c r="J544" s="14"/>
      <c r="K5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5" spans="1:11" x14ac:dyDescent="0.25">
      <c r="A545" s="5"/>
      <c r="B545" s="5" t="s">
        <v>433</v>
      </c>
      <c r="C545" s="5" t="s">
        <v>9</v>
      </c>
      <c r="D545">
        <v>400</v>
      </c>
      <c r="E545">
        <v>4</v>
      </c>
      <c r="F545">
        <v>20</v>
      </c>
      <c r="G545" s="5">
        <v>5</v>
      </c>
      <c r="H545" s="5">
        <v>0.16</v>
      </c>
      <c r="I545" s="5">
        <v>294400</v>
      </c>
      <c r="J545" s="14">
        <v>1472000</v>
      </c>
      <c r="K5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6" spans="1:11" hidden="1" x14ac:dyDescent="0.25">
      <c r="A546" s="5"/>
      <c r="B546" s="5"/>
      <c r="C546" s="5"/>
      <c r="G546" s="5"/>
      <c r="H546" s="5"/>
      <c r="I546" s="5"/>
      <c r="J546" s="14"/>
      <c r="K5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7" spans="1:11" x14ac:dyDescent="0.25">
      <c r="A547" s="5"/>
      <c r="B547" s="5" t="s">
        <v>523</v>
      </c>
      <c r="C547" s="5" t="s">
        <v>133</v>
      </c>
      <c r="D547">
        <v>500</v>
      </c>
      <c r="E547">
        <v>4</v>
      </c>
      <c r="F547">
        <v>20</v>
      </c>
      <c r="G547" s="5">
        <v>1</v>
      </c>
      <c r="H547" s="5">
        <v>0.04</v>
      </c>
      <c r="I547" s="5">
        <v>368000</v>
      </c>
      <c r="J547" s="14">
        <v>368000</v>
      </c>
      <c r="K5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8" spans="1:11" hidden="1" x14ac:dyDescent="0.25">
      <c r="A548" s="5"/>
      <c r="B548" s="5"/>
      <c r="C548" s="5"/>
      <c r="G548" s="5"/>
      <c r="H548" s="5"/>
      <c r="I548" s="5"/>
      <c r="J548" s="14"/>
      <c r="K5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49" spans="1:11" x14ac:dyDescent="0.25">
      <c r="A549" s="5"/>
      <c r="B549" s="5" t="s">
        <v>440</v>
      </c>
      <c r="C549" s="5" t="s">
        <v>17</v>
      </c>
      <c r="D549">
        <v>500</v>
      </c>
      <c r="E549">
        <v>4</v>
      </c>
      <c r="F549">
        <v>25</v>
      </c>
      <c r="G549" s="5">
        <v>1</v>
      </c>
      <c r="H549" s="5">
        <v>0.05</v>
      </c>
      <c r="I549" s="5">
        <v>465000</v>
      </c>
      <c r="J549" s="14">
        <v>465000</v>
      </c>
      <c r="K5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0" spans="1:11" hidden="1" x14ac:dyDescent="0.25">
      <c r="A550" s="5"/>
      <c r="B550" s="5"/>
      <c r="C550" s="5"/>
      <c r="G550" s="5"/>
      <c r="H550" s="5"/>
      <c r="I550" s="5"/>
      <c r="J550" s="14"/>
      <c r="K5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1" spans="1:11" hidden="1" x14ac:dyDescent="0.25">
      <c r="A551" s="5"/>
      <c r="B551" s="5"/>
      <c r="C551" s="5"/>
      <c r="G551" s="5"/>
      <c r="H551" s="5"/>
      <c r="I551" s="5"/>
      <c r="J551" s="14"/>
      <c r="K5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2" spans="1:11" x14ac:dyDescent="0.25">
      <c r="A552" s="5" t="s">
        <v>132</v>
      </c>
      <c r="B552" s="5" t="s">
        <v>433</v>
      </c>
      <c r="C552" s="5" t="s">
        <v>9</v>
      </c>
      <c r="D552">
        <v>400</v>
      </c>
      <c r="E552">
        <v>4</v>
      </c>
      <c r="F552">
        <v>20</v>
      </c>
      <c r="G552" s="5">
        <v>4</v>
      </c>
      <c r="H552" s="5">
        <v>0.128</v>
      </c>
      <c r="I552" s="5">
        <v>294400</v>
      </c>
      <c r="J552" s="14">
        <v>1177600</v>
      </c>
      <c r="K5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3" spans="1:11" hidden="1" x14ac:dyDescent="0.25">
      <c r="A553" s="5"/>
      <c r="B553" s="5"/>
      <c r="C553" s="5"/>
      <c r="G553" s="5"/>
      <c r="H553" s="5"/>
      <c r="I553" s="5"/>
      <c r="J553" s="14"/>
      <c r="K5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4" spans="1:11" hidden="1" x14ac:dyDescent="0.25">
      <c r="A554" s="5"/>
      <c r="B554" s="5"/>
      <c r="C554" s="5"/>
      <c r="G554" s="5"/>
      <c r="H554" s="5"/>
      <c r="I554" s="5"/>
      <c r="J554" s="14"/>
      <c r="K5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5" spans="1:11" x14ac:dyDescent="0.25">
      <c r="A555" s="5" t="s">
        <v>132</v>
      </c>
      <c r="B555" s="5" t="s">
        <v>451</v>
      </c>
      <c r="C555" s="5" t="s">
        <v>30</v>
      </c>
      <c r="D555">
        <v>90</v>
      </c>
      <c r="E555">
        <v>6</v>
      </c>
      <c r="F555">
        <v>15</v>
      </c>
      <c r="G555" s="5">
        <v>2</v>
      </c>
      <c r="H555" s="5">
        <v>1.6199999999999999E-2</v>
      </c>
      <c r="I555" s="5">
        <v>163620</v>
      </c>
      <c r="J555" s="14">
        <v>327240</v>
      </c>
      <c r="K5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56" spans="1:11" hidden="1" x14ac:dyDescent="0.25">
      <c r="A556" s="5"/>
      <c r="B556" s="5"/>
      <c r="C556" s="5"/>
      <c r="G556" s="5"/>
      <c r="H556" s="5"/>
      <c r="I556" s="5"/>
      <c r="J556" s="14"/>
      <c r="K5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7" spans="1:11" hidden="1" x14ac:dyDescent="0.25">
      <c r="A557" s="5"/>
      <c r="B557" s="5"/>
      <c r="C557" s="5"/>
      <c r="G557" s="5"/>
      <c r="H557" s="5"/>
      <c r="I557" s="5"/>
      <c r="J557" s="14"/>
      <c r="K5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58" spans="1:11" x14ac:dyDescent="0.25">
      <c r="A558" s="5" t="s">
        <v>134</v>
      </c>
      <c r="B558" s="5" t="s">
        <v>490</v>
      </c>
      <c r="C558" s="5" t="s">
        <v>82</v>
      </c>
      <c r="D558">
        <v>250</v>
      </c>
      <c r="E558">
        <v>6</v>
      </c>
      <c r="F558">
        <v>15</v>
      </c>
      <c r="G558" s="5">
        <v>11</v>
      </c>
      <c r="H558" s="5">
        <v>0.2475</v>
      </c>
      <c r="I558" s="5">
        <v>207000</v>
      </c>
      <c r="J558" s="14">
        <v>2277000</v>
      </c>
      <c r="K5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59" spans="1:11" hidden="1" x14ac:dyDescent="0.25">
      <c r="A559" s="5"/>
      <c r="B559" s="5"/>
      <c r="C559" s="5"/>
      <c r="G559" s="5"/>
      <c r="H559" s="5"/>
      <c r="I559" s="5"/>
      <c r="J559" s="14"/>
      <c r="K5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0" spans="1:11" x14ac:dyDescent="0.25">
      <c r="A560" s="5"/>
      <c r="B560" s="5" t="s">
        <v>433</v>
      </c>
      <c r="C560" s="5" t="s">
        <v>9</v>
      </c>
      <c r="D560">
        <v>400</v>
      </c>
      <c r="E560">
        <v>4</v>
      </c>
      <c r="F560">
        <v>20</v>
      </c>
      <c r="G560" s="5">
        <v>2</v>
      </c>
      <c r="H560" s="5">
        <v>6.4000000000000001E-2</v>
      </c>
      <c r="I560" s="5">
        <v>294400</v>
      </c>
      <c r="J560" s="14">
        <v>588800</v>
      </c>
      <c r="K5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1" spans="1:11" hidden="1" x14ac:dyDescent="0.25">
      <c r="A561" s="5"/>
      <c r="B561" s="5"/>
      <c r="C561" s="5"/>
      <c r="G561" s="5"/>
      <c r="H561" s="5"/>
      <c r="I561" s="5"/>
      <c r="J561" s="14"/>
      <c r="K5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2" spans="1:11" x14ac:dyDescent="0.25">
      <c r="A562" s="5"/>
      <c r="B562" s="5" t="s">
        <v>481</v>
      </c>
      <c r="C562" s="5" t="s">
        <v>68</v>
      </c>
      <c r="D562">
        <v>400</v>
      </c>
      <c r="E562">
        <v>6</v>
      </c>
      <c r="F562">
        <v>15</v>
      </c>
      <c r="G562" s="5">
        <v>2</v>
      </c>
      <c r="H562" s="5">
        <v>7.1999999999999995E-2</v>
      </c>
      <c r="I562" s="5">
        <v>313200</v>
      </c>
      <c r="J562" s="14">
        <v>626400</v>
      </c>
      <c r="K5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63" spans="1:11" hidden="1" x14ac:dyDescent="0.25">
      <c r="A563" s="5"/>
      <c r="B563" s="5"/>
      <c r="C563" s="5"/>
      <c r="G563" s="5"/>
      <c r="H563" s="5"/>
      <c r="I563" s="5"/>
      <c r="J563" s="14"/>
      <c r="K5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4" spans="1:11" hidden="1" x14ac:dyDescent="0.25">
      <c r="A564" s="5"/>
      <c r="B564" s="5"/>
      <c r="C564" s="5"/>
      <c r="G564" s="5"/>
      <c r="H564" s="5"/>
      <c r="I564" s="5"/>
      <c r="J564" s="14"/>
      <c r="K5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5" spans="1:11" x14ac:dyDescent="0.25">
      <c r="A565" s="5" t="s">
        <v>134</v>
      </c>
      <c r="B565" s="5" t="s">
        <v>438</v>
      </c>
      <c r="C565" s="5" t="s">
        <v>15</v>
      </c>
      <c r="D565">
        <v>400</v>
      </c>
      <c r="E565">
        <v>3</v>
      </c>
      <c r="F565">
        <v>25</v>
      </c>
      <c r="G565" s="5">
        <v>3</v>
      </c>
      <c r="H565" s="5">
        <v>0.09</v>
      </c>
      <c r="I565" s="5">
        <v>279000</v>
      </c>
      <c r="J565" s="14">
        <v>837000</v>
      </c>
      <c r="K5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6" spans="1:11" hidden="1" x14ac:dyDescent="0.25">
      <c r="A566" s="5"/>
      <c r="B566" s="5"/>
      <c r="C566" s="5"/>
      <c r="G566" s="5"/>
      <c r="H566" s="5"/>
      <c r="I566" s="5"/>
      <c r="J566" s="14"/>
      <c r="K5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7" spans="1:11" x14ac:dyDescent="0.25">
      <c r="A567" s="5"/>
      <c r="B567" s="5" t="s">
        <v>439</v>
      </c>
      <c r="C567" s="5" t="s">
        <v>16</v>
      </c>
      <c r="D567">
        <v>400</v>
      </c>
      <c r="E567">
        <v>3</v>
      </c>
      <c r="F567">
        <v>30</v>
      </c>
      <c r="G567" s="5">
        <v>3</v>
      </c>
      <c r="H567" s="5">
        <v>0.108</v>
      </c>
      <c r="I567" s="5">
        <v>342000</v>
      </c>
      <c r="J567" s="14">
        <v>1026000</v>
      </c>
      <c r="K5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8" spans="1:11" hidden="1" x14ac:dyDescent="0.25">
      <c r="A568" s="5"/>
      <c r="B568" s="5"/>
      <c r="C568" s="5"/>
      <c r="G568" s="5"/>
      <c r="H568" s="5"/>
      <c r="I568" s="5"/>
      <c r="J568" s="14"/>
      <c r="K5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69" spans="1:11" x14ac:dyDescent="0.25">
      <c r="A569" s="5"/>
      <c r="B569" s="5" t="s">
        <v>433</v>
      </c>
      <c r="C569" s="5" t="s">
        <v>9</v>
      </c>
      <c r="D569">
        <v>400</v>
      </c>
      <c r="E569">
        <v>4</v>
      </c>
      <c r="F569">
        <v>20</v>
      </c>
      <c r="G569" s="5">
        <v>4</v>
      </c>
      <c r="H569" s="5">
        <v>0.128</v>
      </c>
      <c r="I569" s="5">
        <v>294400</v>
      </c>
      <c r="J569" s="14">
        <v>1177600</v>
      </c>
      <c r="K5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0" spans="1:11" hidden="1" x14ac:dyDescent="0.25">
      <c r="A570" s="5"/>
      <c r="B570" s="5"/>
      <c r="C570" s="5"/>
      <c r="G570" s="5"/>
      <c r="H570" s="5"/>
      <c r="I570" s="5"/>
      <c r="J570" s="14"/>
      <c r="K5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1" spans="1:11" x14ac:dyDescent="0.25">
      <c r="A571" s="5"/>
      <c r="B571" s="5" t="s">
        <v>443</v>
      </c>
      <c r="C571" s="5" t="s">
        <v>21</v>
      </c>
      <c r="D571">
        <v>400</v>
      </c>
      <c r="E571">
        <v>4</v>
      </c>
      <c r="F571">
        <v>25</v>
      </c>
      <c r="G571" s="5">
        <v>6</v>
      </c>
      <c r="H571" s="5">
        <v>0.24</v>
      </c>
      <c r="I571" s="5">
        <v>372000</v>
      </c>
      <c r="J571" s="14">
        <v>2232000</v>
      </c>
      <c r="K5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2" spans="1:11" hidden="1" x14ac:dyDescent="0.25">
      <c r="A572" s="5"/>
      <c r="B572" s="5"/>
      <c r="C572" s="5"/>
      <c r="G572" s="5"/>
      <c r="H572" s="5"/>
      <c r="I572" s="5"/>
      <c r="J572" s="14"/>
      <c r="K5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3" spans="1:11" x14ac:dyDescent="0.25">
      <c r="A573" s="5"/>
      <c r="B573" s="5" t="s">
        <v>434</v>
      </c>
      <c r="C573" s="5" t="s">
        <v>10</v>
      </c>
      <c r="D573">
        <v>400</v>
      </c>
      <c r="E573">
        <v>4</v>
      </c>
      <c r="F573">
        <v>30</v>
      </c>
      <c r="G573" s="5">
        <v>6</v>
      </c>
      <c r="H573" s="5">
        <v>0.28799999999999998</v>
      </c>
      <c r="I573" s="5">
        <v>456000</v>
      </c>
      <c r="J573" s="14">
        <v>2736000</v>
      </c>
      <c r="K5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4" spans="1:11" hidden="1" x14ac:dyDescent="0.25">
      <c r="A574" s="5"/>
      <c r="B574" s="5"/>
      <c r="C574" s="5"/>
      <c r="G574" s="5"/>
      <c r="H574" s="5"/>
      <c r="I574" s="5"/>
      <c r="J574" s="14"/>
      <c r="K5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5" spans="1:11" x14ac:dyDescent="0.25">
      <c r="A575" s="5"/>
      <c r="B575" s="5" t="s">
        <v>481</v>
      </c>
      <c r="C575" s="5" t="s">
        <v>68</v>
      </c>
      <c r="D575">
        <v>400</v>
      </c>
      <c r="E575">
        <v>6</v>
      </c>
      <c r="F575">
        <v>15</v>
      </c>
      <c r="G575" s="5">
        <v>10</v>
      </c>
      <c r="H575" s="5">
        <v>0.36</v>
      </c>
      <c r="I575" s="5">
        <v>313200</v>
      </c>
      <c r="J575" s="14">
        <v>3132000</v>
      </c>
      <c r="K5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76" spans="1:11" hidden="1" x14ac:dyDescent="0.25">
      <c r="A576" s="5"/>
      <c r="B576" s="5"/>
      <c r="C576" s="5"/>
      <c r="G576" s="5"/>
      <c r="H576" s="5"/>
      <c r="I576" s="5"/>
      <c r="J576" s="14"/>
      <c r="K5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7" spans="1:11" hidden="1" x14ac:dyDescent="0.25">
      <c r="A577" s="5"/>
      <c r="B577" s="5"/>
      <c r="C577" s="5"/>
      <c r="G577" s="5"/>
      <c r="H577" s="5"/>
      <c r="I577" s="5"/>
      <c r="J577" s="14"/>
      <c r="K5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78" spans="1:11" x14ac:dyDescent="0.25">
      <c r="A578" s="5" t="s">
        <v>135</v>
      </c>
      <c r="B578" s="5" t="s">
        <v>518</v>
      </c>
      <c r="C578" s="5" t="s">
        <v>123</v>
      </c>
      <c r="D578">
        <v>400</v>
      </c>
      <c r="E578">
        <v>5</v>
      </c>
      <c r="F578">
        <v>10</v>
      </c>
      <c r="G578" s="5">
        <v>4</v>
      </c>
      <c r="H578" s="5">
        <v>0.08</v>
      </c>
      <c r="I578" s="5">
        <v>444000</v>
      </c>
      <c r="J578" s="14">
        <v>1776000</v>
      </c>
      <c r="K5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79" spans="1:11" hidden="1" x14ac:dyDescent="0.25">
      <c r="A579" s="5"/>
      <c r="B579" s="5"/>
      <c r="C579" s="5"/>
      <c r="G579" s="5"/>
      <c r="H579" s="5"/>
      <c r="I579" s="5"/>
      <c r="J579" s="14"/>
      <c r="K5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0" spans="1:11" hidden="1" x14ac:dyDescent="0.25">
      <c r="A580" s="5"/>
      <c r="B580" s="5"/>
      <c r="C580" s="5"/>
      <c r="G580" s="5"/>
      <c r="H580" s="5"/>
      <c r="I580" s="5"/>
      <c r="J580" s="14"/>
      <c r="K5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1" spans="1:11" x14ac:dyDescent="0.25">
      <c r="A581" s="5" t="s">
        <v>135</v>
      </c>
      <c r="B581" s="5" t="s">
        <v>433</v>
      </c>
      <c r="C581" s="5" t="s">
        <v>9</v>
      </c>
      <c r="D581">
        <v>400</v>
      </c>
      <c r="E581">
        <v>4</v>
      </c>
      <c r="F581">
        <v>20</v>
      </c>
      <c r="G581" s="5">
        <v>3</v>
      </c>
      <c r="H581" s="5">
        <v>9.6000000000000002E-2</v>
      </c>
      <c r="I581" s="5">
        <v>294400</v>
      </c>
      <c r="J581" s="14">
        <v>883200</v>
      </c>
      <c r="K5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2" spans="1:11" hidden="1" x14ac:dyDescent="0.25">
      <c r="A582" s="5"/>
      <c r="B582" s="5"/>
      <c r="C582" s="5"/>
      <c r="G582" s="5"/>
      <c r="H582" s="5"/>
      <c r="I582" s="5"/>
      <c r="J582" s="14"/>
      <c r="K5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3" spans="1:11" x14ac:dyDescent="0.25">
      <c r="A583" s="5"/>
      <c r="B583" s="5" t="s">
        <v>440</v>
      </c>
      <c r="C583" s="5" t="s">
        <v>17</v>
      </c>
      <c r="D583">
        <v>500</v>
      </c>
      <c r="E583">
        <v>4</v>
      </c>
      <c r="F583">
        <v>25</v>
      </c>
      <c r="G583" s="5">
        <v>3</v>
      </c>
      <c r="H583" s="5">
        <v>0.15</v>
      </c>
      <c r="I583" s="5">
        <v>465000</v>
      </c>
      <c r="J583" s="14">
        <v>1395000</v>
      </c>
      <c r="K5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4" spans="1:11" hidden="1" x14ac:dyDescent="0.25">
      <c r="A584" s="5"/>
      <c r="B584" s="5"/>
      <c r="C584" s="5"/>
      <c r="G584" s="5"/>
      <c r="H584" s="5"/>
      <c r="I584" s="5"/>
      <c r="J584" s="14"/>
      <c r="K5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5" spans="1:11" hidden="1" x14ac:dyDescent="0.25">
      <c r="A585" s="5"/>
      <c r="B585" s="5"/>
      <c r="C585" s="5"/>
      <c r="G585" s="5"/>
      <c r="H585" s="5"/>
      <c r="I585" s="5"/>
      <c r="J585" s="14"/>
      <c r="K5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6" spans="1:11" x14ac:dyDescent="0.25">
      <c r="A586" s="5" t="s">
        <v>136</v>
      </c>
      <c r="B586" s="5" t="s">
        <v>477</v>
      </c>
      <c r="C586" s="5" t="s">
        <v>63</v>
      </c>
      <c r="D586">
        <v>100</v>
      </c>
      <c r="E586">
        <v>6</v>
      </c>
      <c r="F586">
        <v>15</v>
      </c>
      <c r="G586" s="5">
        <v>1</v>
      </c>
      <c r="H586" s="5">
        <v>8.9999999999999993E-3</v>
      </c>
      <c r="I586" s="5">
        <v>181800</v>
      </c>
      <c r="J586" s="14">
        <v>181800</v>
      </c>
      <c r="K5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87" spans="1:11" hidden="1" x14ac:dyDescent="0.25">
      <c r="A587" s="5"/>
      <c r="B587" s="5"/>
      <c r="C587" s="5"/>
      <c r="G587" s="5"/>
      <c r="H587" s="5"/>
      <c r="I587" s="5"/>
      <c r="J587" s="14"/>
      <c r="K5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88" spans="1:11" x14ac:dyDescent="0.25">
      <c r="A588" s="5"/>
      <c r="B588" s="5" t="s">
        <v>500</v>
      </c>
      <c r="C588" s="5" t="s">
        <v>95</v>
      </c>
      <c r="D588">
        <v>210</v>
      </c>
      <c r="E588">
        <v>6</v>
      </c>
      <c r="F588">
        <v>15</v>
      </c>
      <c r="G588" s="5">
        <v>2</v>
      </c>
      <c r="H588" s="5">
        <v>3.78E-2</v>
      </c>
      <c r="I588" s="5">
        <v>408240</v>
      </c>
      <c r="J588" s="14">
        <v>816480</v>
      </c>
      <c r="K5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89" spans="1:11" hidden="1" x14ac:dyDescent="0.25">
      <c r="A589" s="5"/>
      <c r="B589" s="5"/>
      <c r="C589" s="5"/>
      <c r="G589" s="5"/>
      <c r="H589" s="5"/>
      <c r="I589" s="5"/>
      <c r="J589" s="14"/>
      <c r="K5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0" spans="1:11" hidden="1" x14ac:dyDescent="0.25">
      <c r="A590" s="5"/>
      <c r="B590" s="5"/>
      <c r="C590" s="5"/>
      <c r="G590" s="5"/>
      <c r="H590" s="5"/>
      <c r="I590" s="5"/>
      <c r="J590" s="14"/>
      <c r="K5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1" spans="1:11" x14ac:dyDescent="0.25">
      <c r="A591" s="5" t="s">
        <v>136</v>
      </c>
      <c r="B591" s="5" t="s">
        <v>434</v>
      </c>
      <c r="C591" s="5" t="s">
        <v>10</v>
      </c>
      <c r="D591">
        <v>400</v>
      </c>
      <c r="E591">
        <v>4</v>
      </c>
      <c r="F591">
        <v>30</v>
      </c>
      <c r="G591" s="5">
        <v>15</v>
      </c>
      <c r="H591" s="5">
        <v>0.72</v>
      </c>
      <c r="I591" s="5">
        <v>456000</v>
      </c>
      <c r="J591" s="14">
        <v>6840000</v>
      </c>
      <c r="K5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2" spans="1:11" hidden="1" x14ac:dyDescent="0.25">
      <c r="A592" s="5"/>
      <c r="B592" s="5"/>
      <c r="C592" s="5"/>
      <c r="G592" s="5"/>
      <c r="H592" s="5"/>
      <c r="I592" s="5"/>
      <c r="J592" s="14"/>
      <c r="K5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3" spans="1:11" x14ac:dyDescent="0.25">
      <c r="A593" s="5"/>
      <c r="B593" s="5" t="s">
        <v>491</v>
      </c>
      <c r="C593" s="5" t="s">
        <v>83</v>
      </c>
      <c r="D593">
        <v>450</v>
      </c>
      <c r="E593">
        <v>6</v>
      </c>
      <c r="F593">
        <v>15</v>
      </c>
      <c r="G593" s="5">
        <v>14</v>
      </c>
      <c r="H593" s="5">
        <v>0.56699999999999995</v>
      </c>
      <c r="I593" s="5">
        <v>372600</v>
      </c>
      <c r="J593" s="14">
        <v>5216400</v>
      </c>
      <c r="K5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94" spans="1:11" hidden="1" x14ac:dyDescent="0.25">
      <c r="A594" s="5"/>
      <c r="B594" s="5"/>
      <c r="C594" s="5"/>
      <c r="G594" s="5"/>
      <c r="H594" s="5"/>
      <c r="I594" s="5"/>
      <c r="J594" s="14"/>
      <c r="K5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5" spans="1:11" x14ac:dyDescent="0.25">
      <c r="A595" s="5"/>
      <c r="B595" s="5" t="s">
        <v>471</v>
      </c>
      <c r="C595" s="5" t="s">
        <v>56</v>
      </c>
      <c r="D595">
        <v>500</v>
      </c>
      <c r="E595">
        <v>5</v>
      </c>
      <c r="F595">
        <v>15</v>
      </c>
      <c r="G595" s="5">
        <v>2</v>
      </c>
      <c r="H595" s="5">
        <v>7.4999999999999997E-2</v>
      </c>
      <c r="I595" s="5">
        <v>360000</v>
      </c>
      <c r="J595" s="14">
        <v>720000</v>
      </c>
      <c r="K5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596" spans="1:11" hidden="1" x14ac:dyDescent="0.25">
      <c r="A596" s="5"/>
      <c r="B596" s="5"/>
      <c r="C596" s="5"/>
      <c r="G596" s="5"/>
      <c r="H596" s="5"/>
      <c r="I596" s="5"/>
      <c r="J596" s="14"/>
      <c r="K5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7" spans="1:11" hidden="1" x14ac:dyDescent="0.25">
      <c r="A597" s="5"/>
      <c r="B597" s="5"/>
      <c r="C597" s="5"/>
      <c r="G597" s="5"/>
      <c r="H597" s="5"/>
      <c r="I597" s="5"/>
      <c r="J597" s="14"/>
      <c r="K5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8" spans="1:11" x14ac:dyDescent="0.25">
      <c r="A598" s="5" t="s">
        <v>136</v>
      </c>
      <c r="B598" s="5" t="s">
        <v>524</v>
      </c>
      <c r="C598" s="5" t="s">
        <v>137</v>
      </c>
      <c r="D598">
        <v>400</v>
      </c>
      <c r="E598">
        <v>4</v>
      </c>
      <c r="F598">
        <v>30</v>
      </c>
      <c r="G598" s="5">
        <v>5</v>
      </c>
      <c r="H598" s="5">
        <v>0.24</v>
      </c>
      <c r="I598" s="5">
        <v>1183200</v>
      </c>
      <c r="J598" s="14">
        <v>5916000</v>
      </c>
      <c r="K5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599" spans="1:11" hidden="1" x14ac:dyDescent="0.25">
      <c r="A599" s="5"/>
      <c r="B599" s="5"/>
      <c r="C599" s="5"/>
      <c r="G599" s="5"/>
      <c r="H599" s="5"/>
      <c r="I599" s="5"/>
      <c r="J599" s="14"/>
      <c r="K5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0" spans="1:11" x14ac:dyDescent="0.25">
      <c r="A600" s="5"/>
      <c r="B600" s="5" t="s">
        <v>517</v>
      </c>
      <c r="C600" s="5" t="s">
        <v>122</v>
      </c>
      <c r="D600">
        <v>400</v>
      </c>
      <c r="E600">
        <v>6</v>
      </c>
      <c r="F600">
        <v>15</v>
      </c>
      <c r="G600" s="5">
        <v>6</v>
      </c>
      <c r="H600" s="5">
        <v>0.216</v>
      </c>
      <c r="I600" s="5">
        <v>804600</v>
      </c>
      <c r="J600" s="14">
        <v>4827600</v>
      </c>
      <c r="K6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01" spans="1:11" hidden="1" x14ac:dyDescent="0.25">
      <c r="A601" s="5"/>
      <c r="B601" s="5"/>
      <c r="C601" s="5"/>
      <c r="G601" s="5"/>
      <c r="H601" s="5"/>
      <c r="I601" s="5"/>
      <c r="J601" s="14"/>
      <c r="K6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2" spans="1:11" x14ac:dyDescent="0.25">
      <c r="A602" s="5"/>
      <c r="B602" s="5" t="s">
        <v>525</v>
      </c>
      <c r="C602" s="5" t="s">
        <v>138</v>
      </c>
      <c r="D602">
        <v>500</v>
      </c>
      <c r="E602">
        <v>4</v>
      </c>
      <c r="F602">
        <v>30</v>
      </c>
      <c r="G602" s="5">
        <v>3</v>
      </c>
      <c r="H602" s="5">
        <v>0.18</v>
      </c>
      <c r="I602" s="5">
        <v>1488000</v>
      </c>
      <c r="J602" s="14">
        <v>4464000</v>
      </c>
      <c r="K6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3" spans="1:11" hidden="1" x14ac:dyDescent="0.25">
      <c r="A603" s="5"/>
      <c r="B603" s="5"/>
      <c r="C603" s="5"/>
      <c r="G603" s="5"/>
      <c r="H603" s="5"/>
      <c r="I603" s="5"/>
      <c r="J603" s="14"/>
      <c r="K6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4" spans="1:11" hidden="1" x14ac:dyDescent="0.25">
      <c r="A604" s="5"/>
      <c r="B604" s="5"/>
      <c r="C604" s="5"/>
      <c r="G604" s="5"/>
      <c r="H604" s="5"/>
      <c r="I604" s="5"/>
      <c r="J604" s="14"/>
      <c r="K6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5" spans="1:11" x14ac:dyDescent="0.25">
      <c r="A605" s="5" t="s">
        <v>136</v>
      </c>
      <c r="B605" s="5" t="s">
        <v>433</v>
      </c>
      <c r="C605" s="5" t="s">
        <v>9</v>
      </c>
      <c r="D605">
        <v>400</v>
      </c>
      <c r="E605">
        <v>4</v>
      </c>
      <c r="F605">
        <v>20</v>
      </c>
      <c r="G605" s="5">
        <v>4</v>
      </c>
      <c r="H605" s="5">
        <v>0.128</v>
      </c>
      <c r="I605" s="5">
        <v>294400</v>
      </c>
      <c r="J605" s="14">
        <v>1177600</v>
      </c>
      <c r="K6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6" spans="1:11" hidden="1" x14ac:dyDescent="0.25">
      <c r="A606" s="5"/>
      <c r="B606" s="5"/>
      <c r="C606" s="5"/>
      <c r="G606" s="5"/>
      <c r="H606" s="5"/>
      <c r="I606" s="5"/>
      <c r="J606" s="14"/>
      <c r="K6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7" spans="1:11" hidden="1" x14ac:dyDescent="0.25">
      <c r="A607" s="5"/>
      <c r="B607" s="5"/>
      <c r="C607" s="5"/>
      <c r="G607" s="5"/>
      <c r="H607" s="5"/>
      <c r="I607" s="5"/>
      <c r="J607" s="14"/>
      <c r="K6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08" spans="1:11" x14ac:dyDescent="0.25">
      <c r="A608" s="5" t="s">
        <v>136</v>
      </c>
      <c r="B608" s="5" t="s">
        <v>526</v>
      </c>
      <c r="C608" s="5" t="s">
        <v>139</v>
      </c>
      <c r="D608">
        <v>300</v>
      </c>
      <c r="E608">
        <v>6</v>
      </c>
      <c r="F608">
        <v>15</v>
      </c>
      <c r="G608" s="5">
        <v>13</v>
      </c>
      <c r="H608" s="5">
        <v>0.35099999999999998</v>
      </c>
      <c r="I608" s="5">
        <v>594000</v>
      </c>
      <c r="J608" s="14">
        <v>7722000</v>
      </c>
      <c r="K6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09" spans="1:11" hidden="1" x14ac:dyDescent="0.25">
      <c r="A609" s="5"/>
      <c r="B609" s="5"/>
      <c r="C609" s="5"/>
      <c r="G609" s="5"/>
      <c r="H609" s="5"/>
      <c r="I609" s="5"/>
      <c r="J609" s="14"/>
      <c r="K6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0" spans="1:11" hidden="1" x14ac:dyDescent="0.25">
      <c r="A610" s="5"/>
      <c r="B610" s="5"/>
      <c r="C610" s="5"/>
      <c r="G610" s="5"/>
      <c r="H610" s="5"/>
      <c r="I610" s="5"/>
      <c r="J610" s="14"/>
      <c r="K6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1" spans="1:11" x14ac:dyDescent="0.25">
      <c r="A611" s="5" t="s">
        <v>136</v>
      </c>
      <c r="B611" s="5" t="s">
        <v>433</v>
      </c>
      <c r="C611" s="5" t="s">
        <v>9</v>
      </c>
      <c r="D611">
        <v>400</v>
      </c>
      <c r="E611">
        <v>4</v>
      </c>
      <c r="F611">
        <v>20</v>
      </c>
      <c r="G611" s="5">
        <v>10</v>
      </c>
      <c r="H611" s="5">
        <v>0.32</v>
      </c>
      <c r="I611" s="5">
        <v>294400</v>
      </c>
      <c r="J611" s="14">
        <v>2944000</v>
      </c>
      <c r="K6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2" spans="1:11" hidden="1" x14ac:dyDescent="0.25">
      <c r="A612" s="5"/>
      <c r="B612" s="5"/>
      <c r="C612" s="5"/>
      <c r="G612" s="5"/>
      <c r="H612" s="5"/>
      <c r="I612" s="5"/>
      <c r="J612" s="14"/>
      <c r="K6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3" spans="1:11" x14ac:dyDescent="0.25">
      <c r="A613" s="5"/>
      <c r="B613" s="5" t="s">
        <v>481</v>
      </c>
      <c r="C613" s="5" t="s">
        <v>68</v>
      </c>
      <c r="D613">
        <v>400</v>
      </c>
      <c r="E613">
        <v>6</v>
      </c>
      <c r="F613">
        <v>15</v>
      </c>
      <c r="G613" s="5">
        <v>12</v>
      </c>
      <c r="H613" s="5">
        <v>0.432</v>
      </c>
      <c r="I613" s="5">
        <v>313200</v>
      </c>
      <c r="J613" s="14">
        <v>3758400</v>
      </c>
      <c r="K6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14" spans="1:11" hidden="1" x14ac:dyDescent="0.25">
      <c r="A614" s="5"/>
      <c r="B614" s="5"/>
      <c r="C614" s="5"/>
      <c r="G614" s="5"/>
      <c r="H614" s="5"/>
      <c r="I614" s="5"/>
      <c r="J614" s="14"/>
      <c r="K6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5" spans="1:11" hidden="1" x14ac:dyDescent="0.25">
      <c r="A615" s="5"/>
      <c r="B615" s="5"/>
      <c r="C615" s="5"/>
      <c r="G615" s="5"/>
      <c r="H615" s="5"/>
      <c r="I615" s="5"/>
      <c r="J615" s="14"/>
      <c r="K6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6" spans="1:11" x14ac:dyDescent="0.25">
      <c r="A616" s="5" t="s">
        <v>140</v>
      </c>
      <c r="B616" s="5" t="s">
        <v>443</v>
      </c>
      <c r="C616" s="5" t="s">
        <v>21</v>
      </c>
      <c r="D616">
        <v>400</v>
      </c>
      <c r="E616">
        <v>4</v>
      </c>
      <c r="F616">
        <v>25</v>
      </c>
      <c r="G616" s="5">
        <v>1</v>
      </c>
      <c r="H616" s="5">
        <v>0.04</v>
      </c>
      <c r="I616" s="5">
        <v>372000</v>
      </c>
      <c r="J616" s="14">
        <v>372000</v>
      </c>
      <c r="K6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7" spans="1:11" hidden="1" x14ac:dyDescent="0.25">
      <c r="A617" s="5"/>
      <c r="B617" s="5"/>
      <c r="C617" s="5"/>
      <c r="G617" s="5"/>
      <c r="H617" s="5"/>
      <c r="I617" s="5"/>
      <c r="J617" s="14"/>
      <c r="K6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18" spans="1:11" x14ac:dyDescent="0.25">
      <c r="A618" s="5"/>
      <c r="B618" s="5" t="s">
        <v>435</v>
      </c>
      <c r="C618" s="5" t="s">
        <v>11</v>
      </c>
      <c r="D618">
        <v>400</v>
      </c>
      <c r="E618">
        <v>6</v>
      </c>
      <c r="F618">
        <v>12</v>
      </c>
      <c r="G618" s="5">
        <v>10</v>
      </c>
      <c r="H618" s="5">
        <v>0.28799999999999998</v>
      </c>
      <c r="I618" s="5">
        <v>250560</v>
      </c>
      <c r="J618" s="14">
        <v>2505600</v>
      </c>
      <c r="K6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19" spans="1:11" hidden="1" x14ac:dyDescent="0.25">
      <c r="A619" s="5"/>
      <c r="B619" s="5"/>
      <c r="C619" s="5"/>
      <c r="G619" s="5"/>
      <c r="H619" s="5"/>
      <c r="I619" s="5"/>
      <c r="J619" s="14"/>
      <c r="K6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0" spans="1:11" hidden="1" x14ac:dyDescent="0.25">
      <c r="A620" s="5"/>
      <c r="B620" s="5"/>
      <c r="C620" s="5"/>
      <c r="G620" s="5"/>
      <c r="H620" s="5"/>
      <c r="I620" s="5"/>
      <c r="J620" s="14"/>
      <c r="K6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1" spans="1:11" x14ac:dyDescent="0.25">
      <c r="A621" s="5" t="s">
        <v>140</v>
      </c>
      <c r="B621" s="5" t="s">
        <v>443</v>
      </c>
      <c r="C621" s="5" t="s">
        <v>21</v>
      </c>
      <c r="D621">
        <v>400</v>
      </c>
      <c r="E621">
        <v>4</v>
      </c>
      <c r="F621">
        <v>25</v>
      </c>
      <c r="G621" s="5">
        <v>1</v>
      </c>
      <c r="H621" s="5">
        <v>0.04</v>
      </c>
      <c r="I621" s="5">
        <v>372000</v>
      </c>
      <c r="J621" s="14">
        <v>372000</v>
      </c>
      <c r="K6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2" spans="1:11" hidden="1" x14ac:dyDescent="0.25">
      <c r="A622" s="5"/>
      <c r="B622" s="5"/>
      <c r="C622" s="5"/>
      <c r="G622" s="5"/>
      <c r="H622" s="5"/>
      <c r="I622" s="5"/>
      <c r="J622" s="14"/>
      <c r="K6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3" spans="1:11" x14ac:dyDescent="0.25">
      <c r="A623" s="5"/>
      <c r="B623" s="5" t="s">
        <v>519</v>
      </c>
      <c r="C623" s="5" t="s">
        <v>125</v>
      </c>
      <c r="D623">
        <v>400</v>
      </c>
      <c r="E623">
        <v>5</v>
      </c>
      <c r="F623">
        <v>25</v>
      </c>
      <c r="G623" s="5">
        <v>3</v>
      </c>
      <c r="H623" s="5">
        <v>0.15</v>
      </c>
      <c r="I623" s="5">
        <v>475000</v>
      </c>
      <c r="J623" s="14">
        <v>1425000</v>
      </c>
      <c r="K6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624" spans="1:11" hidden="1" x14ac:dyDescent="0.25">
      <c r="A624" s="5"/>
      <c r="B624" s="5"/>
      <c r="C624" s="5"/>
      <c r="G624" s="5"/>
      <c r="H624" s="5"/>
      <c r="I624" s="5"/>
      <c r="J624" s="14"/>
      <c r="K6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5" spans="1:11" hidden="1" x14ac:dyDescent="0.25">
      <c r="A625" s="5"/>
      <c r="B625" s="5"/>
      <c r="C625" s="5"/>
      <c r="G625" s="5"/>
      <c r="H625" s="5"/>
      <c r="I625" s="5"/>
      <c r="J625" s="14"/>
      <c r="K6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6" spans="1:11" x14ac:dyDescent="0.25">
      <c r="A626" s="5" t="s">
        <v>140</v>
      </c>
      <c r="B626" s="5" t="s">
        <v>504</v>
      </c>
      <c r="C626" s="5" t="s">
        <v>100</v>
      </c>
      <c r="D626">
        <v>250</v>
      </c>
      <c r="E626">
        <v>6</v>
      </c>
      <c r="F626">
        <v>15</v>
      </c>
      <c r="G626" s="5">
        <v>11</v>
      </c>
      <c r="H626" s="5">
        <v>0.2475</v>
      </c>
      <c r="I626" s="5">
        <v>508500</v>
      </c>
      <c r="J626" s="14">
        <v>5593500</v>
      </c>
      <c r="K6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27" spans="1:11" hidden="1" x14ac:dyDescent="0.25">
      <c r="A627" s="5"/>
      <c r="B627" s="5"/>
      <c r="C627" s="5"/>
      <c r="G627" s="5"/>
      <c r="H627" s="5"/>
      <c r="I627" s="5"/>
      <c r="J627" s="14"/>
      <c r="K6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28" spans="1:11" x14ac:dyDescent="0.25">
      <c r="A628" s="5"/>
      <c r="B628" s="5" t="s">
        <v>500</v>
      </c>
      <c r="C628" s="5" t="s">
        <v>95</v>
      </c>
      <c r="D628">
        <v>210</v>
      </c>
      <c r="E628">
        <v>6</v>
      </c>
      <c r="F628">
        <v>15</v>
      </c>
      <c r="G628" s="5">
        <v>2</v>
      </c>
      <c r="H628" s="5">
        <v>3.78E-2</v>
      </c>
      <c r="I628" s="5">
        <v>408240</v>
      </c>
      <c r="J628" s="14">
        <v>816480</v>
      </c>
      <c r="K6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29" spans="1:11" hidden="1" x14ac:dyDescent="0.25">
      <c r="A629" s="5"/>
      <c r="B629" s="5"/>
      <c r="C629" s="5"/>
      <c r="G629" s="5"/>
      <c r="H629" s="5"/>
      <c r="I629" s="5"/>
      <c r="J629" s="14"/>
      <c r="K6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0" spans="1:11" x14ac:dyDescent="0.25">
      <c r="A630" s="5"/>
      <c r="B630" s="5" t="s">
        <v>441</v>
      </c>
      <c r="C630" s="5" t="s">
        <v>19</v>
      </c>
      <c r="D630">
        <v>230</v>
      </c>
      <c r="E630">
        <v>6</v>
      </c>
      <c r="F630">
        <v>15</v>
      </c>
      <c r="G630" s="5">
        <v>6</v>
      </c>
      <c r="H630" s="5">
        <v>0.1242</v>
      </c>
      <c r="I630" s="5">
        <v>447120</v>
      </c>
      <c r="J630" s="14">
        <v>2682720</v>
      </c>
      <c r="K6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31" spans="1:11" hidden="1" x14ac:dyDescent="0.25">
      <c r="A631" s="5"/>
      <c r="B631" s="5"/>
      <c r="C631" s="5"/>
      <c r="G631" s="5"/>
      <c r="H631" s="5"/>
      <c r="I631" s="5"/>
      <c r="J631" s="14"/>
      <c r="K6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2" spans="1:11" hidden="1" x14ac:dyDescent="0.25">
      <c r="A632" s="5"/>
      <c r="B632" s="5"/>
      <c r="C632" s="5"/>
      <c r="G632" s="5"/>
      <c r="H632" s="5"/>
      <c r="I632" s="5"/>
      <c r="J632" s="14"/>
      <c r="K6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3" spans="1:11" x14ac:dyDescent="0.25">
      <c r="A633" s="5" t="s">
        <v>141</v>
      </c>
      <c r="B633" s="5" t="s">
        <v>443</v>
      </c>
      <c r="C633" s="5" t="s">
        <v>21</v>
      </c>
      <c r="D633">
        <v>400</v>
      </c>
      <c r="E633">
        <v>4</v>
      </c>
      <c r="F633">
        <v>25</v>
      </c>
      <c r="G633" s="5">
        <v>25</v>
      </c>
      <c r="H633" s="5">
        <v>1</v>
      </c>
      <c r="I633" s="5">
        <v>372000</v>
      </c>
      <c r="J633" s="14">
        <v>9300000</v>
      </c>
      <c r="K6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4" spans="1:11" hidden="1" x14ac:dyDescent="0.25">
      <c r="A634" s="5"/>
      <c r="B634" s="5"/>
      <c r="C634" s="5"/>
      <c r="G634" s="5"/>
      <c r="H634" s="5"/>
      <c r="I634" s="5"/>
      <c r="J634" s="14"/>
      <c r="K6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5" spans="1:11" hidden="1" x14ac:dyDescent="0.25">
      <c r="A635" s="5"/>
      <c r="B635" s="5"/>
      <c r="C635" s="5"/>
      <c r="G635" s="5"/>
      <c r="H635" s="5"/>
      <c r="I635" s="5"/>
      <c r="J635" s="14"/>
      <c r="K6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6" spans="1:11" x14ac:dyDescent="0.25">
      <c r="A636" s="5" t="s">
        <v>141</v>
      </c>
      <c r="B636" s="5" t="s">
        <v>434</v>
      </c>
      <c r="C636" s="5" t="s">
        <v>10</v>
      </c>
      <c r="D636">
        <v>400</v>
      </c>
      <c r="E636">
        <v>4</v>
      </c>
      <c r="F636">
        <v>30</v>
      </c>
      <c r="G636" s="5">
        <v>3</v>
      </c>
      <c r="H636" s="5">
        <v>0.14399999999999999</v>
      </c>
      <c r="I636" s="5">
        <v>456000</v>
      </c>
      <c r="J636" s="14">
        <v>1368000</v>
      </c>
      <c r="K6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7" spans="1:11" hidden="1" x14ac:dyDescent="0.25">
      <c r="A637" s="5"/>
      <c r="B637" s="5"/>
      <c r="C637" s="5"/>
      <c r="G637" s="5"/>
      <c r="H637" s="5"/>
      <c r="I637" s="5"/>
      <c r="J637" s="14"/>
      <c r="K6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38" spans="1:11" x14ac:dyDescent="0.25">
      <c r="A638" s="5"/>
      <c r="B638" s="5" t="s">
        <v>491</v>
      </c>
      <c r="C638" s="5" t="s">
        <v>83</v>
      </c>
      <c r="D638">
        <v>450</v>
      </c>
      <c r="E638">
        <v>6</v>
      </c>
      <c r="F638">
        <v>15</v>
      </c>
      <c r="G638" s="5">
        <v>6</v>
      </c>
      <c r="H638" s="5">
        <v>0.24299999999999999</v>
      </c>
      <c r="I638" s="5">
        <v>372600</v>
      </c>
      <c r="J638" s="14">
        <v>2235600</v>
      </c>
      <c r="K6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39" spans="1:11" hidden="1" x14ac:dyDescent="0.25">
      <c r="A639" s="5"/>
      <c r="B639" s="5"/>
      <c r="C639" s="5"/>
      <c r="G639" s="5"/>
      <c r="H639" s="5"/>
      <c r="I639" s="5"/>
      <c r="J639" s="14"/>
      <c r="K6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0" spans="1:11" hidden="1" x14ac:dyDescent="0.25">
      <c r="A640" s="5"/>
      <c r="B640" s="5"/>
      <c r="C640" s="5"/>
      <c r="G640" s="5"/>
      <c r="H640" s="5"/>
      <c r="I640" s="5"/>
      <c r="J640" s="14"/>
      <c r="K6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1" spans="1:11" x14ac:dyDescent="0.25">
      <c r="A641" s="5" t="s">
        <v>141</v>
      </c>
      <c r="B641" s="5" t="s">
        <v>503</v>
      </c>
      <c r="C641" s="5" t="s">
        <v>99</v>
      </c>
      <c r="D641">
        <v>300</v>
      </c>
      <c r="E641">
        <v>6</v>
      </c>
      <c r="F641">
        <v>15</v>
      </c>
      <c r="G641" s="5">
        <v>1</v>
      </c>
      <c r="H641" s="5">
        <v>2.7E-2</v>
      </c>
      <c r="I641" s="5">
        <v>234900</v>
      </c>
      <c r="J641" s="14">
        <v>234900</v>
      </c>
      <c r="K6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42" spans="1:11" hidden="1" x14ac:dyDescent="0.25">
      <c r="A642" s="5"/>
      <c r="B642" s="5"/>
      <c r="C642" s="5"/>
      <c r="G642" s="5"/>
      <c r="H642" s="5"/>
      <c r="I642" s="5"/>
      <c r="J642" s="14"/>
      <c r="K6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3" spans="1:11" x14ac:dyDescent="0.25">
      <c r="A643" s="5"/>
      <c r="B643" s="5" t="s">
        <v>434</v>
      </c>
      <c r="C643" s="5" t="s">
        <v>10</v>
      </c>
      <c r="D643">
        <v>400</v>
      </c>
      <c r="E643">
        <v>4</v>
      </c>
      <c r="F643">
        <v>30</v>
      </c>
      <c r="G643" s="5">
        <v>1</v>
      </c>
      <c r="H643" s="5">
        <v>4.8000000000000001E-2</v>
      </c>
      <c r="I643" s="5">
        <v>456000</v>
      </c>
      <c r="J643" s="14">
        <v>456000</v>
      </c>
      <c r="K6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4" spans="1:11" hidden="1" x14ac:dyDescent="0.25">
      <c r="A644" s="5"/>
      <c r="B644" s="5"/>
      <c r="C644" s="5"/>
      <c r="G644" s="5"/>
      <c r="H644" s="5"/>
      <c r="I644" s="5"/>
      <c r="J644" s="14"/>
      <c r="K6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5" spans="1:11" x14ac:dyDescent="0.25">
      <c r="A645" s="5"/>
      <c r="B645" s="5" t="s">
        <v>440</v>
      </c>
      <c r="C645" s="5" t="s">
        <v>17</v>
      </c>
      <c r="D645">
        <v>500</v>
      </c>
      <c r="E645">
        <v>4</v>
      </c>
      <c r="F645">
        <v>25</v>
      </c>
      <c r="G645" s="5">
        <v>1</v>
      </c>
      <c r="H645" s="5">
        <v>0.05</v>
      </c>
      <c r="I645" s="5">
        <v>465000</v>
      </c>
      <c r="J645" s="14">
        <v>465000</v>
      </c>
      <c r="K6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6" spans="1:11" hidden="1" x14ac:dyDescent="0.25">
      <c r="A646" s="5"/>
      <c r="B646" s="5"/>
      <c r="C646" s="5"/>
      <c r="G646" s="5"/>
      <c r="H646" s="5"/>
      <c r="I646" s="5"/>
      <c r="J646" s="14"/>
      <c r="K6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7" spans="1:11" hidden="1" x14ac:dyDescent="0.25">
      <c r="A647" s="5"/>
      <c r="B647" s="5"/>
      <c r="C647" s="5"/>
      <c r="G647" s="5"/>
      <c r="H647" s="5"/>
      <c r="I647" s="5"/>
      <c r="J647" s="14"/>
      <c r="K6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8" spans="1:11" x14ac:dyDescent="0.25">
      <c r="A648" s="5" t="s">
        <v>142</v>
      </c>
      <c r="B648" s="5" t="s">
        <v>439</v>
      </c>
      <c r="C648" s="5" t="s">
        <v>16</v>
      </c>
      <c r="D648">
        <v>400</v>
      </c>
      <c r="E648">
        <v>3</v>
      </c>
      <c r="F648">
        <v>30</v>
      </c>
      <c r="G648" s="5">
        <v>3</v>
      </c>
      <c r="H648" s="5">
        <v>0.108</v>
      </c>
      <c r="I648" s="5">
        <v>342000</v>
      </c>
      <c r="J648" s="14">
        <v>1026000</v>
      </c>
      <c r="K6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49" spans="1:11" hidden="1" x14ac:dyDescent="0.25">
      <c r="A649" s="5"/>
      <c r="B649" s="5"/>
      <c r="C649" s="5"/>
      <c r="G649" s="5"/>
      <c r="H649" s="5"/>
      <c r="I649" s="5"/>
      <c r="J649" s="14"/>
      <c r="K6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0" spans="1:11" x14ac:dyDescent="0.25">
      <c r="A650" s="5"/>
      <c r="B650" s="5" t="s">
        <v>433</v>
      </c>
      <c r="C650" s="5" t="s">
        <v>9</v>
      </c>
      <c r="D650">
        <v>400</v>
      </c>
      <c r="E650">
        <v>4</v>
      </c>
      <c r="F650">
        <v>20</v>
      </c>
      <c r="G650" s="5">
        <v>1</v>
      </c>
      <c r="H650" s="5">
        <v>3.2000000000000001E-2</v>
      </c>
      <c r="I650" s="5">
        <v>294400</v>
      </c>
      <c r="J650" s="14">
        <v>294400</v>
      </c>
      <c r="K6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1" spans="1:11" hidden="1" x14ac:dyDescent="0.25">
      <c r="A651" s="5"/>
      <c r="B651" s="5"/>
      <c r="C651" s="5"/>
      <c r="G651" s="5"/>
      <c r="H651" s="5"/>
      <c r="I651" s="5"/>
      <c r="J651" s="14"/>
      <c r="K6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2" spans="1:11" x14ac:dyDescent="0.25">
      <c r="A652" s="5"/>
      <c r="B652" s="5" t="s">
        <v>443</v>
      </c>
      <c r="C652" s="5" t="s">
        <v>21</v>
      </c>
      <c r="D652">
        <v>400</v>
      </c>
      <c r="E652">
        <v>4</v>
      </c>
      <c r="F652">
        <v>25</v>
      </c>
      <c r="G652" s="5">
        <v>2</v>
      </c>
      <c r="H652" s="5">
        <v>0.08</v>
      </c>
      <c r="I652" s="5">
        <v>372000</v>
      </c>
      <c r="J652" s="14">
        <v>744000</v>
      </c>
      <c r="K6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3" spans="1:11" hidden="1" x14ac:dyDescent="0.25">
      <c r="A653" s="5"/>
      <c r="B653" s="5"/>
      <c r="C653" s="5"/>
      <c r="G653" s="5"/>
      <c r="H653" s="5"/>
      <c r="I653" s="5"/>
      <c r="J653" s="14"/>
      <c r="K6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4" spans="1:11" hidden="1" x14ac:dyDescent="0.25">
      <c r="A654" s="5"/>
      <c r="B654" s="5"/>
      <c r="C654" s="5"/>
      <c r="G654" s="5"/>
      <c r="H654" s="5"/>
      <c r="I654" s="5"/>
      <c r="J654" s="14"/>
      <c r="K6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5" spans="1:11" x14ac:dyDescent="0.25">
      <c r="A655" s="5" t="s">
        <v>142</v>
      </c>
      <c r="B655" s="5" t="s">
        <v>435</v>
      </c>
      <c r="C655" s="5" t="s">
        <v>11</v>
      </c>
      <c r="D655">
        <v>400</v>
      </c>
      <c r="E655">
        <v>6</v>
      </c>
      <c r="F655">
        <v>12</v>
      </c>
      <c r="G655" s="5">
        <v>5</v>
      </c>
      <c r="H655" s="5">
        <v>0.14399999999999999</v>
      </c>
      <c r="I655" s="5">
        <v>250560</v>
      </c>
      <c r="J655" s="14">
        <v>1252800</v>
      </c>
      <c r="K6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56" spans="1:11" hidden="1" x14ac:dyDescent="0.25">
      <c r="A656" s="5"/>
      <c r="B656" s="5"/>
      <c r="C656" s="5"/>
      <c r="G656" s="5"/>
      <c r="H656" s="5"/>
      <c r="I656" s="5"/>
      <c r="J656" s="14"/>
      <c r="K6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7" spans="1:11" hidden="1" x14ac:dyDescent="0.25">
      <c r="A657" s="5"/>
      <c r="B657" s="5"/>
      <c r="C657" s="5"/>
      <c r="G657" s="5"/>
      <c r="H657" s="5"/>
      <c r="I657" s="5"/>
      <c r="J657" s="14"/>
      <c r="K6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8" spans="1:11" x14ac:dyDescent="0.25">
      <c r="A658" s="5" t="s">
        <v>142</v>
      </c>
      <c r="B658" s="5" t="s">
        <v>484</v>
      </c>
      <c r="C658" s="5" t="s">
        <v>72</v>
      </c>
      <c r="D658">
        <v>500</v>
      </c>
      <c r="E658">
        <v>3</v>
      </c>
      <c r="F658">
        <v>30</v>
      </c>
      <c r="G658" s="5">
        <v>2</v>
      </c>
      <c r="H658" s="5">
        <v>0.09</v>
      </c>
      <c r="I658" s="5">
        <v>1120500</v>
      </c>
      <c r="J658" s="14">
        <v>2241000</v>
      </c>
      <c r="K6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59" spans="1:11" hidden="1" x14ac:dyDescent="0.25">
      <c r="A659" s="5"/>
      <c r="B659" s="5"/>
      <c r="C659" s="5"/>
      <c r="G659" s="5"/>
      <c r="H659" s="5"/>
      <c r="I659" s="5"/>
      <c r="J659" s="14"/>
      <c r="K6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0" spans="1:11" x14ac:dyDescent="0.25">
      <c r="A660" s="5"/>
      <c r="B660" s="5" t="s">
        <v>481</v>
      </c>
      <c r="C660" s="5" t="s">
        <v>68</v>
      </c>
      <c r="D660">
        <v>400</v>
      </c>
      <c r="E660">
        <v>6</v>
      </c>
      <c r="F660">
        <v>15</v>
      </c>
      <c r="G660" s="5">
        <v>1</v>
      </c>
      <c r="H660" s="5">
        <v>3.5999999999999997E-2</v>
      </c>
      <c r="I660" s="5">
        <v>313200</v>
      </c>
      <c r="J660" s="14">
        <v>313200</v>
      </c>
      <c r="K6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61" spans="1:11" hidden="1" x14ac:dyDescent="0.25">
      <c r="A661" s="5"/>
      <c r="B661" s="5"/>
      <c r="C661" s="5"/>
      <c r="G661" s="5"/>
      <c r="H661" s="5"/>
      <c r="I661" s="5"/>
      <c r="J661" s="14"/>
      <c r="K6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2" spans="1:11" hidden="1" x14ac:dyDescent="0.25">
      <c r="A662" s="5"/>
      <c r="B662" s="5"/>
      <c r="C662" s="5"/>
      <c r="G662" s="5"/>
      <c r="H662" s="5"/>
      <c r="I662" s="5"/>
      <c r="J662" s="14"/>
      <c r="K6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3" spans="1:11" x14ac:dyDescent="0.25">
      <c r="A663" s="5" t="s">
        <v>142</v>
      </c>
      <c r="B663" s="5" t="s">
        <v>443</v>
      </c>
      <c r="C663" s="5" t="s">
        <v>21</v>
      </c>
      <c r="D663">
        <v>400</v>
      </c>
      <c r="E663">
        <v>4</v>
      </c>
      <c r="F663">
        <v>25</v>
      </c>
      <c r="G663" s="5">
        <v>15</v>
      </c>
      <c r="H663" s="5">
        <v>0.6</v>
      </c>
      <c r="I663" s="5">
        <v>372000</v>
      </c>
      <c r="J663" s="14">
        <v>5580000</v>
      </c>
      <c r="K6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4" spans="1:11" hidden="1" x14ac:dyDescent="0.25">
      <c r="A664" s="5"/>
      <c r="B664" s="5"/>
      <c r="C664" s="5"/>
      <c r="G664" s="5"/>
      <c r="H664" s="5"/>
      <c r="I664" s="5"/>
      <c r="J664" s="14"/>
      <c r="K6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5" spans="1:11" x14ac:dyDescent="0.25">
      <c r="A665" s="5"/>
      <c r="B665" s="5" t="s">
        <v>434</v>
      </c>
      <c r="C665" s="5" t="s">
        <v>10</v>
      </c>
      <c r="D665">
        <v>400</v>
      </c>
      <c r="E665">
        <v>4</v>
      </c>
      <c r="F665">
        <v>30</v>
      </c>
      <c r="G665" s="5">
        <v>2</v>
      </c>
      <c r="H665" s="5">
        <v>9.6000000000000002E-2</v>
      </c>
      <c r="I665" s="5">
        <v>456000</v>
      </c>
      <c r="J665" s="14">
        <v>912000</v>
      </c>
      <c r="K6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6" spans="1:11" hidden="1" x14ac:dyDescent="0.25">
      <c r="A666" s="5"/>
      <c r="B666" s="5"/>
      <c r="C666" s="5"/>
      <c r="G666" s="5"/>
      <c r="H666" s="5"/>
      <c r="I666" s="5"/>
      <c r="J666" s="14"/>
      <c r="K6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7" spans="1:11" hidden="1" x14ac:dyDescent="0.25">
      <c r="A667" s="5"/>
      <c r="B667" s="5"/>
      <c r="C667" s="5"/>
      <c r="G667" s="5"/>
      <c r="H667" s="5"/>
      <c r="I667" s="5"/>
      <c r="J667" s="14"/>
      <c r="K6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8" spans="1:11" x14ac:dyDescent="0.25">
      <c r="A668" s="5" t="s">
        <v>142</v>
      </c>
      <c r="B668" s="5" t="s">
        <v>527</v>
      </c>
      <c r="C668" s="5" t="s">
        <v>143</v>
      </c>
      <c r="D668">
        <v>400</v>
      </c>
      <c r="E668">
        <v>4</v>
      </c>
      <c r="F668">
        <v>20</v>
      </c>
      <c r="G668" s="5">
        <v>3</v>
      </c>
      <c r="H668" s="5">
        <v>9.6000000000000002E-2</v>
      </c>
      <c r="I668" s="5">
        <v>769600</v>
      </c>
      <c r="J668" s="14">
        <v>2308800</v>
      </c>
      <c r="K6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69" spans="1:11" hidden="1" x14ac:dyDescent="0.25">
      <c r="A669" s="5"/>
      <c r="B669" s="5"/>
      <c r="C669" s="5"/>
      <c r="G669" s="5"/>
      <c r="H669" s="5"/>
      <c r="I669" s="5"/>
      <c r="J669" s="14"/>
      <c r="K6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0" spans="1:11" x14ac:dyDescent="0.25">
      <c r="A670" s="5"/>
      <c r="B670" s="5" t="s">
        <v>507</v>
      </c>
      <c r="C670" s="5" t="s">
        <v>104</v>
      </c>
      <c r="D670">
        <v>400</v>
      </c>
      <c r="E670">
        <v>4</v>
      </c>
      <c r="F670">
        <v>25</v>
      </c>
      <c r="G670" s="5">
        <v>1</v>
      </c>
      <c r="H670" s="5">
        <v>0.04</v>
      </c>
      <c r="I670" s="5">
        <v>966000</v>
      </c>
      <c r="J670" s="14">
        <v>966000</v>
      </c>
      <c r="K6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1" spans="1:11" hidden="1" x14ac:dyDescent="0.25">
      <c r="A671" s="5"/>
      <c r="B671" s="5"/>
      <c r="C671" s="5"/>
      <c r="G671" s="5"/>
      <c r="H671" s="5"/>
      <c r="I671" s="5"/>
      <c r="J671" s="14"/>
      <c r="K6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2" spans="1:11" x14ac:dyDescent="0.25">
      <c r="A672" s="5"/>
      <c r="B672" s="5" t="s">
        <v>517</v>
      </c>
      <c r="C672" s="5" t="s">
        <v>122</v>
      </c>
      <c r="D672">
        <v>400</v>
      </c>
      <c r="E672">
        <v>6</v>
      </c>
      <c r="F672">
        <v>15</v>
      </c>
      <c r="G672" s="5">
        <v>4</v>
      </c>
      <c r="H672" s="5">
        <v>0.14399999999999999</v>
      </c>
      <c r="I672" s="5">
        <v>804600</v>
      </c>
      <c r="J672" s="14">
        <v>3218400</v>
      </c>
      <c r="K6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73" spans="1:11" hidden="1" x14ac:dyDescent="0.25">
      <c r="A673" s="5"/>
      <c r="B673" s="5"/>
      <c r="C673" s="5"/>
      <c r="G673" s="5"/>
      <c r="H673" s="5"/>
      <c r="I673" s="5"/>
      <c r="J673" s="14"/>
      <c r="K6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4" spans="1:11" hidden="1" x14ac:dyDescent="0.25">
      <c r="A674" s="5"/>
      <c r="B674" s="5"/>
      <c r="C674" s="5"/>
      <c r="G674" s="5"/>
      <c r="H674" s="5"/>
      <c r="I674" s="5"/>
      <c r="J674" s="14"/>
      <c r="K6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5" spans="1:11" x14ac:dyDescent="0.25">
      <c r="A675" s="5" t="s">
        <v>144</v>
      </c>
      <c r="B675" s="5" t="s">
        <v>503</v>
      </c>
      <c r="C675" s="5" t="s">
        <v>99</v>
      </c>
      <c r="D675">
        <v>300</v>
      </c>
      <c r="E675">
        <v>6</v>
      </c>
      <c r="F675">
        <v>15</v>
      </c>
      <c r="G675" s="5">
        <v>3</v>
      </c>
      <c r="H675" s="5">
        <v>8.1000000000000003E-2</v>
      </c>
      <c r="I675" s="5">
        <v>234900</v>
      </c>
      <c r="J675" s="14">
        <v>704700</v>
      </c>
      <c r="K6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76" spans="1:11" hidden="1" x14ac:dyDescent="0.25">
      <c r="A676" s="5"/>
      <c r="B676" s="5"/>
      <c r="C676" s="5"/>
      <c r="G676" s="5"/>
      <c r="H676" s="5"/>
      <c r="I676" s="5"/>
      <c r="J676" s="14"/>
      <c r="K6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7" spans="1:11" x14ac:dyDescent="0.25">
      <c r="A677" s="5"/>
      <c r="B677" s="5" t="s">
        <v>443</v>
      </c>
      <c r="C677" s="5" t="s">
        <v>21</v>
      </c>
      <c r="D677">
        <v>400</v>
      </c>
      <c r="E677">
        <v>4</v>
      </c>
      <c r="F677">
        <v>25</v>
      </c>
      <c r="G677" s="5">
        <v>1</v>
      </c>
      <c r="H677" s="5">
        <v>0.04</v>
      </c>
      <c r="I677" s="5">
        <v>372000</v>
      </c>
      <c r="J677" s="14">
        <v>372000</v>
      </c>
      <c r="K6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8" spans="1:11" hidden="1" x14ac:dyDescent="0.25">
      <c r="A678" s="5"/>
      <c r="B678" s="5"/>
      <c r="C678" s="5"/>
      <c r="G678" s="5"/>
      <c r="H678" s="5"/>
      <c r="I678" s="5"/>
      <c r="J678" s="14"/>
      <c r="K6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79" spans="1:11" x14ac:dyDescent="0.25">
      <c r="A679" s="5"/>
      <c r="B679" s="5" t="s">
        <v>440</v>
      </c>
      <c r="C679" s="5" t="s">
        <v>17</v>
      </c>
      <c r="D679">
        <v>500</v>
      </c>
      <c r="E679">
        <v>4</v>
      </c>
      <c r="F679">
        <v>25</v>
      </c>
      <c r="G679" s="5">
        <v>3</v>
      </c>
      <c r="H679" s="5">
        <v>0.15</v>
      </c>
      <c r="I679" s="5">
        <v>465000</v>
      </c>
      <c r="J679" s="14">
        <v>1395000</v>
      </c>
      <c r="K6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0" spans="1:11" hidden="1" x14ac:dyDescent="0.25">
      <c r="A680" s="5"/>
      <c r="B680" s="5"/>
      <c r="C680" s="5"/>
      <c r="G680" s="5"/>
      <c r="H680" s="5"/>
      <c r="I680" s="5"/>
      <c r="J680" s="14"/>
      <c r="K6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1" spans="1:11" hidden="1" x14ac:dyDescent="0.25">
      <c r="A681" s="5"/>
      <c r="B681" s="5"/>
      <c r="C681" s="5"/>
      <c r="G681" s="5"/>
      <c r="H681" s="5"/>
      <c r="I681" s="5"/>
      <c r="J681" s="14"/>
      <c r="K6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2" spans="1:11" x14ac:dyDescent="0.25">
      <c r="A682" s="5" t="s">
        <v>144</v>
      </c>
      <c r="B682" s="5" t="s">
        <v>528</v>
      </c>
      <c r="C682" s="5" t="s">
        <v>145</v>
      </c>
      <c r="D682">
        <v>500</v>
      </c>
      <c r="E682">
        <v>8</v>
      </c>
      <c r="F682">
        <v>15</v>
      </c>
      <c r="G682" s="5">
        <v>4</v>
      </c>
      <c r="H682" s="5">
        <v>0.24</v>
      </c>
      <c r="I682" s="5">
        <v>576000</v>
      </c>
      <c r="J682" s="14">
        <v>2304000</v>
      </c>
      <c r="K6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683" spans="1:11" hidden="1" x14ac:dyDescent="0.25">
      <c r="A683" s="5"/>
      <c r="B683" s="5"/>
      <c r="C683" s="5"/>
      <c r="G683" s="5"/>
      <c r="H683" s="5"/>
      <c r="I683" s="5"/>
      <c r="J683" s="14"/>
      <c r="K6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4" spans="1:11" hidden="1" x14ac:dyDescent="0.25">
      <c r="A684" s="5"/>
      <c r="B684" s="5"/>
      <c r="C684" s="5"/>
      <c r="G684" s="5"/>
      <c r="H684" s="5"/>
      <c r="I684" s="5"/>
      <c r="J684" s="14"/>
      <c r="K6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5" spans="1:11" x14ac:dyDescent="0.25">
      <c r="A685" s="5" t="s">
        <v>144</v>
      </c>
      <c r="B685" s="5" t="s">
        <v>503</v>
      </c>
      <c r="C685" s="5" t="s">
        <v>99</v>
      </c>
      <c r="D685">
        <v>300</v>
      </c>
      <c r="E685">
        <v>6</v>
      </c>
      <c r="F685">
        <v>15</v>
      </c>
      <c r="G685" s="5">
        <v>2</v>
      </c>
      <c r="H685" s="5">
        <v>5.3999999999999999E-2</v>
      </c>
      <c r="I685" s="5">
        <v>234900</v>
      </c>
      <c r="J685" s="14">
        <v>469800</v>
      </c>
      <c r="K6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86" spans="1:11" hidden="1" x14ac:dyDescent="0.25">
      <c r="A686" s="5"/>
      <c r="B686" s="5"/>
      <c r="C686" s="5"/>
      <c r="G686" s="5"/>
      <c r="H686" s="5"/>
      <c r="I686" s="5"/>
      <c r="J686" s="14"/>
      <c r="K6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7" spans="1:11" hidden="1" x14ac:dyDescent="0.25">
      <c r="A687" s="5"/>
      <c r="B687" s="5"/>
      <c r="C687" s="5"/>
      <c r="G687" s="5"/>
      <c r="H687" s="5"/>
      <c r="I687" s="5"/>
      <c r="J687" s="14"/>
      <c r="K6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88" spans="1:11" x14ac:dyDescent="0.25">
      <c r="A688" s="5" t="s">
        <v>146</v>
      </c>
      <c r="B688" s="5" t="s">
        <v>529</v>
      </c>
      <c r="C688" s="5" t="s">
        <v>147</v>
      </c>
      <c r="D688">
        <v>160</v>
      </c>
      <c r="E688">
        <v>6</v>
      </c>
      <c r="F688">
        <v>15</v>
      </c>
      <c r="G688" s="5">
        <v>2</v>
      </c>
      <c r="H688" s="5">
        <v>2.8799999999999999E-2</v>
      </c>
      <c r="I688" s="5">
        <v>290880</v>
      </c>
      <c r="J688" s="14">
        <v>581760</v>
      </c>
      <c r="K6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89" spans="1:11" hidden="1" x14ac:dyDescent="0.25">
      <c r="A689" s="5"/>
      <c r="B689" s="5"/>
      <c r="C689" s="5"/>
      <c r="G689" s="5"/>
      <c r="H689" s="5"/>
      <c r="I689" s="5"/>
      <c r="J689" s="14"/>
      <c r="K6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90" spans="1:11" x14ac:dyDescent="0.25">
      <c r="A690" s="5"/>
      <c r="B690" s="5" t="s">
        <v>478</v>
      </c>
      <c r="C690" s="5" t="s">
        <v>64</v>
      </c>
      <c r="D690">
        <v>180</v>
      </c>
      <c r="E690">
        <v>6</v>
      </c>
      <c r="F690">
        <v>15</v>
      </c>
      <c r="G690" s="5">
        <v>1</v>
      </c>
      <c r="H690" s="5">
        <v>1.6199999999999999E-2</v>
      </c>
      <c r="I690" s="5">
        <v>327240</v>
      </c>
      <c r="J690" s="14">
        <v>327240</v>
      </c>
      <c r="K6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91" spans="1:11" hidden="1" x14ac:dyDescent="0.25">
      <c r="A691" s="5"/>
      <c r="B691" s="5"/>
      <c r="C691" s="5"/>
      <c r="G691" s="5"/>
      <c r="H691" s="5"/>
      <c r="I691" s="5"/>
      <c r="J691" s="14"/>
      <c r="K6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92" spans="1:11" x14ac:dyDescent="0.25">
      <c r="A692" s="5"/>
      <c r="B692" s="5" t="s">
        <v>522</v>
      </c>
      <c r="C692" s="5" t="s">
        <v>131</v>
      </c>
      <c r="D692">
        <v>200</v>
      </c>
      <c r="E692">
        <v>6</v>
      </c>
      <c r="F692">
        <v>15</v>
      </c>
      <c r="G692" s="5">
        <v>4</v>
      </c>
      <c r="H692" s="5">
        <v>7.1999999999999995E-2</v>
      </c>
      <c r="I692" s="5">
        <v>388800</v>
      </c>
      <c r="J692" s="14">
        <v>1555200</v>
      </c>
      <c r="K6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93" spans="1:11" hidden="1" x14ac:dyDescent="0.25">
      <c r="A693" s="5"/>
      <c r="B693" s="5"/>
      <c r="C693" s="5"/>
      <c r="G693" s="5"/>
      <c r="H693" s="5"/>
      <c r="I693" s="5"/>
      <c r="J693" s="14"/>
      <c r="K6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94" spans="1:11" x14ac:dyDescent="0.25">
      <c r="A694" s="5"/>
      <c r="B694" s="5" t="s">
        <v>501</v>
      </c>
      <c r="C694" s="5" t="s">
        <v>96</v>
      </c>
      <c r="D694">
        <v>250</v>
      </c>
      <c r="E694">
        <v>6</v>
      </c>
      <c r="F694">
        <v>15</v>
      </c>
      <c r="G694" s="5">
        <v>2</v>
      </c>
      <c r="H694" s="5">
        <v>4.4999999999999998E-2</v>
      </c>
      <c r="I694" s="5">
        <v>499500</v>
      </c>
      <c r="J694" s="14">
        <v>999000</v>
      </c>
      <c r="K6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95" spans="1:11" hidden="1" x14ac:dyDescent="0.25">
      <c r="A695" s="5"/>
      <c r="B695" s="5"/>
      <c r="C695" s="5"/>
      <c r="G695" s="5"/>
      <c r="H695" s="5"/>
      <c r="I695" s="5"/>
      <c r="J695" s="14"/>
      <c r="K6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96" spans="1:11" hidden="1" x14ac:dyDescent="0.25">
      <c r="A696" s="5"/>
      <c r="B696" s="5"/>
      <c r="C696" s="5"/>
      <c r="G696" s="5"/>
      <c r="H696" s="5"/>
      <c r="I696" s="5"/>
      <c r="J696" s="14"/>
      <c r="K6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97" spans="1:11" x14ac:dyDescent="0.25">
      <c r="A697" s="5" t="s">
        <v>146</v>
      </c>
      <c r="B697" s="5" t="s">
        <v>526</v>
      </c>
      <c r="C697" s="5" t="s">
        <v>139</v>
      </c>
      <c r="D697">
        <v>300</v>
      </c>
      <c r="E697">
        <v>6</v>
      </c>
      <c r="F697">
        <v>15</v>
      </c>
      <c r="G697" s="5">
        <v>10</v>
      </c>
      <c r="H697" s="5">
        <v>0.27</v>
      </c>
      <c r="I697" s="5">
        <v>594000</v>
      </c>
      <c r="J697" s="14">
        <v>5940000</v>
      </c>
      <c r="K6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698" spans="1:11" hidden="1" x14ac:dyDescent="0.25">
      <c r="A698" s="5"/>
      <c r="B698" s="5"/>
      <c r="C698" s="5"/>
      <c r="G698" s="5"/>
      <c r="H698" s="5"/>
      <c r="I698" s="5"/>
      <c r="J698" s="14"/>
      <c r="K6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699" spans="1:11" x14ac:dyDescent="0.25">
      <c r="A699" s="5"/>
      <c r="B699" s="5" t="s">
        <v>497</v>
      </c>
      <c r="C699" s="5" t="s">
        <v>90</v>
      </c>
      <c r="D699">
        <v>400</v>
      </c>
      <c r="E699">
        <v>6</v>
      </c>
      <c r="F699">
        <v>35</v>
      </c>
      <c r="G699" s="5">
        <v>1</v>
      </c>
      <c r="H699" s="5">
        <v>8.4000000000000005E-2</v>
      </c>
      <c r="I699" s="5">
        <v>2167200</v>
      </c>
      <c r="J699" s="14">
        <v>2167200</v>
      </c>
      <c r="K6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700" spans="1:11" hidden="1" x14ac:dyDescent="0.25">
      <c r="A700" s="5"/>
      <c r="B700" s="5"/>
      <c r="C700" s="5"/>
      <c r="G700" s="5"/>
      <c r="H700" s="5"/>
      <c r="I700" s="5"/>
      <c r="J700" s="14"/>
      <c r="K7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1" spans="1:11" x14ac:dyDescent="0.25">
      <c r="A701" s="5"/>
      <c r="B701" s="5" t="s">
        <v>530</v>
      </c>
      <c r="C701" s="5" t="s">
        <v>148</v>
      </c>
      <c r="D701">
        <v>500</v>
      </c>
      <c r="E701">
        <v>6</v>
      </c>
      <c r="F701">
        <v>17</v>
      </c>
      <c r="G701" s="5">
        <v>12</v>
      </c>
      <c r="H701" s="5">
        <v>0.61199999999999999</v>
      </c>
      <c r="I701" s="5">
        <v>1178100</v>
      </c>
      <c r="J701" s="14">
        <v>14137200</v>
      </c>
      <c r="K7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02" spans="1:11" hidden="1" x14ac:dyDescent="0.25">
      <c r="A702" s="5"/>
      <c r="B702" s="5"/>
      <c r="C702" s="5"/>
      <c r="G702" s="5"/>
      <c r="H702" s="5"/>
      <c r="I702" s="5"/>
      <c r="J702" s="14"/>
      <c r="K7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3" spans="1:11" hidden="1" x14ac:dyDescent="0.25">
      <c r="A703" s="5"/>
      <c r="B703" s="5"/>
      <c r="C703" s="5"/>
      <c r="G703" s="5"/>
      <c r="H703" s="5"/>
      <c r="I703" s="5"/>
      <c r="J703" s="14"/>
      <c r="K7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4" spans="1:11" x14ac:dyDescent="0.25">
      <c r="A704" s="5" t="s">
        <v>146</v>
      </c>
      <c r="B704" s="5" t="s">
        <v>439</v>
      </c>
      <c r="C704" s="5" t="s">
        <v>16</v>
      </c>
      <c r="D704">
        <v>400</v>
      </c>
      <c r="E704">
        <v>3</v>
      </c>
      <c r="F704">
        <v>30</v>
      </c>
      <c r="G704" s="5">
        <v>28</v>
      </c>
      <c r="H704" s="5">
        <v>1.008</v>
      </c>
      <c r="I704" s="5">
        <v>342000</v>
      </c>
      <c r="J704" s="14">
        <v>9576000</v>
      </c>
      <c r="K7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5" spans="1:11" hidden="1" x14ac:dyDescent="0.25">
      <c r="A705" s="5"/>
      <c r="B705" s="5"/>
      <c r="C705" s="5"/>
      <c r="G705" s="5"/>
      <c r="H705" s="5"/>
      <c r="I705" s="5"/>
      <c r="J705" s="14"/>
      <c r="K7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6" spans="1:11" hidden="1" x14ac:dyDescent="0.25">
      <c r="A706" s="5"/>
      <c r="B706" s="5"/>
      <c r="C706" s="5"/>
      <c r="G706" s="5"/>
      <c r="H706" s="5"/>
      <c r="I706" s="5"/>
      <c r="J706" s="14"/>
      <c r="K7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7" spans="1:11" x14ac:dyDescent="0.25">
      <c r="A707" s="5" t="s">
        <v>146</v>
      </c>
      <c r="B707" s="5" t="s">
        <v>456</v>
      </c>
      <c r="C707" s="5" t="s">
        <v>37</v>
      </c>
      <c r="D707">
        <v>250</v>
      </c>
      <c r="E707">
        <v>4</v>
      </c>
      <c r="F707">
        <v>25</v>
      </c>
      <c r="G707" s="5">
        <v>2</v>
      </c>
      <c r="H707" s="5">
        <v>0.05</v>
      </c>
      <c r="I707" s="5">
        <v>597500</v>
      </c>
      <c r="J707" s="14">
        <v>1195000</v>
      </c>
      <c r="K7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8" spans="1:11" hidden="1" x14ac:dyDescent="0.25">
      <c r="A708" s="5"/>
      <c r="B708" s="5"/>
      <c r="C708" s="5"/>
      <c r="G708" s="5"/>
      <c r="H708" s="5"/>
      <c r="I708" s="5"/>
      <c r="J708" s="14"/>
      <c r="K7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09" spans="1:11" hidden="1" x14ac:dyDescent="0.25">
      <c r="A709" s="5"/>
      <c r="B709" s="5"/>
      <c r="C709" s="5"/>
      <c r="G709" s="5"/>
      <c r="H709" s="5"/>
      <c r="I709" s="5"/>
      <c r="J709" s="14"/>
      <c r="K7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0" spans="1:11" x14ac:dyDescent="0.25">
      <c r="A710" s="5" t="s">
        <v>146</v>
      </c>
      <c r="B710" s="5" t="s">
        <v>457</v>
      </c>
      <c r="C710" s="5" t="s">
        <v>38</v>
      </c>
      <c r="D710">
        <v>300</v>
      </c>
      <c r="E710">
        <v>4</v>
      </c>
      <c r="F710">
        <v>25</v>
      </c>
      <c r="G710" s="5">
        <v>1</v>
      </c>
      <c r="H710" s="5">
        <v>0.03</v>
      </c>
      <c r="I710" s="5">
        <v>717000</v>
      </c>
      <c r="J710" s="14">
        <v>717000</v>
      </c>
      <c r="K7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1" spans="1:11" hidden="1" x14ac:dyDescent="0.25">
      <c r="A711" s="5"/>
      <c r="B711" s="5"/>
      <c r="C711" s="5"/>
      <c r="G711" s="5"/>
      <c r="H711" s="5"/>
      <c r="I711" s="5"/>
      <c r="J711" s="14"/>
      <c r="K7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2" spans="1:11" x14ac:dyDescent="0.25">
      <c r="A712" s="5"/>
      <c r="B712" s="5" t="s">
        <v>531</v>
      </c>
      <c r="C712" s="5" t="s">
        <v>149</v>
      </c>
      <c r="D712">
        <v>500</v>
      </c>
      <c r="E712">
        <v>4</v>
      </c>
      <c r="F712">
        <v>20</v>
      </c>
      <c r="G712" s="5">
        <v>12</v>
      </c>
      <c r="H712" s="5">
        <v>0.48</v>
      </c>
      <c r="I712" s="5">
        <v>972000</v>
      </c>
      <c r="J712" s="14">
        <v>11664000</v>
      </c>
      <c r="K7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3" spans="1:11" hidden="1" x14ac:dyDescent="0.25">
      <c r="A713" s="5"/>
      <c r="B713" s="5"/>
      <c r="C713" s="5"/>
      <c r="G713" s="5"/>
      <c r="H713" s="5"/>
      <c r="I713" s="5"/>
      <c r="J713" s="14"/>
      <c r="K7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4" spans="1:11" x14ac:dyDescent="0.25">
      <c r="A714" s="5"/>
      <c r="B714" s="5" t="s">
        <v>445</v>
      </c>
      <c r="C714" s="5" t="s">
        <v>24</v>
      </c>
      <c r="D714">
        <v>500</v>
      </c>
      <c r="E714">
        <v>5</v>
      </c>
      <c r="F714">
        <v>15</v>
      </c>
      <c r="G714" s="5">
        <v>3</v>
      </c>
      <c r="H714" s="5">
        <v>0.1125</v>
      </c>
      <c r="I714" s="5">
        <v>866250</v>
      </c>
      <c r="J714" s="14">
        <v>2598750</v>
      </c>
      <c r="K7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15" spans="1:11" hidden="1" x14ac:dyDescent="0.25">
      <c r="A715" s="5"/>
      <c r="B715" s="5"/>
      <c r="C715" s="5"/>
      <c r="G715" s="5"/>
      <c r="H715" s="5"/>
      <c r="I715" s="5"/>
      <c r="J715" s="14"/>
      <c r="K7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6" spans="1:11" x14ac:dyDescent="0.25">
      <c r="A716" s="5"/>
      <c r="B716" s="5" t="s">
        <v>460</v>
      </c>
      <c r="C716" s="5" t="s">
        <v>41</v>
      </c>
      <c r="D716">
        <v>500</v>
      </c>
      <c r="E716">
        <v>5</v>
      </c>
      <c r="F716">
        <v>20</v>
      </c>
      <c r="G716" s="5">
        <v>3</v>
      </c>
      <c r="H716" s="5">
        <v>0.15</v>
      </c>
      <c r="I716" s="5">
        <v>1225000</v>
      </c>
      <c r="J716" s="14">
        <v>3675000</v>
      </c>
      <c r="K7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717" spans="1:11" hidden="1" x14ac:dyDescent="0.25">
      <c r="A717" s="5"/>
      <c r="B717" s="5"/>
      <c r="C717" s="5"/>
      <c r="G717" s="5"/>
      <c r="H717" s="5"/>
      <c r="I717" s="5"/>
      <c r="J717" s="14"/>
      <c r="K7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8" spans="1:11" hidden="1" x14ac:dyDescent="0.25">
      <c r="A718" s="5"/>
      <c r="B718" s="5"/>
      <c r="C718" s="5"/>
      <c r="G718" s="5"/>
      <c r="H718" s="5"/>
      <c r="I718" s="5"/>
      <c r="J718" s="14"/>
      <c r="K7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19" spans="1:11" x14ac:dyDescent="0.25">
      <c r="A719" s="5" t="s">
        <v>146</v>
      </c>
      <c r="B719" s="5" t="s">
        <v>477</v>
      </c>
      <c r="C719" s="5" t="s">
        <v>63</v>
      </c>
      <c r="D719">
        <v>100</v>
      </c>
      <c r="E719">
        <v>6</v>
      </c>
      <c r="F719">
        <v>15</v>
      </c>
      <c r="G719" s="5">
        <v>3</v>
      </c>
      <c r="H719" s="5">
        <v>2.7E-2</v>
      </c>
      <c r="I719" s="5">
        <v>181800</v>
      </c>
      <c r="J719" s="14">
        <v>545400</v>
      </c>
      <c r="K7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20" spans="1:11" hidden="1" x14ac:dyDescent="0.25">
      <c r="A720" s="5"/>
      <c r="B720" s="5"/>
      <c r="C720" s="5"/>
      <c r="G720" s="5"/>
      <c r="H720" s="5"/>
      <c r="I720" s="5"/>
      <c r="J720" s="14"/>
      <c r="K7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21" spans="1:11" x14ac:dyDescent="0.25">
      <c r="A721" s="5"/>
      <c r="B721" s="5" t="s">
        <v>485</v>
      </c>
      <c r="C721" s="5" t="s">
        <v>74</v>
      </c>
      <c r="D721">
        <v>150</v>
      </c>
      <c r="E721">
        <v>6</v>
      </c>
      <c r="F721">
        <v>15</v>
      </c>
      <c r="G721" s="5">
        <v>1</v>
      </c>
      <c r="H721" s="5">
        <v>1.35E-2</v>
      </c>
      <c r="I721" s="5">
        <v>272700</v>
      </c>
      <c r="J721" s="14">
        <v>272700</v>
      </c>
      <c r="K7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22" spans="1:11" hidden="1" x14ac:dyDescent="0.25">
      <c r="A722" s="5"/>
      <c r="B722" s="5"/>
      <c r="C722" s="5"/>
      <c r="G722" s="5"/>
      <c r="H722" s="5"/>
      <c r="I722" s="5"/>
      <c r="J722" s="14"/>
      <c r="K7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23" spans="1:11" x14ac:dyDescent="0.25">
      <c r="A723" s="5"/>
      <c r="B723" s="5" t="s">
        <v>532</v>
      </c>
      <c r="C723" s="5" t="s">
        <v>150</v>
      </c>
      <c r="D723">
        <v>280</v>
      </c>
      <c r="E723">
        <v>6</v>
      </c>
      <c r="F723">
        <v>15</v>
      </c>
      <c r="G723" s="5">
        <v>9</v>
      </c>
      <c r="H723" s="5">
        <v>0.2268</v>
      </c>
      <c r="I723" s="5">
        <v>544320</v>
      </c>
      <c r="J723" s="14">
        <v>4898880</v>
      </c>
      <c r="K7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24" spans="1:11" hidden="1" x14ac:dyDescent="0.25">
      <c r="A724" s="5"/>
      <c r="B724" s="5"/>
      <c r="C724" s="5"/>
      <c r="G724" s="5"/>
      <c r="H724" s="5"/>
      <c r="I724" s="5"/>
      <c r="J724" s="14"/>
      <c r="K7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25" spans="1:11" hidden="1" x14ac:dyDescent="0.25">
      <c r="A725" s="5"/>
      <c r="B725" s="5"/>
      <c r="C725" s="5"/>
      <c r="G725" s="5"/>
      <c r="H725" s="5"/>
      <c r="I725" s="5"/>
      <c r="J725" s="14"/>
      <c r="K7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26" spans="1:11" x14ac:dyDescent="0.25">
      <c r="A726" s="5" t="s">
        <v>151</v>
      </c>
      <c r="B726" s="5" t="s">
        <v>454</v>
      </c>
      <c r="C726" s="5" t="s">
        <v>35</v>
      </c>
      <c r="D726">
        <v>400</v>
      </c>
      <c r="E726">
        <v>5</v>
      </c>
      <c r="F726">
        <v>30</v>
      </c>
      <c r="G726" s="5">
        <v>8</v>
      </c>
      <c r="H726" s="5">
        <v>0.48</v>
      </c>
      <c r="I726" s="5">
        <v>582000</v>
      </c>
      <c r="J726" s="14">
        <v>4656000</v>
      </c>
      <c r="K7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727" spans="1:11" hidden="1" x14ac:dyDescent="0.25">
      <c r="A727" s="5"/>
      <c r="B727" s="5"/>
      <c r="C727" s="5"/>
      <c r="G727" s="5"/>
      <c r="H727" s="5"/>
      <c r="I727" s="5"/>
      <c r="J727" s="14"/>
      <c r="K7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28" spans="1:11" x14ac:dyDescent="0.25">
      <c r="A728" s="5"/>
      <c r="B728" s="5" t="s">
        <v>440</v>
      </c>
      <c r="C728" s="5" t="s">
        <v>17</v>
      </c>
      <c r="D728">
        <v>500</v>
      </c>
      <c r="E728">
        <v>4</v>
      </c>
      <c r="F728">
        <v>25</v>
      </c>
      <c r="G728" s="5">
        <v>4</v>
      </c>
      <c r="H728" s="5">
        <v>0.2</v>
      </c>
      <c r="I728" s="5">
        <v>465000</v>
      </c>
      <c r="J728" s="14">
        <v>1860000</v>
      </c>
      <c r="K7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29" spans="1:11" hidden="1" x14ac:dyDescent="0.25">
      <c r="A729" s="5"/>
      <c r="B729" s="5"/>
      <c r="C729" s="5"/>
      <c r="G729" s="5"/>
      <c r="H729" s="5"/>
      <c r="I729" s="5"/>
      <c r="J729" s="14"/>
      <c r="K7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0" spans="1:11" x14ac:dyDescent="0.25">
      <c r="A730" s="5"/>
      <c r="B730" s="5" t="s">
        <v>463</v>
      </c>
      <c r="C730" s="5" t="s">
        <v>45</v>
      </c>
      <c r="D730">
        <v>500</v>
      </c>
      <c r="E730">
        <v>4</v>
      </c>
      <c r="F730">
        <v>30</v>
      </c>
      <c r="G730" s="5">
        <v>4</v>
      </c>
      <c r="H730" s="5">
        <v>0.24</v>
      </c>
      <c r="I730" s="5">
        <v>570000</v>
      </c>
      <c r="J730" s="14">
        <v>2280000</v>
      </c>
      <c r="K7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1" spans="1:11" hidden="1" x14ac:dyDescent="0.25">
      <c r="A731" s="5"/>
      <c r="B731" s="5"/>
      <c r="C731" s="5"/>
      <c r="G731" s="5"/>
      <c r="H731" s="5"/>
      <c r="I731" s="5"/>
      <c r="J731" s="14"/>
      <c r="K7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2" spans="1:11" hidden="1" x14ac:dyDescent="0.25">
      <c r="A732" s="5"/>
      <c r="B732" s="5"/>
      <c r="C732" s="5"/>
      <c r="G732" s="5"/>
      <c r="H732" s="5"/>
      <c r="I732" s="5"/>
      <c r="J732" s="14"/>
      <c r="K7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3" spans="1:11" x14ac:dyDescent="0.25">
      <c r="A733" s="5" t="s">
        <v>151</v>
      </c>
      <c r="B733" s="5" t="s">
        <v>533</v>
      </c>
      <c r="C733" s="5" t="s">
        <v>152</v>
      </c>
      <c r="D733">
        <v>400</v>
      </c>
      <c r="E733">
        <v>3</v>
      </c>
      <c r="F733">
        <v>20</v>
      </c>
      <c r="G733" s="5">
        <v>1</v>
      </c>
      <c r="H733" s="5">
        <v>2.4E-2</v>
      </c>
      <c r="I733" s="5">
        <v>571200</v>
      </c>
      <c r="J733" s="14">
        <v>571200</v>
      </c>
      <c r="K7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4" spans="1:11" hidden="1" x14ac:dyDescent="0.25">
      <c r="A734" s="5"/>
      <c r="B734" s="5"/>
      <c r="C734" s="5"/>
      <c r="G734" s="5"/>
      <c r="H734" s="5"/>
      <c r="I734" s="5"/>
      <c r="J734" s="14"/>
      <c r="K7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5" spans="1:11" x14ac:dyDescent="0.25">
      <c r="A735" s="5"/>
      <c r="B735" s="5" t="s">
        <v>486</v>
      </c>
      <c r="C735" s="5" t="s">
        <v>76</v>
      </c>
      <c r="D735">
        <v>400</v>
      </c>
      <c r="E735">
        <v>3</v>
      </c>
      <c r="F735">
        <v>25</v>
      </c>
      <c r="G735" s="5">
        <v>1</v>
      </c>
      <c r="H735" s="5">
        <v>0.03</v>
      </c>
      <c r="I735" s="5">
        <v>717000</v>
      </c>
      <c r="J735" s="14">
        <v>717000</v>
      </c>
      <c r="K7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6" spans="1:11" hidden="1" x14ac:dyDescent="0.25">
      <c r="A736" s="5"/>
      <c r="B736" s="5"/>
      <c r="C736" s="5"/>
      <c r="G736" s="5"/>
      <c r="H736" s="5"/>
      <c r="I736" s="5"/>
      <c r="J736" s="14"/>
      <c r="K7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7" spans="1:11" x14ac:dyDescent="0.25">
      <c r="A737" s="5"/>
      <c r="B737" s="5" t="s">
        <v>527</v>
      </c>
      <c r="C737" s="5" t="s">
        <v>143</v>
      </c>
      <c r="D737">
        <v>400</v>
      </c>
      <c r="E737">
        <v>4</v>
      </c>
      <c r="F737">
        <v>20</v>
      </c>
      <c r="G737" s="5">
        <v>3</v>
      </c>
      <c r="H737" s="5">
        <v>9.6000000000000002E-2</v>
      </c>
      <c r="I737" s="5">
        <v>761600</v>
      </c>
      <c r="J737" s="14">
        <v>2284800</v>
      </c>
      <c r="K7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8" spans="1:11" hidden="1" x14ac:dyDescent="0.25">
      <c r="A738" s="5"/>
      <c r="B738" s="5"/>
      <c r="C738" s="5"/>
      <c r="G738" s="5"/>
      <c r="H738" s="5"/>
      <c r="I738" s="5"/>
      <c r="J738" s="14"/>
      <c r="K7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39" spans="1:11" x14ac:dyDescent="0.25">
      <c r="A739" s="5"/>
      <c r="B739" s="5" t="s">
        <v>534</v>
      </c>
      <c r="C739" s="5" t="s">
        <v>153</v>
      </c>
      <c r="D739">
        <v>500</v>
      </c>
      <c r="E739">
        <v>4</v>
      </c>
      <c r="F739">
        <v>25</v>
      </c>
      <c r="G739" s="5">
        <v>1</v>
      </c>
      <c r="H739" s="5">
        <v>0.05</v>
      </c>
      <c r="I739" s="5">
        <v>1220000</v>
      </c>
      <c r="J739" s="14">
        <v>1220000</v>
      </c>
      <c r="K7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40" spans="1:11" hidden="1" x14ac:dyDescent="0.25">
      <c r="A740" s="5"/>
      <c r="B740" s="5"/>
      <c r="C740" s="5"/>
      <c r="G740" s="5"/>
      <c r="H740" s="5"/>
      <c r="I740" s="5"/>
      <c r="J740" s="14"/>
      <c r="K7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41" spans="1:11" hidden="1" x14ac:dyDescent="0.25">
      <c r="A741" s="5"/>
      <c r="B741" s="5"/>
      <c r="C741" s="5"/>
      <c r="G741" s="5"/>
      <c r="H741" s="5"/>
      <c r="I741" s="5"/>
      <c r="J741" s="14"/>
      <c r="K7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42" spans="1:11" x14ac:dyDescent="0.25">
      <c r="A742" s="5" t="s">
        <v>151</v>
      </c>
      <c r="B742" s="5" t="s">
        <v>535</v>
      </c>
      <c r="C742" s="5" t="s">
        <v>154</v>
      </c>
      <c r="D742">
        <v>140</v>
      </c>
      <c r="E742">
        <v>6</v>
      </c>
      <c r="F742">
        <v>15</v>
      </c>
      <c r="G742" s="5">
        <v>6</v>
      </c>
      <c r="H742" s="5">
        <v>7.5600000000000001E-2</v>
      </c>
      <c r="I742" s="5">
        <v>254520</v>
      </c>
      <c r="J742" s="14">
        <v>1527120</v>
      </c>
      <c r="K7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43" spans="1:11" hidden="1" x14ac:dyDescent="0.25">
      <c r="A743" s="5"/>
      <c r="B743" s="5"/>
      <c r="C743" s="5"/>
      <c r="G743" s="5"/>
      <c r="H743" s="5"/>
      <c r="I743" s="5"/>
      <c r="J743" s="14"/>
      <c r="K7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44" spans="1:11" x14ac:dyDescent="0.25">
      <c r="A744" s="5"/>
      <c r="B744" s="5" t="s">
        <v>485</v>
      </c>
      <c r="C744" s="5" t="s">
        <v>74</v>
      </c>
      <c r="D744">
        <v>150</v>
      </c>
      <c r="E744">
        <v>6</v>
      </c>
      <c r="F744">
        <v>15</v>
      </c>
      <c r="G744" s="5">
        <v>6</v>
      </c>
      <c r="H744" s="5">
        <v>8.1000000000000003E-2</v>
      </c>
      <c r="I744" s="5">
        <v>272700</v>
      </c>
      <c r="J744" s="14">
        <v>1636200</v>
      </c>
      <c r="K7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45" spans="1:11" hidden="1" x14ac:dyDescent="0.25">
      <c r="A745" s="5"/>
      <c r="B745" s="5"/>
      <c r="C745" s="5"/>
      <c r="G745" s="5"/>
      <c r="H745" s="5"/>
      <c r="I745" s="5"/>
      <c r="J745" s="14"/>
      <c r="K7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46" spans="1:11" x14ac:dyDescent="0.25">
      <c r="A746" s="5"/>
      <c r="B746" s="5" t="s">
        <v>536</v>
      </c>
      <c r="C746" s="5" t="s">
        <v>155</v>
      </c>
      <c r="D746">
        <v>170</v>
      </c>
      <c r="E746">
        <v>6</v>
      </c>
      <c r="F746">
        <v>15</v>
      </c>
      <c r="G746" s="5">
        <v>4</v>
      </c>
      <c r="H746" s="5">
        <v>6.1199999999999997E-2</v>
      </c>
      <c r="I746" s="5">
        <v>309060</v>
      </c>
      <c r="J746" s="14">
        <v>1236240</v>
      </c>
      <c r="K7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47" spans="1:11" hidden="1" x14ac:dyDescent="0.25">
      <c r="A747" s="5"/>
      <c r="B747" s="5"/>
      <c r="C747" s="5"/>
      <c r="G747" s="5"/>
      <c r="H747" s="5"/>
      <c r="I747" s="5"/>
      <c r="J747" s="14"/>
      <c r="K7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48" spans="1:11" x14ac:dyDescent="0.25">
      <c r="A748" s="5"/>
      <c r="B748" s="5" t="s">
        <v>500</v>
      </c>
      <c r="C748" s="5" t="s">
        <v>95</v>
      </c>
      <c r="D748">
        <v>210</v>
      </c>
      <c r="E748">
        <v>6</v>
      </c>
      <c r="F748">
        <v>15</v>
      </c>
      <c r="G748" s="5">
        <v>2</v>
      </c>
      <c r="H748" s="5">
        <v>3.78E-2</v>
      </c>
      <c r="I748" s="5">
        <v>408240</v>
      </c>
      <c r="J748" s="14">
        <v>816480</v>
      </c>
      <c r="K7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49" spans="1:11" hidden="1" x14ac:dyDescent="0.25">
      <c r="A749" s="5"/>
      <c r="B749" s="5"/>
      <c r="C749" s="5"/>
      <c r="G749" s="5"/>
      <c r="H749" s="5"/>
      <c r="I749" s="5"/>
      <c r="J749" s="14"/>
      <c r="K7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0" spans="1:11" hidden="1" x14ac:dyDescent="0.25">
      <c r="A750" s="5"/>
      <c r="B750" s="5"/>
      <c r="C750" s="5"/>
      <c r="G750" s="5"/>
      <c r="H750" s="5"/>
      <c r="I750" s="5"/>
      <c r="J750" s="14"/>
      <c r="K7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1" spans="1:11" x14ac:dyDescent="0.25">
      <c r="A751" s="5" t="s">
        <v>151</v>
      </c>
      <c r="B751" s="5" t="s">
        <v>433</v>
      </c>
      <c r="C751" s="5" t="s">
        <v>9</v>
      </c>
      <c r="D751">
        <v>400</v>
      </c>
      <c r="E751">
        <v>4</v>
      </c>
      <c r="F751">
        <v>20</v>
      </c>
      <c r="G751" s="5">
        <v>5</v>
      </c>
      <c r="H751" s="5">
        <v>0.16</v>
      </c>
      <c r="I751" s="5">
        <v>294400</v>
      </c>
      <c r="J751" s="14">
        <v>1472000</v>
      </c>
      <c r="K7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2" spans="1:11" hidden="1" x14ac:dyDescent="0.25">
      <c r="A752" s="5"/>
      <c r="B752" s="5"/>
      <c r="C752" s="5"/>
      <c r="G752" s="5"/>
      <c r="H752" s="5"/>
      <c r="I752" s="5"/>
      <c r="J752" s="14"/>
      <c r="K7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3" spans="1:11" x14ac:dyDescent="0.25">
      <c r="A753" s="5"/>
      <c r="B753" s="5" t="s">
        <v>443</v>
      </c>
      <c r="C753" s="5" t="s">
        <v>21</v>
      </c>
      <c r="D753">
        <v>400</v>
      </c>
      <c r="E753">
        <v>4</v>
      </c>
      <c r="F753">
        <v>25</v>
      </c>
      <c r="G753" s="5">
        <v>4</v>
      </c>
      <c r="H753" s="5">
        <v>0.16</v>
      </c>
      <c r="I753" s="5">
        <v>372000</v>
      </c>
      <c r="J753" s="14">
        <v>1488000</v>
      </c>
      <c r="K7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4" spans="1:11" hidden="1" x14ac:dyDescent="0.25">
      <c r="A754" s="5"/>
      <c r="B754" s="5"/>
      <c r="C754" s="5"/>
      <c r="G754" s="5"/>
      <c r="H754" s="5"/>
      <c r="I754" s="5"/>
      <c r="J754" s="14"/>
      <c r="K7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5" spans="1:11" hidden="1" x14ac:dyDescent="0.25">
      <c r="A755" s="5"/>
      <c r="B755" s="5"/>
      <c r="C755" s="5"/>
      <c r="G755" s="5"/>
      <c r="H755" s="5"/>
      <c r="I755" s="5"/>
      <c r="J755" s="14"/>
      <c r="K7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6" spans="1:11" x14ac:dyDescent="0.25">
      <c r="A756" s="5" t="s">
        <v>156</v>
      </c>
      <c r="B756" s="5" t="s">
        <v>433</v>
      </c>
      <c r="C756" s="5" t="s">
        <v>9</v>
      </c>
      <c r="D756">
        <v>400</v>
      </c>
      <c r="E756">
        <v>4</v>
      </c>
      <c r="F756">
        <v>20</v>
      </c>
      <c r="G756" s="5">
        <v>2</v>
      </c>
      <c r="H756" s="5">
        <v>6.4000000000000001E-2</v>
      </c>
      <c r="I756" s="5">
        <v>294400</v>
      </c>
      <c r="J756" s="14">
        <v>588800</v>
      </c>
      <c r="K7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7" spans="1:11" hidden="1" x14ac:dyDescent="0.25">
      <c r="A757" s="5"/>
      <c r="B757" s="5"/>
      <c r="C757" s="5"/>
      <c r="G757" s="5"/>
      <c r="H757" s="5"/>
      <c r="I757" s="5"/>
      <c r="J757" s="14"/>
      <c r="K7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58" spans="1:11" x14ac:dyDescent="0.25">
      <c r="A758" s="5"/>
      <c r="B758" s="5" t="s">
        <v>481</v>
      </c>
      <c r="C758" s="5" t="s">
        <v>68</v>
      </c>
      <c r="D758">
        <v>400</v>
      </c>
      <c r="E758">
        <v>6</v>
      </c>
      <c r="F758">
        <v>15</v>
      </c>
      <c r="G758" s="5">
        <v>3</v>
      </c>
      <c r="H758" s="5">
        <v>0.108</v>
      </c>
      <c r="I758" s="5">
        <v>313200</v>
      </c>
      <c r="J758" s="14">
        <v>939600</v>
      </c>
      <c r="K7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59" spans="1:11" hidden="1" x14ac:dyDescent="0.25">
      <c r="A759" s="5"/>
      <c r="B759" s="5"/>
      <c r="C759" s="5"/>
      <c r="G759" s="5"/>
      <c r="H759" s="5"/>
      <c r="I759" s="5"/>
      <c r="J759" s="14"/>
      <c r="K7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0" spans="1:11" hidden="1" x14ac:dyDescent="0.25">
      <c r="A760" s="5"/>
      <c r="B760" s="5"/>
      <c r="C760" s="5"/>
      <c r="G760" s="5"/>
      <c r="H760" s="5"/>
      <c r="I760" s="5"/>
      <c r="J760" s="14"/>
      <c r="K7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1" spans="1:11" x14ac:dyDescent="0.25">
      <c r="A761" s="5" t="s">
        <v>157</v>
      </c>
      <c r="B761" s="5" t="s">
        <v>477</v>
      </c>
      <c r="C761" s="5" t="s">
        <v>63</v>
      </c>
      <c r="D761">
        <v>100</v>
      </c>
      <c r="E761">
        <v>6</v>
      </c>
      <c r="F761">
        <v>15</v>
      </c>
      <c r="G761" s="5">
        <v>2</v>
      </c>
      <c r="H761" s="5">
        <v>1.7999999999999999E-2</v>
      </c>
      <c r="I761" s="5">
        <v>181800</v>
      </c>
      <c r="J761" s="14">
        <v>363600</v>
      </c>
      <c r="K7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62" spans="1:11" hidden="1" x14ac:dyDescent="0.25">
      <c r="A762" s="5"/>
      <c r="B762" s="5"/>
      <c r="C762" s="5"/>
      <c r="G762" s="5"/>
      <c r="H762" s="5"/>
      <c r="I762" s="5"/>
      <c r="J762" s="14"/>
      <c r="K7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3" spans="1:11" x14ac:dyDescent="0.25">
      <c r="A763" s="5"/>
      <c r="B763" s="5" t="s">
        <v>501</v>
      </c>
      <c r="C763" s="5" t="s">
        <v>96</v>
      </c>
      <c r="D763">
        <v>250</v>
      </c>
      <c r="E763">
        <v>6</v>
      </c>
      <c r="F763">
        <v>15</v>
      </c>
      <c r="G763" s="5">
        <v>10</v>
      </c>
      <c r="H763" s="5">
        <v>0.22500000000000001</v>
      </c>
      <c r="I763" s="5">
        <v>499500</v>
      </c>
      <c r="J763" s="14">
        <v>4995000</v>
      </c>
      <c r="K7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64" spans="1:11" hidden="1" x14ac:dyDescent="0.25">
      <c r="A764" s="5"/>
      <c r="B764" s="5"/>
      <c r="C764" s="5"/>
      <c r="G764" s="5"/>
      <c r="H764" s="5"/>
      <c r="I764" s="5"/>
      <c r="J764" s="14"/>
      <c r="K7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5" spans="1:11" hidden="1" x14ac:dyDescent="0.25">
      <c r="A765" s="5"/>
      <c r="B765" s="5"/>
      <c r="C765" s="5"/>
      <c r="G765" s="5"/>
      <c r="H765" s="5"/>
      <c r="I765" s="5"/>
      <c r="J765" s="14"/>
      <c r="K7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6" spans="1:11" x14ac:dyDescent="0.25">
      <c r="A766" s="5" t="s">
        <v>157</v>
      </c>
      <c r="B766" s="5" t="s">
        <v>456</v>
      </c>
      <c r="C766" s="5" t="s">
        <v>37</v>
      </c>
      <c r="D766">
        <v>250</v>
      </c>
      <c r="E766">
        <v>4</v>
      </c>
      <c r="F766">
        <v>25</v>
      </c>
      <c r="G766" s="5">
        <v>7</v>
      </c>
      <c r="H766" s="5">
        <v>0.17499999999999999</v>
      </c>
      <c r="I766" s="5">
        <v>597500</v>
      </c>
      <c r="J766" s="14">
        <v>4182500</v>
      </c>
      <c r="K7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7" spans="1:11" hidden="1" x14ac:dyDescent="0.25">
      <c r="A767" s="5"/>
      <c r="B767" s="5"/>
      <c r="C767" s="5"/>
      <c r="G767" s="5"/>
      <c r="H767" s="5"/>
      <c r="I767" s="5"/>
      <c r="J767" s="14"/>
      <c r="K7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8" spans="1:11" x14ac:dyDescent="0.25">
      <c r="A768" s="5"/>
      <c r="B768" s="5" t="s">
        <v>506</v>
      </c>
      <c r="C768" s="5" t="s">
        <v>103</v>
      </c>
      <c r="D768">
        <v>400</v>
      </c>
      <c r="E768">
        <v>3</v>
      </c>
      <c r="F768">
        <v>30</v>
      </c>
      <c r="G768" s="5">
        <v>1</v>
      </c>
      <c r="H768" s="5">
        <v>3.5999999999999997E-2</v>
      </c>
      <c r="I768" s="5">
        <v>878400</v>
      </c>
      <c r="J768" s="14">
        <v>878400</v>
      </c>
      <c r="K7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69" spans="1:11" hidden="1" x14ac:dyDescent="0.25">
      <c r="A769" s="5"/>
      <c r="B769" s="5"/>
      <c r="C769" s="5"/>
      <c r="G769" s="5"/>
      <c r="H769" s="5"/>
      <c r="I769" s="5"/>
      <c r="J769" s="14"/>
      <c r="K7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0" spans="1:11" x14ac:dyDescent="0.25">
      <c r="A770" s="5"/>
      <c r="B770" s="5" t="s">
        <v>534</v>
      </c>
      <c r="C770" s="5" t="s">
        <v>153</v>
      </c>
      <c r="D770">
        <v>500</v>
      </c>
      <c r="E770">
        <v>4</v>
      </c>
      <c r="F770">
        <v>25</v>
      </c>
      <c r="G770" s="5">
        <v>1</v>
      </c>
      <c r="H770" s="5">
        <v>0.05</v>
      </c>
      <c r="I770" s="5">
        <v>1220000</v>
      </c>
      <c r="J770" s="14">
        <v>1220000</v>
      </c>
      <c r="K7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1" spans="1:11" hidden="1" x14ac:dyDescent="0.25">
      <c r="A771" s="5"/>
      <c r="B771" s="5"/>
      <c r="C771" s="5"/>
      <c r="G771" s="5"/>
      <c r="H771" s="5"/>
      <c r="I771" s="5"/>
      <c r="J771" s="14"/>
      <c r="K7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2" spans="1:11" hidden="1" x14ac:dyDescent="0.25">
      <c r="A772" s="5"/>
      <c r="B772" s="5"/>
      <c r="C772" s="5"/>
      <c r="G772" s="5"/>
      <c r="H772" s="5"/>
      <c r="I772" s="5"/>
      <c r="J772" s="14"/>
      <c r="K7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3" spans="1:11" x14ac:dyDescent="0.25">
      <c r="A773" s="5" t="s">
        <v>157</v>
      </c>
      <c r="B773" s="5" t="s">
        <v>443</v>
      </c>
      <c r="C773" s="5" t="s">
        <v>21</v>
      </c>
      <c r="D773">
        <v>400</v>
      </c>
      <c r="E773">
        <v>4</v>
      </c>
      <c r="F773">
        <v>25</v>
      </c>
      <c r="G773" s="5">
        <v>9</v>
      </c>
      <c r="H773" s="5">
        <v>0.36</v>
      </c>
      <c r="I773" s="5">
        <v>372000</v>
      </c>
      <c r="J773" s="14">
        <v>3348000</v>
      </c>
      <c r="K7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4" spans="1:11" hidden="1" x14ac:dyDescent="0.25">
      <c r="A774" s="5"/>
      <c r="B774" s="5"/>
      <c r="C774" s="5"/>
      <c r="G774" s="5"/>
      <c r="H774" s="5"/>
      <c r="I774" s="5"/>
      <c r="J774" s="14"/>
      <c r="K7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5" spans="1:11" hidden="1" x14ac:dyDescent="0.25">
      <c r="A775" s="5"/>
      <c r="B775" s="5"/>
      <c r="C775" s="5"/>
      <c r="G775" s="5"/>
      <c r="H775" s="5"/>
      <c r="I775" s="5"/>
      <c r="J775" s="14"/>
      <c r="K7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6" spans="1:11" x14ac:dyDescent="0.25">
      <c r="A776" s="5" t="s">
        <v>157</v>
      </c>
      <c r="B776" s="5" t="s">
        <v>537</v>
      </c>
      <c r="C776" s="5" t="s">
        <v>158</v>
      </c>
      <c r="D776">
        <v>400</v>
      </c>
      <c r="E776">
        <v>5</v>
      </c>
      <c r="F776">
        <v>12</v>
      </c>
      <c r="G776" s="5">
        <v>3</v>
      </c>
      <c r="H776" s="5">
        <v>7.1999999999999995E-2</v>
      </c>
      <c r="I776" s="5">
        <v>532800</v>
      </c>
      <c r="J776" s="14">
        <v>1598400</v>
      </c>
      <c r="K7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77" spans="1:11" hidden="1" x14ac:dyDescent="0.25">
      <c r="A777" s="5"/>
      <c r="B777" s="5"/>
      <c r="C777" s="5"/>
      <c r="G777" s="5"/>
      <c r="H777" s="5"/>
      <c r="I777" s="5"/>
      <c r="J777" s="14"/>
      <c r="K7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78" spans="1:11" x14ac:dyDescent="0.25">
      <c r="A778" s="5"/>
      <c r="B778" s="5" t="s">
        <v>475</v>
      </c>
      <c r="C778" s="5" t="s">
        <v>60</v>
      </c>
      <c r="D778">
        <v>500</v>
      </c>
      <c r="E778">
        <v>5</v>
      </c>
      <c r="F778">
        <v>20</v>
      </c>
      <c r="G778" s="5">
        <v>1</v>
      </c>
      <c r="H778" s="5">
        <v>0.05</v>
      </c>
      <c r="I778" s="5">
        <v>1205000</v>
      </c>
      <c r="J778" s="14">
        <v>1205000</v>
      </c>
      <c r="K7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779" spans="1:11" hidden="1" x14ac:dyDescent="0.25">
      <c r="A779" s="5"/>
      <c r="B779" s="5"/>
      <c r="C779" s="5"/>
      <c r="G779" s="5"/>
      <c r="H779" s="5"/>
      <c r="I779" s="5"/>
      <c r="J779" s="14"/>
      <c r="K7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0" spans="1:11" hidden="1" x14ac:dyDescent="0.25">
      <c r="A780" s="5"/>
      <c r="B780" s="5"/>
      <c r="C780" s="5"/>
      <c r="G780" s="5"/>
      <c r="H780" s="5"/>
      <c r="I780" s="5"/>
      <c r="J780" s="14"/>
      <c r="K7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1" spans="1:11" x14ac:dyDescent="0.25">
      <c r="A781" s="5" t="s">
        <v>157</v>
      </c>
      <c r="B781" s="5" t="s">
        <v>438</v>
      </c>
      <c r="C781" s="5" t="s">
        <v>15</v>
      </c>
      <c r="D781">
        <v>400</v>
      </c>
      <c r="E781">
        <v>3</v>
      </c>
      <c r="F781">
        <v>25</v>
      </c>
      <c r="G781" s="5">
        <v>3</v>
      </c>
      <c r="H781" s="5">
        <v>0.09</v>
      </c>
      <c r="I781" s="5">
        <v>279000</v>
      </c>
      <c r="J781" s="14">
        <v>837000</v>
      </c>
      <c r="K7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2" spans="1:11" hidden="1" x14ac:dyDescent="0.25">
      <c r="A782" s="5"/>
      <c r="B782" s="5"/>
      <c r="C782" s="5"/>
      <c r="G782" s="5"/>
      <c r="H782" s="5"/>
      <c r="I782" s="5"/>
      <c r="J782" s="14"/>
      <c r="K7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3" spans="1:11" x14ac:dyDescent="0.25">
      <c r="A783" s="5"/>
      <c r="B783" s="5" t="s">
        <v>433</v>
      </c>
      <c r="C783" s="5" t="s">
        <v>9</v>
      </c>
      <c r="D783">
        <v>400</v>
      </c>
      <c r="E783">
        <v>4</v>
      </c>
      <c r="F783">
        <v>20</v>
      </c>
      <c r="G783" s="5">
        <v>1</v>
      </c>
      <c r="H783" s="5">
        <v>3.2000000000000001E-2</v>
      </c>
      <c r="I783" s="5">
        <v>294400</v>
      </c>
      <c r="J783" s="14">
        <v>294400</v>
      </c>
      <c r="K7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4" spans="1:11" hidden="1" x14ac:dyDescent="0.25">
      <c r="A784" s="5"/>
      <c r="B784" s="5"/>
      <c r="C784" s="5"/>
      <c r="G784" s="5"/>
      <c r="H784" s="5"/>
      <c r="I784" s="5"/>
      <c r="J784" s="14"/>
      <c r="K7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5" spans="1:11" x14ac:dyDescent="0.25">
      <c r="A785" s="5"/>
      <c r="B785" s="5" t="s">
        <v>440</v>
      </c>
      <c r="C785" s="5" t="s">
        <v>17</v>
      </c>
      <c r="D785">
        <v>500</v>
      </c>
      <c r="E785">
        <v>4</v>
      </c>
      <c r="F785">
        <v>25</v>
      </c>
      <c r="G785" s="5">
        <v>3</v>
      </c>
      <c r="H785" s="5">
        <v>0.15</v>
      </c>
      <c r="I785" s="5">
        <v>465000</v>
      </c>
      <c r="J785" s="14">
        <v>1395000</v>
      </c>
      <c r="K7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6" spans="1:11" hidden="1" x14ac:dyDescent="0.25">
      <c r="A786" s="5"/>
      <c r="B786" s="5"/>
      <c r="C786" s="5"/>
      <c r="G786" s="5"/>
      <c r="H786" s="5"/>
      <c r="I786" s="5"/>
      <c r="J786" s="14"/>
      <c r="K7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7" spans="1:11" hidden="1" x14ac:dyDescent="0.25">
      <c r="A787" s="5"/>
      <c r="B787" s="5"/>
      <c r="C787" s="5"/>
      <c r="G787" s="5"/>
      <c r="H787" s="5"/>
      <c r="I787" s="5"/>
      <c r="J787" s="14"/>
      <c r="K7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8" spans="1:11" x14ac:dyDescent="0.25">
      <c r="A788" s="5" t="s">
        <v>159</v>
      </c>
      <c r="B788" s="5" t="s">
        <v>439</v>
      </c>
      <c r="C788" s="5" t="s">
        <v>16</v>
      </c>
      <c r="D788">
        <v>400</v>
      </c>
      <c r="E788">
        <v>3</v>
      </c>
      <c r="F788">
        <v>30</v>
      </c>
      <c r="G788" s="5">
        <v>2</v>
      </c>
      <c r="H788" s="5">
        <v>7.1999999999999995E-2</v>
      </c>
      <c r="I788" s="5">
        <v>342000</v>
      </c>
      <c r="J788" s="14">
        <v>684000</v>
      </c>
      <c r="K7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89" spans="1:11" hidden="1" x14ac:dyDescent="0.25">
      <c r="A789" s="5"/>
      <c r="B789" s="5"/>
      <c r="C789" s="5"/>
      <c r="G789" s="5"/>
      <c r="H789" s="5"/>
      <c r="I789" s="5"/>
      <c r="J789" s="14"/>
      <c r="K7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0" spans="1:11" x14ac:dyDescent="0.25">
      <c r="A790" s="5"/>
      <c r="B790" s="5" t="s">
        <v>443</v>
      </c>
      <c r="C790" s="5" t="s">
        <v>21</v>
      </c>
      <c r="D790">
        <v>400</v>
      </c>
      <c r="E790">
        <v>4</v>
      </c>
      <c r="F790">
        <v>25</v>
      </c>
      <c r="G790" s="5">
        <v>2</v>
      </c>
      <c r="H790" s="5">
        <v>0.08</v>
      </c>
      <c r="I790" s="5">
        <v>372000</v>
      </c>
      <c r="J790" s="14">
        <v>744000</v>
      </c>
      <c r="K7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1" spans="1:11" hidden="1" x14ac:dyDescent="0.25">
      <c r="A791" s="5"/>
      <c r="B791" s="5"/>
      <c r="C791" s="5"/>
      <c r="G791" s="5"/>
      <c r="H791" s="5"/>
      <c r="I791" s="5"/>
      <c r="J791" s="14"/>
      <c r="K7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2" spans="1:11" hidden="1" x14ac:dyDescent="0.25">
      <c r="A792" s="5"/>
      <c r="B792" s="5"/>
      <c r="C792" s="5"/>
      <c r="G792" s="5"/>
      <c r="H792" s="5"/>
      <c r="I792" s="5"/>
      <c r="J792" s="14"/>
      <c r="K7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3" spans="1:11" x14ac:dyDescent="0.25">
      <c r="A793" s="5" t="s">
        <v>160</v>
      </c>
      <c r="B793" s="5" t="s">
        <v>436</v>
      </c>
      <c r="C793" s="5" t="s">
        <v>12</v>
      </c>
      <c r="D793">
        <v>400</v>
      </c>
      <c r="E793">
        <v>6</v>
      </c>
      <c r="F793">
        <v>17</v>
      </c>
      <c r="G793" s="5">
        <v>1</v>
      </c>
      <c r="H793" s="5">
        <v>4.0800000000000003E-2</v>
      </c>
      <c r="I793" s="5">
        <v>381480</v>
      </c>
      <c r="J793" s="14">
        <v>381480</v>
      </c>
      <c r="K7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94" spans="1:11" hidden="1" x14ac:dyDescent="0.25">
      <c r="A794" s="5"/>
      <c r="B794" s="5"/>
      <c r="C794" s="5"/>
      <c r="G794" s="5"/>
      <c r="H794" s="5"/>
      <c r="I794" s="5"/>
      <c r="J794" s="14"/>
      <c r="K7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5" spans="1:11" x14ac:dyDescent="0.25">
      <c r="A795" s="5"/>
      <c r="B795" s="5" t="s">
        <v>452</v>
      </c>
      <c r="C795" s="5" t="s">
        <v>32</v>
      </c>
      <c r="D795">
        <v>500</v>
      </c>
      <c r="E795">
        <v>6</v>
      </c>
      <c r="F795">
        <v>17</v>
      </c>
      <c r="G795" s="5">
        <v>2</v>
      </c>
      <c r="H795" s="5">
        <v>0.10199999999999999</v>
      </c>
      <c r="I795" s="5">
        <v>504900</v>
      </c>
      <c r="J795" s="14">
        <v>1009800</v>
      </c>
      <c r="K7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796" spans="1:11" hidden="1" x14ac:dyDescent="0.25">
      <c r="A796" s="5"/>
      <c r="B796" s="5"/>
      <c r="C796" s="5"/>
      <c r="G796" s="5"/>
      <c r="H796" s="5"/>
      <c r="I796" s="5"/>
      <c r="J796" s="14"/>
      <c r="K7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7" spans="1:11" hidden="1" x14ac:dyDescent="0.25">
      <c r="A797" s="5"/>
      <c r="B797" s="5"/>
      <c r="C797" s="5"/>
      <c r="G797" s="5"/>
      <c r="H797" s="5"/>
      <c r="I797" s="5"/>
      <c r="J797" s="14"/>
      <c r="K7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8" spans="1:11" x14ac:dyDescent="0.25">
      <c r="A798" s="5" t="s">
        <v>160</v>
      </c>
      <c r="B798" s="5" t="s">
        <v>439</v>
      </c>
      <c r="C798" s="5" t="s">
        <v>16</v>
      </c>
      <c r="D798">
        <v>400</v>
      </c>
      <c r="E798">
        <v>3</v>
      </c>
      <c r="F798">
        <v>30</v>
      </c>
      <c r="G798" s="5">
        <v>2</v>
      </c>
      <c r="H798" s="5">
        <v>7.1999999999999995E-2</v>
      </c>
      <c r="I798" s="5">
        <v>342000</v>
      </c>
      <c r="J798" s="14">
        <v>684000</v>
      </c>
      <c r="K7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799" spans="1:11" hidden="1" x14ac:dyDescent="0.25">
      <c r="A799" s="5"/>
      <c r="B799" s="5"/>
      <c r="C799" s="5"/>
      <c r="G799" s="5"/>
      <c r="H799" s="5"/>
      <c r="I799" s="5"/>
      <c r="J799" s="14"/>
      <c r="K7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0" spans="1:11" x14ac:dyDescent="0.25">
      <c r="A800" s="5"/>
      <c r="B800" s="5" t="s">
        <v>433</v>
      </c>
      <c r="C800" s="5" t="s">
        <v>9</v>
      </c>
      <c r="D800">
        <v>400</v>
      </c>
      <c r="E800">
        <v>4</v>
      </c>
      <c r="F800">
        <v>20</v>
      </c>
      <c r="G800" s="5">
        <v>1</v>
      </c>
      <c r="H800" s="5">
        <v>3.2000000000000001E-2</v>
      </c>
      <c r="I800" s="5">
        <v>294400</v>
      </c>
      <c r="J800" s="14">
        <v>294400</v>
      </c>
      <c r="K8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1" spans="1:11" hidden="1" x14ac:dyDescent="0.25">
      <c r="A801" s="5"/>
      <c r="B801" s="5"/>
      <c r="C801" s="5"/>
      <c r="G801" s="5"/>
      <c r="H801" s="5"/>
      <c r="I801" s="5"/>
      <c r="J801" s="14"/>
      <c r="K8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2" spans="1:11" x14ac:dyDescent="0.25">
      <c r="A802" s="5"/>
      <c r="B802" s="5" t="s">
        <v>434</v>
      </c>
      <c r="C802" s="5" t="s">
        <v>10</v>
      </c>
      <c r="D802">
        <v>400</v>
      </c>
      <c r="E802">
        <v>4</v>
      </c>
      <c r="F802">
        <v>30</v>
      </c>
      <c r="G802" s="5">
        <v>1</v>
      </c>
      <c r="H802" s="5">
        <v>4.8000000000000001E-2</v>
      </c>
      <c r="I802" s="5">
        <v>456000</v>
      </c>
      <c r="J802" s="14">
        <v>456000</v>
      </c>
      <c r="K8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3" spans="1:11" hidden="1" x14ac:dyDescent="0.25">
      <c r="A803" s="5"/>
      <c r="B803" s="5"/>
      <c r="C803" s="5"/>
      <c r="G803" s="5"/>
      <c r="H803" s="5"/>
      <c r="I803" s="5"/>
      <c r="J803" s="14"/>
      <c r="K8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4" spans="1:11" x14ac:dyDescent="0.25">
      <c r="A804" s="5"/>
      <c r="B804" s="5" t="s">
        <v>440</v>
      </c>
      <c r="C804" s="5" t="s">
        <v>17</v>
      </c>
      <c r="D804">
        <v>500</v>
      </c>
      <c r="E804">
        <v>4</v>
      </c>
      <c r="F804">
        <v>25</v>
      </c>
      <c r="G804" s="5">
        <v>2</v>
      </c>
      <c r="H804" s="5">
        <v>0.1</v>
      </c>
      <c r="I804" s="5">
        <v>465000</v>
      </c>
      <c r="J804" s="14">
        <v>930000</v>
      </c>
      <c r="K8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5" spans="1:11" hidden="1" x14ac:dyDescent="0.25">
      <c r="A805" s="5"/>
      <c r="B805" s="5"/>
      <c r="C805" s="5"/>
      <c r="G805" s="5"/>
      <c r="H805" s="5"/>
      <c r="I805" s="5"/>
      <c r="J805" s="14"/>
      <c r="K8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6" spans="1:11" hidden="1" x14ac:dyDescent="0.25">
      <c r="A806" s="5"/>
      <c r="B806" s="5"/>
      <c r="C806" s="5"/>
      <c r="G806" s="5"/>
      <c r="H806" s="5"/>
      <c r="I806" s="5"/>
      <c r="J806" s="14"/>
      <c r="K8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7" spans="1:11" x14ac:dyDescent="0.25">
      <c r="A807" s="5" t="s">
        <v>160</v>
      </c>
      <c r="B807" s="5" t="s">
        <v>538</v>
      </c>
      <c r="C807" s="5" t="s">
        <v>161</v>
      </c>
      <c r="D807">
        <v>240</v>
      </c>
      <c r="E807">
        <v>4</v>
      </c>
      <c r="F807">
        <v>20</v>
      </c>
      <c r="G807" s="5">
        <v>1</v>
      </c>
      <c r="H807" s="5">
        <v>1.9199999999999998E-2</v>
      </c>
      <c r="I807" s="5">
        <v>456960</v>
      </c>
      <c r="J807" s="14">
        <v>456960</v>
      </c>
      <c r="K8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8" spans="1:11" hidden="1" x14ac:dyDescent="0.25">
      <c r="A808" s="5"/>
      <c r="B808" s="5"/>
      <c r="C808" s="5"/>
      <c r="G808" s="5"/>
      <c r="H808" s="5"/>
      <c r="I808" s="5"/>
      <c r="J808" s="14"/>
      <c r="K8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09" spans="1:11" hidden="1" x14ac:dyDescent="0.25">
      <c r="A809" s="5"/>
      <c r="B809" s="5"/>
      <c r="C809" s="5"/>
      <c r="G809" s="5"/>
      <c r="H809" s="5"/>
      <c r="I809" s="5"/>
      <c r="J809" s="14"/>
      <c r="K8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0" spans="1:11" x14ac:dyDescent="0.25">
      <c r="A810" s="5" t="s">
        <v>160</v>
      </c>
      <c r="B810" s="5" t="s">
        <v>438</v>
      </c>
      <c r="C810" s="5" t="s">
        <v>15</v>
      </c>
      <c r="D810">
        <v>400</v>
      </c>
      <c r="E810">
        <v>3</v>
      </c>
      <c r="F810">
        <v>25</v>
      </c>
      <c r="G810" s="5">
        <v>4</v>
      </c>
      <c r="H810" s="5">
        <v>0.12</v>
      </c>
      <c r="I810" s="5">
        <v>279000</v>
      </c>
      <c r="J810" s="14">
        <v>1116000</v>
      </c>
      <c r="K8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1" spans="1:11" hidden="1" x14ac:dyDescent="0.25">
      <c r="A811" s="5"/>
      <c r="B811" s="5"/>
      <c r="C811" s="5"/>
      <c r="G811" s="5"/>
      <c r="H811" s="5"/>
      <c r="I811" s="5"/>
      <c r="J811" s="14"/>
      <c r="K8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2" spans="1:11" hidden="1" x14ac:dyDescent="0.25">
      <c r="A812" s="5"/>
      <c r="B812" s="5"/>
      <c r="C812" s="5"/>
      <c r="G812" s="5"/>
      <c r="H812" s="5"/>
      <c r="I812" s="5"/>
      <c r="J812" s="14"/>
      <c r="K8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3" spans="1:11" x14ac:dyDescent="0.25">
      <c r="A813" s="5" t="s">
        <v>162</v>
      </c>
      <c r="B813" s="5" t="s">
        <v>539</v>
      </c>
      <c r="C813" s="5" t="s">
        <v>163</v>
      </c>
      <c r="D813">
        <v>400</v>
      </c>
      <c r="E813">
        <v>5</v>
      </c>
      <c r="F813">
        <v>7</v>
      </c>
      <c r="G813" s="5">
        <v>1</v>
      </c>
      <c r="H813" s="5">
        <v>1.4E-2</v>
      </c>
      <c r="I813" s="5">
        <v>116200</v>
      </c>
      <c r="J813" s="14">
        <v>116200</v>
      </c>
      <c r="K8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814" spans="1:11" hidden="1" x14ac:dyDescent="0.25">
      <c r="A814" s="5"/>
      <c r="B814" s="5"/>
      <c r="C814" s="5"/>
      <c r="G814" s="5"/>
      <c r="H814" s="5"/>
      <c r="I814" s="5"/>
      <c r="J814" s="14"/>
      <c r="K8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5" spans="1:11" x14ac:dyDescent="0.25">
      <c r="A815" s="5"/>
      <c r="B815" s="5" t="s">
        <v>455</v>
      </c>
      <c r="C815" s="5" t="s">
        <v>36</v>
      </c>
      <c r="D815">
        <v>400</v>
      </c>
      <c r="E815">
        <v>3</v>
      </c>
      <c r="F815">
        <v>20</v>
      </c>
      <c r="G815" s="5">
        <v>1</v>
      </c>
      <c r="H815" s="5">
        <v>2.4E-2</v>
      </c>
      <c r="I815" s="5">
        <v>220800</v>
      </c>
      <c r="J815" s="14">
        <v>220800</v>
      </c>
      <c r="K8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6" spans="1:11" hidden="1" x14ac:dyDescent="0.25">
      <c r="A816" s="5"/>
      <c r="B816" s="5"/>
      <c r="C816" s="5"/>
      <c r="G816" s="5"/>
      <c r="H816" s="5"/>
      <c r="I816" s="5"/>
      <c r="J816" s="14"/>
      <c r="K8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7" spans="1:11" hidden="1" x14ac:dyDescent="0.25">
      <c r="A817" s="5"/>
      <c r="B817" s="5"/>
      <c r="C817" s="5"/>
      <c r="G817" s="5"/>
      <c r="H817" s="5"/>
      <c r="I817" s="5"/>
      <c r="J817" s="14"/>
      <c r="K8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18" spans="1:11" x14ac:dyDescent="0.25">
      <c r="A818" s="5" t="s">
        <v>162</v>
      </c>
      <c r="B818" s="5" t="s">
        <v>517</v>
      </c>
      <c r="C818" s="5" t="s">
        <v>122</v>
      </c>
      <c r="D818">
        <v>400</v>
      </c>
      <c r="E818">
        <v>6</v>
      </c>
      <c r="F818">
        <v>15</v>
      </c>
      <c r="G818" s="5">
        <v>4</v>
      </c>
      <c r="H818" s="5">
        <v>0.14399999999999999</v>
      </c>
      <c r="I818" s="5">
        <v>795600</v>
      </c>
      <c r="J818" s="14">
        <v>3182400</v>
      </c>
      <c r="K8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19" spans="1:11" hidden="1" x14ac:dyDescent="0.25">
      <c r="A819" s="5"/>
      <c r="B819" s="5"/>
      <c r="C819" s="5"/>
      <c r="G819" s="5"/>
      <c r="H819" s="5"/>
      <c r="I819" s="5"/>
      <c r="J819" s="14"/>
      <c r="K8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0" spans="1:11" hidden="1" x14ac:dyDescent="0.25">
      <c r="A820" s="5"/>
      <c r="B820" s="5"/>
      <c r="C820" s="5"/>
      <c r="G820" s="5"/>
      <c r="H820" s="5"/>
      <c r="I820" s="5"/>
      <c r="J820" s="14"/>
      <c r="K8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1" spans="1:11" x14ac:dyDescent="0.25">
      <c r="A821" s="5" t="s">
        <v>164</v>
      </c>
      <c r="B821" s="5" t="s">
        <v>503</v>
      </c>
      <c r="C821" s="5" t="s">
        <v>99</v>
      </c>
      <c r="D821">
        <v>300</v>
      </c>
      <c r="E821">
        <v>6</v>
      </c>
      <c r="F821">
        <v>15</v>
      </c>
      <c r="G821" s="5">
        <v>10</v>
      </c>
      <c r="H821" s="5">
        <v>0.27</v>
      </c>
      <c r="I821" s="5">
        <v>234900</v>
      </c>
      <c r="J821" s="14">
        <v>2349000</v>
      </c>
      <c r="K8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22" spans="1:11" hidden="1" x14ac:dyDescent="0.25">
      <c r="A822" s="5"/>
      <c r="B822" s="5"/>
      <c r="C822" s="5"/>
      <c r="G822" s="5"/>
      <c r="H822" s="5"/>
      <c r="I822" s="5"/>
      <c r="J822" s="14"/>
      <c r="K8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3" spans="1:11" hidden="1" x14ac:dyDescent="0.25">
      <c r="A823" s="5"/>
      <c r="B823" s="5"/>
      <c r="C823" s="5"/>
      <c r="G823" s="5"/>
      <c r="H823" s="5"/>
      <c r="I823" s="5"/>
      <c r="J823" s="14"/>
      <c r="K8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4" spans="1:11" x14ac:dyDescent="0.25">
      <c r="A824" s="5" t="s">
        <v>165</v>
      </c>
      <c r="B824" s="5" t="s">
        <v>456</v>
      </c>
      <c r="C824" s="5" t="s">
        <v>37</v>
      </c>
      <c r="D824">
        <v>250</v>
      </c>
      <c r="E824">
        <v>4</v>
      </c>
      <c r="F824">
        <v>25</v>
      </c>
      <c r="G824" s="5">
        <v>3</v>
      </c>
      <c r="H824" s="5">
        <v>7.4999999999999997E-2</v>
      </c>
      <c r="I824" s="5">
        <v>597500</v>
      </c>
      <c r="J824" s="14">
        <v>1792500</v>
      </c>
      <c r="K8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5" spans="1:11" hidden="1" x14ac:dyDescent="0.25">
      <c r="A825" s="5"/>
      <c r="B825" s="5"/>
      <c r="C825" s="5"/>
      <c r="G825" s="5"/>
      <c r="H825" s="5"/>
      <c r="I825" s="5"/>
      <c r="J825" s="14"/>
      <c r="K8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6" spans="1:11" x14ac:dyDescent="0.25">
      <c r="A826" s="5"/>
      <c r="B826" s="5" t="s">
        <v>540</v>
      </c>
      <c r="C826" s="5" t="s">
        <v>166</v>
      </c>
      <c r="D826">
        <v>250</v>
      </c>
      <c r="E826">
        <v>4</v>
      </c>
      <c r="F826">
        <v>20</v>
      </c>
      <c r="G826" s="5">
        <v>2</v>
      </c>
      <c r="H826" s="5">
        <v>0.04</v>
      </c>
      <c r="I826" s="5">
        <v>476000</v>
      </c>
      <c r="J826" s="14">
        <v>952000</v>
      </c>
      <c r="K8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7" spans="1:11" hidden="1" x14ac:dyDescent="0.25">
      <c r="A827" s="5"/>
      <c r="B827" s="5"/>
      <c r="C827" s="5"/>
      <c r="G827" s="5"/>
      <c r="H827" s="5"/>
      <c r="I827" s="5"/>
      <c r="J827" s="14"/>
      <c r="K8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8" spans="1:11" hidden="1" x14ac:dyDescent="0.25">
      <c r="A828" s="5"/>
      <c r="B828" s="5"/>
      <c r="C828" s="5"/>
      <c r="G828" s="5"/>
      <c r="H828" s="5"/>
      <c r="I828" s="5"/>
      <c r="J828" s="14"/>
      <c r="K8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29" spans="1:11" x14ac:dyDescent="0.25">
      <c r="A829" s="5" t="s">
        <v>165</v>
      </c>
      <c r="B829" s="5" t="s">
        <v>438</v>
      </c>
      <c r="C829" s="5" t="s">
        <v>15</v>
      </c>
      <c r="D829">
        <v>400</v>
      </c>
      <c r="E829">
        <v>3</v>
      </c>
      <c r="F829">
        <v>25</v>
      </c>
      <c r="G829" s="5">
        <v>4</v>
      </c>
      <c r="H829" s="5">
        <v>0.12</v>
      </c>
      <c r="I829" s="5">
        <v>279000</v>
      </c>
      <c r="J829" s="14">
        <v>1116000</v>
      </c>
      <c r="K8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0" spans="1:11" hidden="1" x14ac:dyDescent="0.25">
      <c r="A830" s="5"/>
      <c r="B830" s="5"/>
      <c r="C830" s="5"/>
      <c r="G830" s="5"/>
      <c r="H830" s="5"/>
      <c r="I830" s="5"/>
      <c r="J830" s="14"/>
      <c r="K8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1" spans="1:11" x14ac:dyDescent="0.25">
      <c r="A831" s="5"/>
      <c r="B831" s="5" t="s">
        <v>443</v>
      </c>
      <c r="C831" s="5" t="s">
        <v>21</v>
      </c>
      <c r="D831">
        <v>400</v>
      </c>
      <c r="E831">
        <v>4</v>
      </c>
      <c r="F831">
        <v>25</v>
      </c>
      <c r="G831" s="5">
        <v>4</v>
      </c>
      <c r="H831" s="5">
        <v>0.16</v>
      </c>
      <c r="I831" s="5">
        <v>372000</v>
      </c>
      <c r="J831" s="14">
        <v>1488000</v>
      </c>
      <c r="K8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2" spans="1:11" hidden="1" x14ac:dyDescent="0.25">
      <c r="A832" s="5"/>
      <c r="B832" s="5"/>
      <c r="C832" s="5"/>
      <c r="G832" s="5"/>
      <c r="H832" s="5"/>
      <c r="I832" s="5"/>
      <c r="J832" s="14"/>
      <c r="K8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3" spans="1:11" hidden="1" x14ac:dyDescent="0.25">
      <c r="A833" s="5"/>
      <c r="B833" s="5"/>
      <c r="C833" s="5"/>
      <c r="G833" s="5"/>
      <c r="H833" s="5"/>
      <c r="I833" s="5"/>
      <c r="J833" s="14"/>
      <c r="K8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4" spans="1:11" x14ac:dyDescent="0.25">
      <c r="A834" s="5" t="s">
        <v>165</v>
      </c>
      <c r="B834" s="5" t="s">
        <v>504</v>
      </c>
      <c r="C834" s="5" t="s">
        <v>100</v>
      </c>
      <c r="D834">
        <v>250</v>
      </c>
      <c r="E834">
        <v>6</v>
      </c>
      <c r="F834">
        <v>15</v>
      </c>
      <c r="G834" s="5">
        <v>1</v>
      </c>
      <c r="H834" s="5">
        <v>2.2499999999999999E-2</v>
      </c>
      <c r="I834" s="5">
        <v>508500</v>
      </c>
      <c r="J834" s="14">
        <v>508500</v>
      </c>
      <c r="K8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35" spans="1:11" hidden="1" x14ac:dyDescent="0.25">
      <c r="A835" s="5"/>
      <c r="B835" s="5"/>
      <c r="C835" s="5"/>
      <c r="G835" s="5"/>
      <c r="H835" s="5"/>
      <c r="I835" s="5"/>
      <c r="J835" s="14"/>
      <c r="K8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6" spans="1:11" x14ac:dyDescent="0.25">
      <c r="A836" s="5"/>
      <c r="B836" s="5" t="s">
        <v>506</v>
      </c>
      <c r="C836" s="5" t="s">
        <v>103</v>
      </c>
      <c r="D836">
        <v>400</v>
      </c>
      <c r="E836">
        <v>3</v>
      </c>
      <c r="F836">
        <v>30</v>
      </c>
      <c r="G836" s="5">
        <v>1</v>
      </c>
      <c r="H836" s="5">
        <v>3.5999999999999997E-2</v>
      </c>
      <c r="I836" s="5">
        <v>878400</v>
      </c>
      <c r="J836" s="14">
        <v>878400</v>
      </c>
      <c r="K8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7" spans="1:11" hidden="1" x14ac:dyDescent="0.25">
      <c r="A837" s="5"/>
      <c r="B837" s="5"/>
      <c r="C837" s="5"/>
      <c r="G837" s="5"/>
      <c r="H837" s="5"/>
      <c r="I837" s="5"/>
      <c r="J837" s="14"/>
      <c r="K8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8" spans="1:11" x14ac:dyDescent="0.25">
      <c r="A838" s="5"/>
      <c r="B838" s="5" t="s">
        <v>507</v>
      </c>
      <c r="C838" s="5" t="s">
        <v>104</v>
      </c>
      <c r="D838">
        <v>400</v>
      </c>
      <c r="E838">
        <v>4</v>
      </c>
      <c r="F838">
        <v>25</v>
      </c>
      <c r="G838" s="5">
        <v>1</v>
      </c>
      <c r="H838" s="5">
        <v>0.04</v>
      </c>
      <c r="I838" s="5">
        <v>956000</v>
      </c>
      <c r="J838" s="14">
        <v>956000</v>
      </c>
      <c r="K8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39" spans="1:11" hidden="1" x14ac:dyDescent="0.25">
      <c r="A839" s="5"/>
      <c r="B839" s="5"/>
      <c r="C839" s="5"/>
      <c r="G839" s="5"/>
      <c r="H839" s="5"/>
      <c r="I839" s="5"/>
      <c r="J839" s="14"/>
      <c r="K8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0" spans="1:11" x14ac:dyDescent="0.25">
      <c r="A840" s="5"/>
      <c r="B840" s="5" t="s">
        <v>513</v>
      </c>
      <c r="C840" s="5" t="s">
        <v>114</v>
      </c>
      <c r="D840">
        <v>500</v>
      </c>
      <c r="E840">
        <v>3</v>
      </c>
      <c r="F840">
        <v>20</v>
      </c>
      <c r="G840" s="5">
        <v>1</v>
      </c>
      <c r="H840" s="5">
        <v>0.03</v>
      </c>
      <c r="I840" s="5">
        <v>729000</v>
      </c>
      <c r="J840" s="14">
        <v>729000</v>
      </c>
      <c r="K8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1" spans="1:11" hidden="1" x14ac:dyDescent="0.25">
      <c r="A841" s="5"/>
      <c r="B841" s="5"/>
      <c r="C841" s="5"/>
      <c r="G841" s="5"/>
      <c r="H841" s="5"/>
      <c r="I841" s="5"/>
      <c r="J841" s="14"/>
      <c r="K8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2" spans="1:11" hidden="1" x14ac:dyDescent="0.25">
      <c r="A842" s="5"/>
      <c r="B842" s="5"/>
      <c r="C842" s="5"/>
      <c r="G842" s="5"/>
      <c r="H842" s="5"/>
      <c r="I842" s="5"/>
      <c r="J842" s="14"/>
      <c r="K8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3" spans="1:11" x14ac:dyDescent="0.25">
      <c r="A843" s="5" t="s">
        <v>165</v>
      </c>
      <c r="B843" s="5" t="s">
        <v>507</v>
      </c>
      <c r="C843" s="5" t="s">
        <v>104</v>
      </c>
      <c r="D843">
        <v>400</v>
      </c>
      <c r="E843">
        <v>4</v>
      </c>
      <c r="F843">
        <v>25</v>
      </c>
      <c r="G843" s="5">
        <v>2</v>
      </c>
      <c r="H843" s="5">
        <v>0.08</v>
      </c>
      <c r="I843" s="5">
        <v>956000</v>
      </c>
      <c r="J843" s="14">
        <v>1912000</v>
      </c>
      <c r="K8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4" spans="1:11" hidden="1" x14ac:dyDescent="0.25">
      <c r="A844" s="5"/>
      <c r="B844" s="5"/>
      <c r="C844" s="5"/>
      <c r="G844" s="5"/>
      <c r="H844" s="5"/>
      <c r="I844" s="5"/>
      <c r="J844" s="14"/>
      <c r="K8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5" spans="1:11" x14ac:dyDescent="0.25">
      <c r="A845" s="5"/>
      <c r="B845" s="5" t="s">
        <v>541</v>
      </c>
      <c r="C845" s="5" t="s">
        <v>167</v>
      </c>
      <c r="D845">
        <v>110</v>
      </c>
      <c r="E845">
        <v>6</v>
      </c>
      <c r="F845">
        <v>15</v>
      </c>
      <c r="G845" s="5">
        <v>1</v>
      </c>
      <c r="H845" s="5">
        <v>9.9000000000000008E-3</v>
      </c>
      <c r="I845" s="5">
        <v>199980</v>
      </c>
      <c r="J845" s="14">
        <v>199980</v>
      </c>
      <c r="K8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46" spans="1:11" hidden="1" x14ac:dyDescent="0.25">
      <c r="A846" s="5"/>
      <c r="B846" s="5"/>
      <c r="C846" s="5"/>
      <c r="G846" s="5"/>
      <c r="H846" s="5"/>
      <c r="I846" s="5"/>
      <c r="J846" s="14"/>
      <c r="K8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7" spans="1:11" x14ac:dyDescent="0.25">
      <c r="A847" s="5"/>
      <c r="B847" s="5" t="s">
        <v>500</v>
      </c>
      <c r="C847" s="5" t="s">
        <v>95</v>
      </c>
      <c r="D847">
        <v>210</v>
      </c>
      <c r="E847">
        <v>6</v>
      </c>
      <c r="F847">
        <v>15</v>
      </c>
      <c r="G847" s="5">
        <v>2</v>
      </c>
      <c r="H847" s="5">
        <v>3.78E-2</v>
      </c>
      <c r="I847" s="5">
        <v>408240</v>
      </c>
      <c r="J847" s="14">
        <v>816480</v>
      </c>
      <c r="K8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48" spans="1:11" hidden="1" x14ac:dyDescent="0.25">
      <c r="A848" s="5"/>
      <c r="B848" s="5"/>
      <c r="C848" s="5"/>
      <c r="G848" s="5"/>
      <c r="H848" s="5"/>
      <c r="I848" s="5"/>
      <c r="J848" s="14"/>
      <c r="K8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49" spans="1:11" x14ac:dyDescent="0.25">
      <c r="A849" s="5"/>
      <c r="B849" s="5" t="s">
        <v>443</v>
      </c>
      <c r="C849" s="5" t="s">
        <v>21</v>
      </c>
      <c r="D849">
        <v>400</v>
      </c>
      <c r="E849">
        <v>4</v>
      </c>
      <c r="F849">
        <v>25</v>
      </c>
      <c r="G849" s="5">
        <v>10</v>
      </c>
      <c r="H849" s="5">
        <v>0.4</v>
      </c>
      <c r="I849" s="5">
        <v>372000</v>
      </c>
      <c r="J849" s="14">
        <v>3720000</v>
      </c>
      <c r="K8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0" spans="1:11" hidden="1" x14ac:dyDescent="0.25">
      <c r="A850" s="5"/>
      <c r="B850" s="5"/>
      <c r="C850" s="5"/>
      <c r="G850" s="5"/>
      <c r="H850" s="5"/>
      <c r="I850" s="5"/>
      <c r="J850" s="14"/>
      <c r="K8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1" spans="1:11" x14ac:dyDescent="0.25">
      <c r="A851" s="5"/>
      <c r="B851" s="5" t="s">
        <v>481</v>
      </c>
      <c r="C851" s="5" t="s">
        <v>68</v>
      </c>
      <c r="D851">
        <v>400</v>
      </c>
      <c r="E851">
        <v>6</v>
      </c>
      <c r="F851">
        <v>15</v>
      </c>
      <c r="G851" s="5">
        <v>5</v>
      </c>
      <c r="H851" s="5">
        <v>0.18</v>
      </c>
      <c r="I851" s="5">
        <v>313200</v>
      </c>
      <c r="J851" s="14">
        <v>1566000</v>
      </c>
      <c r="K8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52" spans="1:11" hidden="1" x14ac:dyDescent="0.25">
      <c r="A852" s="5"/>
      <c r="B852" s="5"/>
      <c r="C852" s="5"/>
      <c r="G852" s="5"/>
      <c r="H852" s="5"/>
      <c r="I852" s="5"/>
      <c r="J852" s="14"/>
      <c r="K8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3" spans="1:11" hidden="1" x14ac:dyDescent="0.25">
      <c r="A853" s="5"/>
      <c r="B853" s="5"/>
      <c r="C853" s="5"/>
      <c r="G853" s="5"/>
      <c r="H853" s="5"/>
      <c r="I853" s="5"/>
      <c r="J853" s="14"/>
      <c r="K8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4" spans="1:11" x14ac:dyDescent="0.25">
      <c r="A854" s="5" t="s">
        <v>168</v>
      </c>
      <c r="B854" s="5" t="s">
        <v>438</v>
      </c>
      <c r="C854" s="5" t="s">
        <v>15</v>
      </c>
      <c r="D854">
        <v>400</v>
      </c>
      <c r="E854">
        <v>3</v>
      </c>
      <c r="F854">
        <v>25</v>
      </c>
      <c r="G854" s="5">
        <v>6</v>
      </c>
      <c r="H854" s="5">
        <v>0.18</v>
      </c>
      <c r="I854" s="5">
        <v>279000</v>
      </c>
      <c r="J854" s="14">
        <v>1674000</v>
      </c>
      <c r="K8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5" spans="1:11" hidden="1" x14ac:dyDescent="0.25">
      <c r="A855" s="5"/>
      <c r="B855" s="5"/>
      <c r="C855" s="5"/>
      <c r="G855" s="5"/>
      <c r="H855" s="5"/>
      <c r="I855" s="5"/>
      <c r="J855" s="14"/>
      <c r="K8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6" spans="1:11" hidden="1" x14ac:dyDescent="0.25">
      <c r="A856" s="5"/>
      <c r="B856" s="5"/>
      <c r="C856" s="5"/>
      <c r="G856" s="5"/>
      <c r="H856" s="5"/>
      <c r="I856" s="5"/>
      <c r="J856" s="14"/>
      <c r="K8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7" spans="1:11" x14ac:dyDescent="0.25">
      <c r="A857" s="5" t="s">
        <v>168</v>
      </c>
      <c r="B857" s="5" t="s">
        <v>439</v>
      </c>
      <c r="C857" s="5" t="s">
        <v>16</v>
      </c>
      <c r="D857">
        <v>400</v>
      </c>
      <c r="E857">
        <v>3</v>
      </c>
      <c r="F857">
        <v>30</v>
      </c>
      <c r="G857" s="5">
        <v>20</v>
      </c>
      <c r="H857" s="5">
        <v>0.72</v>
      </c>
      <c r="I857" s="5">
        <v>342000</v>
      </c>
      <c r="J857" s="14">
        <v>6840000</v>
      </c>
      <c r="K8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8" spans="1:11" hidden="1" x14ac:dyDescent="0.25">
      <c r="A858" s="5"/>
      <c r="B858" s="5"/>
      <c r="C858" s="5"/>
      <c r="G858" s="5"/>
      <c r="H858" s="5"/>
      <c r="I858" s="5"/>
      <c r="J858" s="14"/>
      <c r="K8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59" spans="1:11" x14ac:dyDescent="0.25">
      <c r="A859" s="5"/>
      <c r="B859" s="5" t="s">
        <v>434</v>
      </c>
      <c r="C859" s="5" t="s">
        <v>10</v>
      </c>
      <c r="D859">
        <v>400</v>
      </c>
      <c r="E859">
        <v>4</v>
      </c>
      <c r="F859">
        <v>30</v>
      </c>
      <c r="G859" s="5">
        <v>5</v>
      </c>
      <c r="H859" s="5">
        <v>0.24</v>
      </c>
      <c r="I859" s="5">
        <v>456000</v>
      </c>
      <c r="J859" s="14">
        <v>2280000</v>
      </c>
      <c r="K8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0" spans="1:11" hidden="1" x14ac:dyDescent="0.25">
      <c r="A860" s="5"/>
      <c r="B860" s="5"/>
      <c r="C860" s="5"/>
      <c r="G860" s="5"/>
      <c r="H860" s="5"/>
      <c r="I860" s="5"/>
      <c r="J860" s="14"/>
      <c r="K8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1" spans="1:11" x14ac:dyDescent="0.25">
      <c r="A861" s="5"/>
      <c r="B861" s="5" t="s">
        <v>463</v>
      </c>
      <c r="C861" s="5" t="s">
        <v>45</v>
      </c>
      <c r="D861">
        <v>500</v>
      </c>
      <c r="E861">
        <v>4</v>
      </c>
      <c r="F861">
        <v>30</v>
      </c>
      <c r="G861" s="5">
        <v>9</v>
      </c>
      <c r="H861" s="5">
        <v>0.54</v>
      </c>
      <c r="I861" s="5">
        <v>570000</v>
      </c>
      <c r="J861" s="14">
        <v>5130000</v>
      </c>
      <c r="K8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2" spans="1:11" hidden="1" x14ac:dyDescent="0.25">
      <c r="A862" s="5"/>
      <c r="B862" s="5"/>
      <c r="C862" s="5"/>
      <c r="G862" s="5"/>
      <c r="H862" s="5"/>
      <c r="I862" s="5"/>
      <c r="J862" s="14"/>
      <c r="K8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3" spans="1:11" hidden="1" x14ac:dyDescent="0.25">
      <c r="A863" s="5"/>
      <c r="B863" s="5"/>
      <c r="C863" s="5"/>
      <c r="G863" s="5"/>
      <c r="H863" s="5"/>
      <c r="I863" s="5"/>
      <c r="J863" s="14"/>
      <c r="K8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4" spans="1:11" x14ac:dyDescent="0.25">
      <c r="A864" s="5" t="s">
        <v>168</v>
      </c>
      <c r="B864" s="5" t="s">
        <v>449</v>
      </c>
      <c r="C864" s="5" t="s">
        <v>28</v>
      </c>
      <c r="D864">
        <v>260</v>
      </c>
      <c r="E864">
        <v>6</v>
      </c>
      <c r="F864">
        <v>15</v>
      </c>
      <c r="G864" s="5">
        <v>1</v>
      </c>
      <c r="H864" s="5">
        <v>2.3400000000000001E-2</v>
      </c>
      <c r="I864" s="5">
        <v>505440</v>
      </c>
      <c r="J864" s="14">
        <v>505440</v>
      </c>
      <c r="K8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65" spans="1:11" hidden="1" x14ac:dyDescent="0.25">
      <c r="A865" s="5"/>
      <c r="B865" s="5"/>
      <c r="C865" s="5"/>
      <c r="G865" s="5"/>
      <c r="H865" s="5"/>
      <c r="I865" s="5"/>
      <c r="J865" s="14"/>
      <c r="K8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6" spans="1:11" hidden="1" x14ac:dyDescent="0.25">
      <c r="A866" s="5"/>
      <c r="B866" s="5"/>
      <c r="C866" s="5"/>
      <c r="G866" s="5"/>
      <c r="H866" s="5"/>
      <c r="I866" s="5"/>
      <c r="J866" s="14"/>
      <c r="K8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7" spans="1:11" x14ac:dyDescent="0.25">
      <c r="A867" s="5" t="s">
        <v>169</v>
      </c>
      <c r="B867" s="5" t="s">
        <v>532</v>
      </c>
      <c r="C867" s="5" t="s">
        <v>150</v>
      </c>
      <c r="D867">
        <v>280</v>
      </c>
      <c r="E867">
        <v>6</v>
      </c>
      <c r="F867">
        <v>15</v>
      </c>
      <c r="G867" s="5">
        <v>1</v>
      </c>
      <c r="H867" s="5">
        <v>2.52E-2</v>
      </c>
      <c r="I867" s="5">
        <v>544320</v>
      </c>
      <c r="J867" s="14">
        <v>544320</v>
      </c>
      <c r="K8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68" spans="1:11" hidden="1" x14ac:dyDescent="0.25">
      <c r="A868" s="5"/>
      <c r="B868" s="5"/>
      <c r="C868" s="5"/>
      <c r="G868" s="5"/>
      <c r="H868" s="5"/>
      <c r="I868" s="5"/>
      <c r="J868" s="14"/>
      <c r="K8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69" spans="1:11" hidden="1" x14ac:dyDescent="0.25">
      <c r="A869" s="5"/>
      <c r="B869" s="5"/>
      <c r="C869" s="5"/>
      <c r="G869" s="5"/>
      <c r="H869" s="5"/>
      <c r="I869" s="5"/>
      <c r="J869" s="14"/>
      <c r="K8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0" spans="1:11" x14ac:dyDescent="0.25">
      <c r="A870" s="5" t="s">
        <v>169</v>
      </c>
      <c r="B870" s="5" t="s">
        <v>439</v>
      </c>
      <c r="C870" s="5" t="s">
        <v>16</v>
      </c>
      <c r="D870">
        <v>400</v>
      </c>
      <c r="E870">
        <v>3</v>
      </c>
      <c r="F870">
        <v>30</v>
      </c>
      <c r="G870" s="5">
        <v>4</v>
      </c>
      <c r="H870" s="5">
        <v>0.14399999999999999</v>
      </c>
      <c r="I870" s="5">
        <v>342000</v>
      </c>
      <c r="J870" s="14">
        <v>1368000</v>
      </c>
      <c r="K8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1" spans="1:11" hidden="1" x14ac:dyDescent="0.25">
      <c r="A871" s="5"/>
      <c r="B871" s="5"/>
      <c r="C871" s="5"/>
      <c r="G871" s="5"/>
      <c r="H871" s="5"/>
      <c r="I871" s="5"/>
      <c r="J871" s="14"/>
      <c r="K8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2" spans="1:11" x14ac:dyDescent="0.25">
      <c r="A872" s="5"/>
      <c r="B872" s="5" t="s">
        <v>433</v>
      </c>
      <c r="C872" s="5" t="s">
        <v>9</v>
      </c>
      <c r="D872">
        <v>400</v>
      </c>
      <c r="E872">
        <v>4</v>
      </c>
      <c r="F872">
        <v>20</v>
      </c>
      <c r="G872" s="5">
        <v>2</v>
      </c>
      <c r="H872" s="5">
        <v>6.4000000000000001E-2</v>
      </c>
      <c r="I872" s="5">
        <v>294400</v>
      </c>
      <c r="J872" s="14">
        <v>588800</v>
      </c>
      <c r="K8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3" spans="1:11" hidden="1" x14ac:dyDescent="0.25">
      <c r="A873" s="5"/>
      <c r="B873" s="5"/>
      <c r="C873" s="5"/>
      <c r="G873" s="5"/>
      <c r="H873" s="5"/>
      <c r="I873" s="5"/>
      <c r="J873" s="14"/>
      <c r="K8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4" spans="1:11" x14ac:dyDescent="0.25">
      <c r="A874" s="5"/>
      <c r="B874" s="5" t="s">
        <v>443</v>
      </c>
      <c r="C874" s="5" t="s">
        <v>21</v>
      </c>
      <c r="D874">
        <v>400</v>
      </c>
      <c r="E874">
        <v>4</v>
      </c>
      <c r="F874">
        <v>25</v>
      </c>
      <c r="G874" s="5">
        <v>5</v>
      </c>
      <c r="H874" s="5">
        <v>0.2</v>
      </c>
      <c r="I874" s="5">
        <v>372000</v>
      </c>
      <c r="J874" s="14">
        <v>1860000</v>
      </c>
      <c r="K8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5" spans="1:11" hidden="1" x14ac:dyDescent="0.25">
      <c r="A875" s="5"/>
      <c r="B875" s="5"/>
      <c r="C875" s="5"/>
      <c r="G875" s="5"/>
      <c r="H875" s="5"/>
      <c r="I875" s="5"/>
      <c r="J875" s="14"/>
      <c r="K8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6" spans="1:11" hidden="1" x14ac:dyDescent="0.25">
      <c r="A876" s="5"/>
      <c r="B876" s="5"/>
      <c r="C876" s="5"/>
      <c r="G876" s="5"/>
      <c r="H876" s="5"/>
      <c r="I876" s="5"/>
      <c r="J876" s="14"/>
      <c r="K8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7" spans="1:11" x14ac:dyDescent="0.25">
      <c r="A877" s="5" t="s">
        <v>169</v>
      </c>
      <c r="B877" s="5" t="s">
        <v>542</v>
      </c>
      <c r="C877" s="5" t="s">
        <v>170</v>
      </c>
      <c r="D877">
        <v>400</v>
      </c>
      <c r="E877">
        <v>12</v>
      </c>
      <c r="F877">
        <v>12</v>
      </c>
      <c r="G877" s="5">
        <v>1</v>
      </c>
      <c r="H877" s="5">
        <v>5.7599999999999998E-2</v>
      </c>
      <c r="I877" s="5">
        <v>691200</v>
      </c>
      <c r="J877" s="14">
        <v>691200</v>
      </c>
      <c r="K8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878" spans="1:11" hidden="1" x14ac:dyDescent="0.25">
      <c r="A878" s="5"/>
      <c r="B878" s="5"/>
      <c r="C878" s="5"/>
      <c r="G878" s="5"/>
      <c r="H878" s="5"/>
      <c r="I878" s="5"/>
      <c r="J878" s="14"/>
      <c r="K8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79" spans="1:11" hidden="1" x14ac:dyDescent="0.25">
      <c r="A879" s="5"/>
      <c r="B879" s="5"/>
      <c r="C879" s="5"/>
      <c r="G879" s="5"/>
      <c r="H879" s="5"/>
      <c r="I879" s="5"/>
      <c r="J879" s="14"/>
      <c r="K8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0" spans="1:11" x14ac:dyDescent="0.25">
      <c r="A880" s="5" t="s">
        <v>169</v>
      </c>
      <c r="B880" s="5" t="s">
        <v>439</v>
      </c>
      <c r="C880" s="5" t="s">
        <v>16</v>
      </c>
      <c r="D880">
        <v>400</v>
      </c>
      <c r="E880">
        <v>3</v>
      </c>
      <c r="F880">
        <v>30</v>
      </c>
      <c r="G880" s="5">
        <v>3</v>
      </c>
      <c r="H880" s="5">
        <v>0.108</v>
      </c>
      <c r="I880" s="5">
        <v>351000</v>
      </c>
      <c r="J880" s="14">
        <v>1053000</v>
      </c>
      <c r="K8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1" spans="1:11" hidden="1" x14ac:dyDescent="0.25">
      <c r="A881" s="5"/>
      <c r="B881" s="5"/>
      <c r="C881" s="5"/>
      <c r="G881" s="5"/>
      <c r="H881" s="5"/>
      <c r="I881" s="5"/>
      <c r="J881" s="14"/>
      <c r="K8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2" spans="1:11" x14ac:dyDescent="0.25">
      <c r="A882" s="5"/>
      <c r="B882" s="5" t="s">
        <v>481</v>
      </c>
      <c r="C882" s="5" t="s">
        <v>68</v>
      </c>
      <c r="D882">
        <v>400</v>
      </c>
      <c r="E882">
        <v>6</v>
      </c>
      <c r="F882">
        <v>15</v>
      </c>
      <c r="G882" s="5">
        <v>20</v>
      </c>
      <c r="H882" s="5">
        <v>0.72</v>
      </c>
      <c r="I882" s="5">
        <v>322200</v>
      </c>
      <c r="J882" s="14">
        <v>6444000</v>
      </c>
      <c r="K8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83" spans="1:11" hidden="1" x14ac:dyDescent="0.25">
      <c r="A883" s="5"/>
      <c r="B883" s="5"/>
      <c r="C883" s="5"/>
      <c r="G883" s="5"/>
      <c r="H883" s="5"/>
      <c r="I883" s="5"/>
      <c r="J883" s="14"/>
      <c r="K8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4" spans="1:11" hidden="1" x14ac:dyDescent="0.25">
      <c r="A884" s="5"/>
      <c r="B884" s="5"/>
      <c r="C884" s="5"/>
      <c r="G884" s="5"/>
      <c r="H884" s="5"/>
      <c r="I884" s="5"/>
      <c r="J884" s="14"/>
      <c r="K8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5" spans="1:11" x14ac:dyDescent="0.25">
      <c r="A885" s="5" t="s">
        <v>171</v>
      </c>
      <c r="B885" s="5" t="s">
        <v>439</v>
      </c>
      <c r="C885" s="5" t="s">
        <v>16</v>
      </c>
      <c r="D885">
        <v>400</v>
      </c>
      <c r="E885">
        <v>3</v>
      </c>
      <c r="F885">
        <v>30</v>
      </c>
      <c r="G885" s="5">
        <v>2</v>
      </c>
      <c r="H885" s="5">
        <v>7.1999999999999995E-2</v>
      </c>
      <c r="I885" s="5">
        <v>342000</v>
      </c>
      <c r="J885" s="14">
        <v>684000</v>
      </c>
      <c r="K8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6" spans="1:11" hidden="1" x14ac:dyDescent="0.25">
      <c r="A886" s="5"/>
      <c r="B886" s="5"/>
      <c r="C886" s="5"/>
      <c r="G886" s="5"/>
      <c r="H886" s="5"/>
      <c r="I886" s="5"/>
      <c r="J886" s="14"/>
      <c r="K8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7" spans="1:11" x14ac:dyDescent="0.25">
      <c r="A887" s="5"/>
      <c r="B887" s="5" t="s">
        <v>433</v>
      </c>
      <c r="C887" s="5" t="s">
        <v>9</v>
      </c>
      <c r="D887">
        <v>400</v>
      </c>
      <c r="E887">
        <v>4</v>
      </c>
      <c r="F887">
        <v>20</v>
      </c>
      <c r="G887" s="5">
        <v>1</v>
      </c>
      <c r="H887" s="5">
        <v>3.2000000000000001E-2</v>
      </c>
      <c r="I887" s="5">
        <v>294400</v>
      </c>
      <c r="J887" s="14">
        <v>294400</v>
      </c>
      <c r="K8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8" spans="1:11" hidden="1" x14ac:dyDescent="0.25">
      <c r="A888" s="5"/>
      <c r="B888" s="5"/>
      <c r="C888" s="5"/>
      <c r="G888" s="5"/>
      <c r="H888" s="5"/>
      <c r="I888" s="5"/>
      <c r="J888" s="14"/>
      <c r="K8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89" spans="1:11" x14ac:dyDescent="0.25">
      <c r="A889" s="5"/>
      <c r="B889" s="5" t="s">
        <v>443</v>
      </c>
      <c r="C889" s="5" t="s">
        <v>21</v>
      </c>
      <c r="D889">
        <v>400</v>
      </c>
      <c r="E889">
        <v>4</v>
      </c>
      <c r="F889">
        <v>25</v>
      </c>
      <c r="G889" s="5">
        <v>4</v>
      </c>
      <c r="H889" s="5">
        <v>0.16</v>
      </c>
      <c r="I889" s="5">
        <v>372000</v>
      </c>
      <c r="J889" s="14">
        <v>1488000</v>
      </c>
      <c r="K8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0" spans="1:11" hidden="1" x14ac:dyDescent="0.25">
      <c r="A890" s="5"/>
      <c r="B890" s="5"/>
      <c r="C890" s="5"/>
      <c r="G890" s="5"/>
      <c r="H890" s="5"/>
      <c r="I890" s="5"/>
      <c r="J890" s="14"/>
      <c r="K8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1" spans="1:11" x14ac:dyDescent="0.25">
      <c r="A891" s="5"/>
      <c r="B891" s="5" t="s">
        <v>491</v>
      </c>
      <c r="C891" s="5" t="s">
        <v>83</v>
      </c>
      <c r="D891">
        <v>450</v>
      </c>
      <c r="E891">
        <v>6</v>
      </c>
      <c r="F891">
        <v>15</v>
      </c>
      <c r="G891" s="5">
        <v>3</v>
      </c>
      <c r="H891" s="5">
        <v>0.1215</v>
      </c>
      <c r="I891" s="5">
        <v>372600</v>
      </c>
      <c r="J891" s="14">
        <v>1117800</v>
      </c>
      <c r="K8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92" spans="1:11" hidden="1" x14ac:dyDescent="0.25">
      <c r="A892" s="5"/>
      <c r="B892" s="5"/>
      <c r="C892" s="5"/>
      <c r="G892" s="5"/>
      <c r="H892" s="5"/>
      <c r="I892" s="5"/>
      <c r="J892" s="14"/>
      <c r="K8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3" spans="1:11" x14ac:dyDescent="0.25">
      <c r="A893" s="5"/>
      <c r="B893" s="5" t="s">
        <v>471</v>
      </c>
      <c r="C893" s="5" t="s">
        <v>56</v>
      </c>
      <c r="D893">
        <v>500</v>
      </c>
      <c r="E893">
        <v>5</v>
      </c>
      <c r="F893">
        <v>15</v>
      </c>
      <c r="G893" s="5">
        <v>3</v>
      </c>
      <c r="H893" s="5">
        <v>0.1125</v>
      </c>
      <c r="I893" s="5">
        <v>360000</v>
      </c>
      <c r="J893" s="14">
        <v>1080000</v>
      </c>
      <c r="K8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94" spans="1:11" hidden="1" x14ac:dyDescent="0.25">
      <c r="A894" s="5"/>
      <c r="B894" s="5"/>
      <c r="C894" s="5"/>
      <c r="G894" s="5"/>
      <c r="H894" s="5"/>
      <c r="I894" s="5"/>
      <c r="J894" s="14"/>
      <c r="K8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5" spans="1:11" hidden="1" x14ac:dyDescent="0.25">
      <c r="A895" s="5"/>
      <c r="B895" s="5"/>
      <c r="C895" s="5"/>
      <c r="G895" s="5"/>
      <c r="H895" s="5"/>
      <c r="I895" s="5"/>
      <c r="J895" s="14"/>
      <c r="K8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6" spans="1:11" x14ac:dyDescent="0.25">
      <c r="A896" s="5" t="s">
        <v>171</v>
      </c>
      <c r="B896" s="5" t="s">
        <v>490</v>
      </c>
      <c r="C896" s="5" t="s">
        <v>82</v>
      </c>
      <c r="D896">
        <v>250</v>
      </c>
      <c r="E896">
        <v>6</v>
      </c>
      <c r="F896">
        <v>15</v>
      </c>
      <c r="G896" s="5">
        <v>4</v>
      </c>
      <c r="H896" s="5">
        <v>0.09</v>
      </c>
      <c r="I896" s="5">
        <v>207000</v>
      </c>
      <c r="J896" s="14">
        <v>828000</v>
      </c>
      <c r="K8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897" spans="1:11" hidden="1" x14ac:dyDescent="0.25">
      <c r="A897" s="5"/>
      <c r="B897" s="11"/>
      <c r="C897" s="5"/>
      <c r="J897" s="1"/>
      <c r="K8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8" spans="1:11" hidden="1" x14ac:dyDescent="0.25">
      <c r="A898" s="5"/>
      <c r="B898" s="11"/>
      <c r="C898" s="5"/>
      <c r="G898" s="5"/>
      <c r="H898" s="5"/>
      <c r="I898" s="5"/>
      <c r="J898" s="14"/>
      <c r="K8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899" spans="1:11" x14ac:dyDescent="0.25">
      <c r="A899" s="11" t="s">
        <v>172</v>
      </c>
      <c r="B899" s="11" t="s">
        <v>486</v>
      </c>
      <c r="C899" s="5" t="s">
        <v>76</v>
      </c>
      <c r="D899">
        <v>400</v>
      </c>
      <c r="E899">
        <v>3</v>
      </c>
      <c r="F899">
        <v>25</v>
      </c>
      <c r="G899" s="11">
        <v>3</v>
      </c>
      <c r="H899" s="5">
        <v>0.09</v>
      </c>
      <c r="I899" s="11">
        <v>717000</v>
      </c>
      <c r="J899" s="20">
        <v>2151000</v>
      </c>
      <c r="K8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0" spans="1:11" hidden="1" x14ac:dyDescent="0.25">
      <c r="A900" s="11"/>
      <c r="B900" s="11"/>
      <c r="C900" s="5"/>
      <c r="G900" s="11"/>
      <c r="H900" s="5"/>
      <c r="I900" s="11"/>
      <c r="J900" s="20"/>
      <c r="K9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1" spans="1:11" x14ac:dyDescent="0.25">
      <c r="A901" s="11"/>
      <c r="B901" s="11" t="s">
        <v>506</v>
      </c>
      <c r="C901" s="5" t="s">
        <v>103</v>
      </c>
      <c r="D901">
        <v>400</v>
      </c>
      <c r="E901">
        <v>3</v>
      </c>
      <c r="F901">
        <v>30</v>
      </c>
      <c r="G901" s="11">
        <v>7</v>
      </c>
      <c r="H901" s="5">
        <v>0.252</v>
      </c>
      <c r="I901" s="11">
        <v>878400</v>
      </c>
      <c r="J901" s="20">
        <v>6148800</v>
      </c>
      <c r="K9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2" spans="1:11" hidden="1" x14ac:dyDescent="0.25">
      <c r="A902" s="11"/>
      <c r="B902" s="11"/>
      <c r="C902" s="5"/>
      <c r="G902" s="11"/>
      <c r="H902" s="5"/>
      <c r="I902" s="11"/>
      <c r="J902" s="20"/>
      <c r="K9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3" spans="1:11" x14ac:dyDescent="0.25">
      <c r="A903" s="11"/>
      <c r="B903" s="11" t="s">
        <v>487</v>
      </c>
      <c r="C903" s="5" t="s">
        <v>77</v>
      </c>
      <c r="D903">
        <v>250</v>
      </c>
      <c r="E903">
        <v>4</v>
      </c>
      <c r="F903">
        <v>30</v>
      </c>
      <c r="G903" s="11">
        <v>12</v>
      </c>
      <c r="H903" s="5">
        <v>0.36</v>
      </c>
      <c r="I903" s="11">
        <v>732000</v>
      </c>
      <c r="J903" s="20">
        <v>8784000</v>
      </c>
      <c r="K9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4" spans="1:11" hidden="1" x14ac:dyDescent="0.25">
      <c r="A904" s="11"/>
      <c r="B904" s="11"/>
      <c r="C904" s="5"/>
      <c r="G904" s="11"/>
      <c r="H904" s="5"/>
      <c r="I904" s="11"/>
      <c r="J904" s="20"/>
      <c r="K9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5" spans="1:11" hidden="1" x14ac:dyDescent="0.25">
      <c r="A905" s="11"/>
      <c r="B905" s="11"/>
      <c r="C905" s="5"/>
      <c r="G905" s="11"/>
      <c r="H905" s="5"/>
      <c r="I905" s="11"/>
      <c r="J905" s="20"/>
      <c r="K9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6" spans="1:11" x14ac:dyDescent="0.25">
      <c r="A906" s="11" t="s">
        <v>173</v>
      </c>
      <c r="B906" s="11" t="s">
        <v>439</v>
      </c>
      <c r="C906" s="5" t="s">
        <v>16</v>
      </c>
      <c r="D906">
        <v>400</v>
      </c>
      <c r="E906">
        <v>3</v>
      </c>
      <c r="F906">
        <v>30</v>
      </c>
      <c r="G906" s="11">
        <v>2</v>
      </c>
      <c r="H906" s="5">
        <v>7.1999999999999995E-2</v>
      </c>
      <c r="I906" s="11">
        <v>342000</v>
      </c>
      <c r="J906" s="20">
        <v>684000</v>
      </c>
      <c r="K9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7" spans="1:11" hidden="1" x14ac:dyDescent="0.25">
      <c r="A907" s="11"/>
      <c r="B907" s="11"/>
      <c r="C907" s="5"/>
      <c r="G907" s="11"/>
      <c r="H907" s="5"/>
      <c r="I907" s="11"/>
      <c r="J907" s="20"/>
      <c r="K9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8" spans="1:11" x14ac:dyDescent="0.25">
      <c r="A908" s="11"/>
      <c r="B908" s="11" t="s">
        <v>440</v>
      </c>
      <c r="C908" s="5" t="s">
        <v>17</v>
      </c>
      <c r="D908">
        <v>500</v>
      </c>
      <c r="E908">
        <v>4</v>
      </c>
      <c r="F908">
        <v>25</v>
      </c>
      <c r="G908" s="11">
        <v>3</v>
      </c>
      <c r="H908" s="5">
        <v>0.15</v>
      </c>
      <c r="I908" s="11">
        <v>465000</v>
      </c>
      <c r="J908" s="20">
        <v>1395000</v>
      </c>
      <c r="K9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09" spans="1:11" hidden="1" x14ac:dyDescent="0.25">
      <c r="A909" s="11"/>
      <c r="B909" s="11"/>
      <c r="C909" s="5"/>
      <c r="G909" s="11"/>
      <c r="H909" s="5"/>
      <c r="I909" s="11"/>
      <c r="J909" s="20"/>
      <c r="K9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0" spans="1:11" hidden="1" x14ac:dyDescent="0.25">
      <c r="A910" s="11"/>
      <c r="B910" s="11"/>
      <c r="C910" s="5"/>
      <c r="G910" s="11"/>
      <c r="H910" s="5"/>
      <c r="I910" s="11"/>
      <c r="J910" s="20"/>
      <c r="K9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1" spans="1:11" x14ac:dyDescent="0.25">
      <c r="A911" s="11" t="s">
        <v>173</v>
      </c>
      <c r="B911" s="11" t="s">
        <v>543</v>
      </c>
      <c r="C911" s="5" t="s">
        <v>174</v>
      </c>
      <c r="D911">
        <v>300</v>
      </c>
      <c r="E911">
        <v>6</v>
      </c>
      <c r="F911">
        <v>17</v>
      </c>
      <c r="G911" s="11">
        <v>5</v>
      </c>
      <c r="H911" s="5">
        <v>0.153</v>
      </c>
      <c r="I911" s="11">
        <v>691560</v>
      </c>
      <c r="J911" s="20">
        <v>3457800</v>
      </c>
      <c r="K9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12" spans="1:11" hidden="1" x14ac:dyDescent="0.25">
      <c r="A912" s="11"/>
      <c r="B912" s="11"/>
      <c r="C912" s="5"/>
      <c r="G912" s="11"/>
      <c r="H912" s="5"/>
      <c r="I912" s="11"/>
      <c r="J912" s="20"/>
      <c r="K9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3" spans="1:11" hidden="1" x14ac:dyDescent="0.25">
      <c r="A913" s="11"/>
      <c r="B913" s="11"/>
      <c r="C913" s="5"/>
      <c r="G913" s="11"/>
      <c r="H913" s="5"/>
      <c r="I913" s="11"/>
      <c r="J913" s="20"/>
      <c r="K9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4" spans="1:11" x14ac:dyDescent="0.25">
      <c r="A914" s="11" t="s">
        <v>173</v>
      </c>
      <c r="B914" s="11" t="s">
        <v>503</v>
      </c>
      <c r="C914" s="5" t="s">
        <v>99</v>
      </c>
      <c r="D914">
        <v>300</v>
      </c>
      <c r="E914">
        <v>6</v>
      </c>
      <c r="F914">
        <v>15</v>
      </c>
      <c r="G914" s="11">
        <v>4</v>
      </c>
      <c r="H914" s="5">
        <v>0.108</v>
      </c>
      <c r="I914" s="11">
        <v>234900</v>
      </c>
      <c r="J914" s="20">
        <v>939600</v>
      </c>
      <c r="K9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15" spans="1:11" hidden="1" x14ac:dyDescent="0.25">
      <c r="A915" s="11"/>
      <c r="B915" s="11"/>
      <c r="C915" s="5"/>
      <c r="G915" s="11"/>
      <c r="H915" s="5"/>
      <c r="I915" s="11"/>
      <c r="J915" s="20"/>
      <c r="K9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6" spans="1:11" x14ac:dyDescent="0.25">
      <c r="A916" s="11"/>
      <c r="B916" s="11" t="s">
        <v>439</v>
      </c>
      <c r="C916" s="5" t="s">
        <v>16</v>
      </c>
      <c r="D916">
        <v>400</v>
      </c>
      <c r="E916">
        <v>3</v>
      </c>
      <c r="F916">
        <v>30</v>
      </c>
      <c r="G916" s="11">
        <v>2</v>
      </c>
      <c r="H916" s="5">
        <v>7.1999999999999995E-2</v>
      </c>
      <c r="I916" s="11">
        <v>342000</v>
      </c>
      <c r="J916" s="20">
        <v>684000</v>
      </c>
      <c r="K9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7" spans="1:11" hidden="1" x14ac:dyDescent="0.25">
      <c r="A917" s="11"/>
      <c r="B917" s="11"/>
      <c r="C917" s="5"/>
      <c r="G917" s="11"/>
      <c r="H917" s="5"/>
      <c r="I917" s="11"/>
      <c r="J917" s="20"/>
      <c r="K9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8" spans="1:11" x14ac:dyDescent="0.25">
      <c r="A918" s="11"/>
      <c r="B918" s="11" t="s">
        <v>433</v>
      </c>
      <c r="C918" s="5" t="s">
        <v>9</v>
      </c>
      <c r="D918">
        <v>400</v>
      </c>
      <c r="E918">
        <v>4</v>
      </c>
      <c r="F918">
        <v>20</v>
      </c>
      <c r="G918" s="11">
        <v>4</v>
      </c>
      <c r="H918" s="5">
        <v>0.128</v>
      </c>
      <c r="I918" s="11">
        <v>294400</v>
      </c>
      <c r="J918" s="20">
        <v>1177600</v>
      </c>
      <c r="K9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19" spans="1:11" hidden="1" x14ac:dyDescent="0.25">
      <c r="A919" s="11"/>
      <c r="B919" s="11"/>
      <c r="C919" s="5"/>
      <c r="G919" s="11"/>
      <c r="H919" s="5"/>
      <c r="I919" s="11"/>
      <c r="J919" s="20"/>
      <c r="K9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0" spans="1:11" x14ac:dyDescent="0.25">
      <c r="A920" s="11"/>
      <c r="B920" s="11" t="s">
        <v>453</v>
      </c>
      <c r="C920" s="5" t="s">
        <v>34</v>
      </c>
      <c r="D920">
        <v>400</v>
      </c>
      <c r="E920">
        <v>5</v>
      </c>
      <c r="F920">
        <v>20</v>
      </c>
      <c r="G920" s="11">
        <v>1</v>
      </c>
      <c r="H920" s="5">
        <v>0.04</v>
      </c>
      <c r="I920" s="11">
        <v>380000</v>
      </c>
      <c r="J920" s="20">
        <v>380000</v>
      </c>
      <c r="K9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921" spans="1:11" hidden="1" x14ac:dyDescent="0.25">
      <c r="A921" s="11"/>
      <c r="B921" s="11"/>
      <c r="C921" s="5"/>
      <c r="G921" s="11"/>
      <c r="H921" s="5"/>
      <c r="I921" s="11"/>
      <c r="J921" s="20"/>
      <c r="K9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2" spans="1:11" x14ac:dyDescent="0.25">
      <c r="A922" s="11"/>
      <c r="B922" s="11" t="s">
        <v>435</v>
      </c>
      <c r="C922" s="5" t="s">
        <v>11</v>
      </c>
      <c r="D922">
        <v>400</v>
      </c>
      <c r="E922">
        <v>6</v>
      </c>
      <c r="F922">
        <v>12</v>
      </c>
      <c r="G922" s="11">
        <v>2</v>
      </c>
      <c r="H922" s="5">
        <v>5.7599999999999998E-2</v>
      </c>
      <c r="I922" s="11">
        <v>250560</v>
      </c>
      <c r="J922" s="20">
        <v>501120</v>
      </c>
      <c r="K9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23" spans="1:11" hidden="1" x14ac:dyDescent="0.25">
      <c r="A923" s="11"/>
      <c r="B923" s="11"/>
      <c r="C923" s="5"/>
      <c r="G923" s="11"/>
      <c r="H923" s="5"/>
      <c r="I923" s="11"/>
      <c r="J923" s="20"/>
      <c r="K9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4" spans="1:11" hidden="1" x14ac:dyDescent="0.25">
      <c r="A924" s="11"/>
      <c r="B924" s="11"/>
      <c r="C924" s="5"/>
      <c r="G924" s="11"/>
      <c r="H924" s="5"/>
      <c r="I924" s="11"/>
      <c r="J924" s="20"/>
      <c r="K9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5" spans="1:11" x14ac:dyDescent="0.25">
      <c r="A925" s="11" t="s">
        <v>175</v>
      </c>
      <c r="B925" s="11" t="s">
        <v>492</v>
      </c>
      <c r="C925" s="5" t="s">
        <v>84</v>
      </c>
      <c r="D925">
        <v>400</v>
      </c>
      <c r="E925">
        <v>4</v>
      </c>
      <c r="F925">
        <v>6</v>
      </c>
      <c r="G925" s="11">
        <v>5</v>
      </c>
      <c r="H925" s="5">
        <v>4.8000000000000001E-2</v>
      </c>
      <c r="I925" s="11">
        <v>79680</v>
      </c>
      <c r="J925" s="20">
        <v>398400</v>
      </c>
      <c r="K9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6" spans="1:11" hidden="1" x14ac:dyDescent="0.25">
      <c r="A926" s="11"/>
      <c r="B926" s="11"/>
      <c r="C926" s="5"/>
      <c r="G926" s="11"/>
      <c r="H926" s="5"/>
      <c r="I926" s="11"/>
      <c r="J926" s="20"/>
      <c r="K9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7" spans="1:11" x14ac:dyDescent="0.25">
      <c r="A927" s="11"/>
      <c r="B927" s="11" t="s">
        <v>502</v>
      </c>
      <c r="C927" s="5" t="s">
        <v>98</v>
      </c>
      <c r="D927">
        <v>400</v>
      </c>
      <c r="E927">
        <v>5</v>
      </c>
      <c r="F927">
        <v>15</v>
      </c>
      <c r="G927" s="11">
        <v>1</v>
      </c>
      <c r="H927" s="5">
        <v>0.03</v>
      </c>
      <c r="I927" s="11">
        <v>273000</v>
      </c>
      <c r="J927" s="20">
        <v>273000</v>
      </c>
      <c r="K9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28" spans="1:11" hidden="1" x14ac:dyDescent="0.25">
      <c r="A928" s="11"/>
      <c r="B928" s="11"/>
      <c r="C928" s="5"/>
      <c r="G928" s="11"/>
      <c r="H928" s="5"/>
      <c r="I928" s="11"/>
      <c r="J928" s="20"/>
      <c r="K9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29" spans="1:11" x14ac:dyDescent="0.25">
      <c r="A929" s="11"/>
      <c r="B929" s="11" t="s">
        <v>471</v>
      </c>
      <c r="C929" s="5" t="s">
        <v>56</v>
      </c>
      <c r="D929">
        <v>500</v>
      </c>
      <c r="E929">
        <v>5</v>
      </c>
      <c r="F929">
        <v>15</v>
      </c>
      <c r="G929" s="11">
        <v>4</v>
      </c>
      <c r="H929" s="5">
        <v>0.15</v>
      </c>
      <c r="I929" s="11">
        <v>360000</v>
      </c>
      <c r="J929" s="20">
        <v>1440000</v>
      </c>
      <c r="K9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30" spans="1:11" hidden="1" x14ac:dyDescent="0.25">
      <c r="A930" s="11"/>
      <c r="B930" s="11"/>
      <c r="C930" s="5"/>
      <c r="G930" s="11"/>
      <c r="H930" s="5"/>
      <c r="I930" s="11"/>
      <c r="J930" s="20"/>
      <c r="K9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31" spans="1:11" hidden="1" x14ac:dyDescent="0.25">
      <c r="A931" s="11"/>
      <c r="B931" s="11"/>
      <c r="C931" s="5"/>
      <c r="G931" s="11"/>
      <c r="H931" s="5"/>
      <c r="I931" s="11"/>
      <c r="J931" s="20"/>
      <c r="K9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32" spans="1:11" x14ac:dyDescent="0.25">
      <c r="A932" s="11" t="s">
        <v>175</v>
      </c>
      <c r="B932" s="11" t="s">
        <v>490</v>
      </c>
      <c r="C932" s="5" t="s">
        <v>82</v>
      </c>
      <c r="D932">
        <v>250</v>
      </c>
      <c r="E932">
        <v>6</v>
      </c>
      <c r="F932">
        <v>15</v>
      </c>
      <c r="G932" s="11">
        <v>2</v>
      </c>
      <c r="H932" s="5">
        <v>4.4999999999999998E-2</v>
      </c>
      <c r="I932" s="11">
        <v>207000</v>
      </c>
      <c r="J932" s="20">
        <v>414000</v>
      </c>
      <c r="K9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33" spans="1:11" hidden="1" x14ac:dyDescent="0.25">
      <c r="A933" s="11"/>
      <c r="B933" s="11"/>
      <c r="C933" s="5"/>
      <c r="G933" s="11"/>
      <c r="H933" s="5"/>
      <c r="I933" s="11"/>
      <c r="J933" s="20"/>
      <c r="K9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34" spans="1:11" x14ac:dyDescent="0.25">
      <c r="A934" s="11"/>
      <c r="B934" s="11" t="s">
        <v>503</v>
      </c>
      <c r="C934" s="5" t="s">
        <v>99</v>
      </c>
      <c r="D934">
        <v>300</v>
      </c>
      <c r="E934">
        <v>6</v>
      </c>
      <c r="F934">
        <v>15</v>
      </c>
      <c r="G934" s="11">
        <v>5</v>
      </c>
      <c r="H934" s="5">
        <v>0.13500000000000001</v>
      </c>
      <c r="I934" s="11">
        <v>234900</v>
      </c>
      <c r="J934" s="20">
        <v>1174500</v>
      </c>
      <c r="K9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35" spans="1:11" hidden="1" x14ac:dyDescent="0.25">
      <c r="A935" s="11"/>
      <c r="B935" s="11"/>
      <c r="C935" s="5"/>
      <c r="G935" s="11"/>
      <c r="H935" s="5"/>
      <c r="I935" s="11"/>
      <c r="J935" s="20"/>
      <c r="K9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36" spans="1:11" x14ac:dyDescent="0.25">
      <c r="A936" s="11"/>
      <c r="B936" s="11" t="s">
        <v>481</v>
      </c>
      <c r="C936" s="5" t="s">
        <v>68</v>
      </c>
      <c r="D936">
        <v>400</v>
      </c>
      <c r="E936">
        <v>6</v>
      </c>
      <c r="F936">
        <v>15</v>
      </c>
      <c r="G936" s="11">
        <v>5</v>
      </c>
      <c r="H936" s="5">
        <v>0.18</v>
      </c>
      <c r="I936" s="11">
        <v>313200</v>
      </c>
      <c r="J936" s="20">
        <v>1566000</v>
      </c>
      <c r="K9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37" spans="1:11" hidden="1" x14ac:dyDescent="0.25">
      <c r="A937" s="11"/>
      <c r="B937" s="11"/>
      <c r="C937" s="5"/>
      <c r="G937" s="11"/>
      <c r="H937" s="5"/>
      <c r="I937" s="11"/>
      <c r="J937" s="20"/>
      <c r="K9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38" spans="1:11" hidden="1" x14ac:dyDescent="0.25">
      <c r="A938" s="11"/>
      <c r="B938" s="11"/>
      <c r="C938" s="5"/>
      <c r="G938" s="11"/>
      <c r="H938" s="5"/>
      <c r="I938" s="11"/>
      <c r="J938" s="20"/>
      <c r="K9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39" spans="1:11" x14ac:dyDescent="0.25">
      <c r="A939" s="11" t="s">
        <v>175</v>
      </c>
      <c r="B939" s="11" t="s">
        <v>477</v>
      </c>
      <c r="C939" s="5" t="s">
        <v>63</v>
      </c>
      <c r="D939">
        <v>100</v>
      </c>
      <c r="E939">
        <v>6</v>
      </c>
      <c r="F939">
        <v>15</v>
      </c>
      <c r="G939" s="11">
        <v>1</v>
      </c>
      <c r="H939" s="5">
        <v>8.9999999999999993E-3</v>
      </c>
      <c r="I939" s="11">
        <v>181800</v>
      </c>
      <c r="J939" s="20">
        <v>181800</v>
      </c>
      <c r="K9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40" spans="1:11" hidden="1" x14ac:dyDescent="0.25">
      <c r="A940" s="11"/>
      <c r="B940" s="11"/>
      <c r="C940" s="5"/>
      <c r="G940" s="11"/>
      <c r="H940" s="5"/>
      <c r="I940" s="11"/>
      <c r="J940" s="20"/>
      <c r="K9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41" spans="1:11" x14ac:dyDescent="0.25">
      <c r="A941" s="11"/>
      <c r="B941" s="11" t="s">
        <v>535</v>
      </c>
      <c r="C941" s="5" t="s">
        <v>154</v>
      </c>
      <c r="D941">
        <v>140</v>
      </c>
      <c r="E941">
        <v>6</v>
      </c>
      <c r="F941">
        <v>15</v>
      </c>
      <c r="G941" s="11">
        <v>2</v>
      </c>
      <c r="H941" s="5">
        <v>2.52E-2</v>
      </c>
      <c r="I941" s="11">
        <v>254520</v>
      </c>
      <c r="J941" s="20">
        <v>509040</v>
      </c>
      <c r="K9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42" spans="1:11" hidden="1" x14ac:dyDescent="0.25">
      <c r="A942" s="11"/>
      <c r="B942" s="11"/>
      <c r="C942" s="5"/>
      <c r="G942" s="11"/>
      <c r="H942" s="5"/>
      <c r="I942" s="11"/>
      <c r="J942" s="20"/>
      <c r="K9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43" spans="1:11" x14ac:dyDescent="0.25">
      <c r="A943" s="11"/>
      <c r="B943" s="11" t="s">
        <v>522</v>
      </c>
      <c r="C943" s="5" t="s">
        <v>131</v>
      </c>
      <c r="D943">
        <v>200</v>
      </c>
      <c r="E943">
        <v>6</v>
      </c>
      <c r="F943">
        <v>15</v>
      </c>
      <c r="G943" s="11">
        <v>6</v>
      </c>
      <c r="H943" s="5">
        <v>0.108</v>
      </c>
      <c r="I943" s="11">
        <v>388800</v>
      </c>
      <c r="J943" s="20">
        <v>2332800</v>
      </c>
      <c r="K9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44" spans="1:11" hidden="1" x14ac:dyDescent="0.25">
      <c r="A944" s="11"/>
      <c r="B944" s="11"/>
      <c r="C944" s="5"/>
      <c r="G944" s="11"/>
      <c r="H944" s="5"/>
      <c r="I944" s="11"/>
      <c r="J944" s="20"/>
      <c r="K9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45" spans="1:11" x14ac:dyDescent="0.25">
      <c r="A945" s="11"/>
      <c r="B945" s="11" t="s">
        <v>441</v>
      </c>
      <c r="C945" s="5" t="s">
        <v>19</v>
      </c>
      <c r="D945">
        <v>230</v>
      </c>
      <c r="E945">
        <v>6</v>
      </c>
      <c r="F945">
        <v>15</v>
      </c>
      <c r="G945" s="11">
        <v>4</v>
      </c>
      <c r="H945" s="5">
        <v>8.2799999999999999E-2</v>
      </c>
      <c r="I945" s="11">
        <v>447120</v>
      </c>
      <c r="J945" s="20">
        <v>1788480</v>
      </c>
      <c r="K9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46" spans="1:11" hidden="1" x14ac:dyDescent="0.25">
      <c r="A946" s="11"/>
      <c r="B946" s="11"/>
      <c r="C946" s="5"/>
      <c r="G946" s="11"/>
      <c r="H946" s="5"/>
      <c r="I946" s="11"/>
      <c r="J946" s="20"/>
      <c r="K9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47" spans="1:11" x14ac:dyDescent="0.25">
      <c r="A947" s="11"/>
      <c r="B947" s="11" t="s">
        <v>451</v>
      </c>
      <c r="C947" s="5" t="s">
        <v>30</v>
      </c>
      <c r="D947">
        <v>90</v>
      </c>
      <c r="E947">
        <v>6</v>
      </c>
      <c r="F947">
        <v>15</v>
      </c>
      <c r="G947" s="11">
        <v>1</v>
      </c>
      <c r="H947" s="5">
        <v>8.0999999999999996E-3</v>
      </c>
      <c r="I947" s="11">
        <v>163620</v>
      </c>
      <c r="J947" s="20">
        <v>163620</v>
      </c>
      <c r="K9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48" spans="1:11" hidden="1" x14ac:dyDescent="0.25">
      <c r="A948" s="11"/>
      <c r="B948" s="11"/>
      <c r="C948" s="5"/>
      <c r="G948" s="11"/>
      <c r="H948" s="5"/>
      <c r="I948" s="11"/>
      <c r="J948" s="20"/>
      <c r="K9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49" spans="1:11" hidden="1" x14ac:dyDescent="0.25">
      <c r="A949" s="11"/>
      <c r="B949" s="11"/>
      <c r="C949" s="5"/>
      <c r="G949" s="11"/>
      <c r="H949" s="5"/>
      <c r="I949" s="11"/>
      <c r="J949" s="20"/>
      <c r="K9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0" spans="1:11" x14ac:dyDescent="0.25">
      <c r="A950" s="11" t="s">
        <v>177</v>
      </c>
      <c r="B950" s="11" t="s">
        <v>544</v>
      </c>
      <c r="C950" s="5" t="s">
        <v>176</v>
      </c>
      <c r="D950">
        <v>400</v>
      </c>
      <c r="E950">
        <v>3</v>
      </c>
      <c r="F950">
        <v>4</v>
      </c>
      <c r="G950" s="11">
        <v>10</v>
      </c>
      <c r="H950" s="5">
        <v>4.8000000000000001E-2</v>
      </c>
      <c r="I950" s="11">
        <v>41760</v>
      </c>
      <c r="J950" s="20">
        <v>417600</v>
      </c>
      <c r="K9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1" spans="1:11" hidden="1" x14ac:dyDescent="0.25">
      <c r="A951" s="11"/>
      <c r="B951" s="11"/>
      <c r="C951" s="5"/>
      <c r="G951" s="11"/>
      <c r="H951" s="5"/>
      <c r="I951" s="11"/>
      <c r="J951" s="20"/>
      <c r="K9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2" spans="1:11" x14ac:dyDescent="0.25">
      <c r="A952" s="11"/>
      <c r="B952" s="11" t="s">
        <v>492</v>
      </c>
      <c r="C952" s="5" t="s">
        <v>84</v>
      </c>
      <c r="D952">
        <v>400</v>
      </c>
      <c r="E952">
        <v>4</v>
      </c>
      <c r="F952">
        <v>6</v>
      </c>
      <c r="G952" s="11">
        <v>6</v>
      </c>
      <c r="H952" s="5">
        <v>5.7599999999999998E-2</v>
      </c>
      <c r="I952" s="11">
        <v>79680</v>
      </c>
      <c r="J952" s="20">
        <v>478080</v>
      </c>
      <c r="K9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3" spans="1:11" hidden="1" x14ac:dyDescent="0.25">
      <c r="A953" s="11"/>
      <c r="B953" s="11"/>
      <c r="C953" s="5"/>
      <c r="G953" s="11"/>
      <c r="H953" s="5"/>
      <c r="I953" s="11"/>
      <c r="J953" s="20"/>
      <c r="K9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4" spans="1:11" x14ac:dyDescent="0.25">
      <c r="A954" s="11"/>
      <c r="B954" s="11" t="s">
        <v>511</v>
      </c>
      <c r="C954" s="5" t="s">
        <v>111</v>
      </c>
      <c r="D954">
        <v>400</v>
      </c>
      <c r="E954">
        <v>8</v>
      </c>
      <c r="F954">
        <v>12</v>
      </c>
      <c r="G954" s="11">
        <v>4</v>
      </c>
      <c r="H954" s="5">
        <v>0.15359999999999999</v>
      </c>
      <c r="I954" s="11">
        <v>349440</v>
      </c>
      <c r="J954" s="20">
        <v>1397760</v>
      </c>
      <c r="K9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955" spans="1:11" hidden="1" x14ac:dyDescent="0.25">
      <c r="A955" s="11"/>
      <c r="B955" s="11"/>
      <c r="C955" s="5"/>
      <c r="G955" s="11"/>
      <c r="H955" s="5"/>
      <c r="I955" s="11"/>
      <c r="J955" s="20"/>
      <c r="K9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6" spans="1:11" x14ac:dyDescent="0.25">
      <c r="A956" s="11"/>
      <c r="B956" s="11" t="s">
        <v>545</v>
      </c>
      <c r="C956" s="5" t="s">
        <v>178</v>
      </c>
      <c r="D956">
        <v>400</v>
      </c>
      <c r="E956">
        <v>8</v>
      </c>
      <c r="F956">
        <v>15</v>
      </c>
      <c r="G956" s="11">
        <v>2</v>
      </c>
      <c r="H956" s="5">
        <v>9.6000000000000002E-2</v>
      </c>
      <c r="I956" s="11">
        <v>436800</v>
      </c>
      <c r="J956" s="20">
        <v>873600</v>
      </c>
      <c r="K9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957" spans="1:11" hidden="1" x14ac:dyDescent="0.25">
      <c r="A957" s="11"/>
      <c r="B957" s="11"/>
      <c r="C957" s="5"/>
      <c r="G957" s="11"/>
      <c r="H957" s="5"/>
      <c r="I957" s="11"/>
      <c r="J957" s="20"/>
      <c r="K9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8" spans="1:11" hidden="1" x14ac:dyDescent="0.25">
      <c r="A958" s="11"/>
      <c r="B958" s="11"/>
      <c r="C958" s="5"/>
      <c r="G958" s="11"/>
      <c r="H958" s="5"/>
      <c r="I958" s="11"/>
      <c r="J958" s="20"/>
      <c r="K9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59" spans="1:11" x14ac:dyDescent="0.25">
      <c r="A959" s="11" t="s">
        <v>177</v>
      </c>
      <c r="B959" s="11" t="s">
        <v>439</v>
      </c>
      <c r="C959" s="5" t="s">
        <v>16</v>
      </c>
      <c r="D959">
        <v>400</v>
      </c>
      <c r="E959">
        <v>3</v>
      </c>
      <c r="F959">
        <v>30</v>
      </c>
      <c r="G959" s="11">
        <v>12</v>
      </c>
      <c r="H959" s="5">
        <v>0.432</v>
      </c>
      <c r="I959" s="11">
        <v>342000</v>
      </c>
      <c r="J959" s="20">
        <v>4104000</v>
      </c>
      <c r="K9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0" spans="1:11" hidden="1" x14ac:dyDescent="0.25">
      <c r="A960" s="11"/>
      <c r="B960" s="11"/>
      <c r="C960" s="5"/>
      <c r="G960" s="11"/>
      <c r="H960" s="5"/>
      <c r="I960" s="11"/>
      <c r="J960" s="20"/>
      <c r="K9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1" spans="1:11" x14ac:dyDescent="0.25">
      <c r="A961" s="11"/>
      <c r="B961" s="11" t="s">
        <v>433</v>
      </c>
      <c r="C961" s="5" t="s">
        <v>9</v>
      </c>
      <c r="D961">
        <v>400</v>
      </c>
      <c r="E961">
        <v>4</v>
      </c>
      <c r="F961">
        <v>20</v>
      </c>
      <c r="G961" s="11">
        <v>2</v>
      </c>
      <c r="H961" s="5">
        <v>6.4000000000000001E-2</v>
      </c>
      <c r="I961" s="11">
        <v>294400</v>
      </c>
      <c r="J961" s="20">
        <v>588800</v>
      </c>
      <c r="K9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2" spans="1:11" hidden="1" x14ac:dyDescent="0.25">
      <c r="A962" s="11"/>
      <c r="B962" s="11"/>
      <c r="C962" s="5"/>
      <c r="G962" s="11"/>
      <c r="H962" s="5"/>
      <c r="I962" s="11"/>
      <c r="J962" s="20"/>
      <c r="K9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3" spans="1:11" hidden="1" x14ac:dyDescent="0.25">
      <c r="A963" s="11"/>
      <c r="B963" s="11"/>
      <c r="C963" s="5"/>
      <c r="G963" s="11"/>
      <c r="H963" s="5"/>
      <c r="I963" s="11"/>
      <c r="J963" s="20"/>
      <c r="K9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4" spans="1:11" x14ac:dyDescent="0.25">
      <c r="A964" s="11" t="s">
        <v>179</v>
      </c>
      <c r="B964" s="11" t="s">
        <v>439</v>
      </c>
      <c r="C964" s="5" t="s">
        <v>16</v>
      </c>
      <c r="D964">
        <v>400</v>
      </c>
      <c r="E964">
        <v>3</v>
      </c>
      <c r="F964">
        <v>30</v>
      </c>
      <c r="G964" s="11">
        <v>8</v>
      </c>
      <c r="H964" s="5">
        <v>0.28799999999999998</v>
      </c>
      <c r="I964" s="11">
        <v>342000</v>
      </c>
      <c r="J964" s="20">
        <v>2736000</v>
      </c>
      <c r="K9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5" spans="1:11" hidden="1" x14ac:dyDescent="0.25">
      <c r="A965" s="11"/>
      <c r="B965" s="11"/>
      <c r="C965" s="5"/>
      <c r="G965" s="11"/>
      <c r="H965" s="5"/>
      <c r="I965" s="11"/>
      <c r="J965" s="20"/>
      <c r="K9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6" spans="1:11" hidden="1" x14ac:dyDescent="0.25">
      <c r="A966" s="11"/>
      <c r="B966" s="11"/>
      <c r="C966" s="5"/>
      <c r="G966" s="11"/>
      <c r="H966" s="5"/>
      <c r="I966" s="11"/>
      <c r="J966" s="20"/>
      <c r="K9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7" spans="1:11" x14ac:dyDescent="0.25">
      <c r="A967" s="11" t="s">
        <v>179</v>
      </c>
      <c r="B967" s="11" t="s">
        <v>446</v>
      </c>
      <c r="C967" s="5" t="s">
        <v>25</v>
      </c>
      <c r="D967">
        <v>400</v>
      </c>
      <c r="E967">
        <v>4</v>
      </c>
      <c r="F967">
        <v>15</v>
      </c>
      <c r="G967" s="11">
        <v>5</v>
      </c>
      <c r="H967" s="5">
        <v>0.12</v>
      </c>
      <c r="I967" s="11">
        <v>554400</v>
      </c>
      <c r="J967" s="20">
        <v>2772000</v>
      </c>
      <c r="K9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8" spans="1:11" hidden="1" x14ac:dyDescent="0.25">
      <c r="A968" s="11"/>
      <c r="B968" s="11"/>
      <c r="C968" s="5"/>
      <c r="G968" s="11"/>
      <c r="H968" s="5"/>
      <c r="I968" s="11"/>
      <c r="J968" s="20"/>
      <c r="K9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69" spans="1:11" x14ac:dyDescent="0.25">
      <c r="A969" s="11"/>
      <c r="B969" s="11" t="s">
        <v>477</v>
      </c>
      <c r="C969" s="5" t="s">
        <v>63</v>
      </c>
      <c r="D969">
        <v>100</v>
      </c>
      <c r="E969">
        <v>6</v>
      </c>
      <c r="F969">
        <v>15</v>
      </c>
      <c r="G969" s="11">
        <v>1</v>
      </c>
      <c r="H969" s="5">
        <v>8.9999999999999993E-3</v>
      </c>
      <c r="I969" s="11">
        <v>181800</v>
      </c>
      <c r="J969" s="20">
        <v>181800</v>
      </c>
      <c r="K9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70" spans="1:11" hidden="1" x14ac:dyDescent="0.25">
      <c r="A970" s="11"/>
      <c r="B970" s="11"/>
      <c r="C970" s="5"/>
      <c r="G970" s="11"/>
      <c r="H970" s="5"/>
      <c r="I970" s="11"/>
      <c r="J970" s="20"/>
      <c r="K9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71" spans="1:11" x14ac:dyDescent="0.25">
      <c r="A971" s="11"/>
      <c r="B971" s="11" t="s">
        <v>546</v>
      </c>
      <c r="C971" s="5" t="s">
        <v>180</v>
      </c>
      <c r="D971">
        <v>130</v>
      </c>
      <c r="E971">
        <v>6</v>
      </c>
      <c r="F971">
        <v>15</v>
      </c>
      <c r="G971" s="11">
        <v>8</v>
      </c>
      <c r="H971" s="5">
        <v>9.3600000000000003E-2</v>
      </c>
      <c r="I971" s="11">
        <v>236340</v>
      </c>
      <c r="J971" s="20">
        <v>1890720</v>
      </c>
      <c r="K9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72" spans="1:11" hidden="1" x14ac:dyDescent="0.25">
      <c r="A972" s="11"/>
      <c r="B972" s="11"/>
      <c r="C972" s="5"/>
      <c r="G972" s="11"/>
      <c r="H972" s="5"/>
      <c r="I972" s="11"/>
      <c r="J972" s="20"/>
      <c r="K9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73" spans="1:11" x14ac:dyDescent="0.25">
      <c r="A973" s="11"/>
      <c r="B973" s="11" t="s">
        <v>536</v>
      </c>
      <c r="C973" s="5" t="s">
        <v>155</v>
      </c>
      <c r="D973">
        <v>170</v>
      </c>
      <c r="E973">
        <v>6</v>
      </c>
      <c r="F973">
        <v>15</v>
      </c>
      <c r="G973" s="11">
        <v>4</v>
      </c>
      <c r="H973" s="5">
        <v>6.1199999999999997E-2</v>
      </c>
      <c r="I973" s="11">
        <v>309060</v>
      </c>
      <c r="J973" s="20">
        <v>1236240</v>
      </c>
      <c r="K9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74" spans="1:11" hidden="1" x14ac:dyDescent="0.25">
      <c r="A974" s="11"/>
      <c r="B974" s="11"/>
      <c r="C974" s="5"/>
      <c r="G974" s="11"/>
      <c r="H974" s="5"/>
      <c r="I974" s="11"/>
      <c r="J974" s="20"/>
      <c r="K9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75" spans="1:11" x14ac:dyDescent="0.25">
      <c r="A975" s="11"/>
      <c r="B975" s="11" t="s">
        <v>522</v>
      </c>
      <c r="C975" s="5" t="s">
        <v>131</v>
      </c>
      <c r="D975">
        <v>200</v>
      </c>
      <c r="E975">
        <v>6</v>
      </c>
      <c r="F975">
        <v>15</v>
      </c>
      <c r="G975" s="11">
        <v>14</v>
      </c>
      <c r="H975" s="5">
        <v>0.252</v>
      </c>
      <c r="I975" s="11">
        <v>388800</v>
      </c>
      <c r="J975" s="20">
        <v>5443200</v>
      </c>
      <c r="K9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76" spans="1:11" hidden="1" x14ac:dyDescent="0.25">
      <c r="A976" s="11"/>
      <c r="B976" s="11"/>
      <c r="C976" s="5"/>
      <c r="G976" s="11"/>
      <c r="H976" s="5"/>
      <c r="I976" s="11"/>
      <c r="J976" s="20"/>
      <c r="K9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77" spans="1:11" hidden="1" x14ac:dyDescent="0.25">
      <c r="A977" s="11"/>
      <c r="B977" s="11"/>
      <c r="C977" s="5"/>
      <c r="G977" s="11"/>
      <c r="H977" s="5"/>
      <c r="I977" s="11"/>
      <c r="J977" s="20"/>
      <c r="K9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78" spans="1:11" x14ac:dyDescent="0.25">
      <c r="A978" s="11" t="s">
        <v>181</v>
      </c>
      <c r="B978" s="11" t="s">
        <v>502</v>
      </c>
      <c r="C978" s="5" t="s">
        <v>98</v>
      </c>
      <c r="D978">
        <v>400</v>
      </c>
      <c r="E978">
        <v>5</v>
      </c>
      <c r="F978">
        <v>15</v>
      </c>
      <c r="G978" s="11">
        <v>1</v>
      </c>
      <c r="H978" s="5">
        <v>0.03</v>
      </c>
      <c r="I978" s="11">
        <v>273000</v>
      </c>
      <c r="J978" s="20">
        <v>273000</v>
      </c>
      <c r="K9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79" spans="1:11" hidden="1" x14ac:dyDescent="0.25">
      <c r="A979" s="11"/>
      <c r="B979" s="11"/>
      <c r="C979" s="5"/>
      <c r="G979" s="11"/>
      <c r="H979" s="5"/>
      <c r="I979" s="11"/>
      <c r="J979" s="20"/>
      <c r="K9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0" spans="1:11" x14ac:dyDescent="0.25">
      <c r="A980" s="11"/>
      <c r="B980" s="11" t="s">
        <v>519</v>
      </c>
      <c r="C980" s="5" t="s">
        <v>125</v>
      </c>
      <c r="D980">
        <v>400</v>
      </c>
      <c r="E980">
        <v>5</v>
      </c>
      <c r="F980">
        <v>25</v>
      </c>
      <c r="G980" s="11">
        <v>1</v>
      </c>
      <c r="H980" s="5">
        <v>0.05</v>
      </c>
      <c r="I980" s="11">
        <v>475000</v>
      </c>
      <c r="J980" s="20">
        <v>475000</v>
      </c>
      <c r="K9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981" spans="1:11" hidden="1" x14ac:dyDescent="0.25">
      <c r="A981" s="11"/>
      <c r="B981" s="11"/>
      <c r="C981" s="5"/>
      <c r="G981" s="11"/>
      <c r="H981" s="5"/>
      <c r="I981" s="11"/>
      <c r="J981" s="20"/>
      <c r="K9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2" spans="1:11" x14ac:dyDescent="0.25">
      <c r="A982" s="11"/>
      <c r="B982" s="11" t="s">
        <v>440</v>
      </c>
      <c r="C982" s="5" t="s">
        <v>17</v>
      </c>
      <c r="D982">
        <v>500</v>
      </c>
      <c r="E982">
        <v>4</v>
      </c>
      <c r="F982">
        <v>25</v>
      </c>
      <c r="G982" s="11">
        <v>4</v>
      </c>
      <c r="H982" s="5">
        <v>0.2</v>
      </c>
      <c r="I982" s="11">
        <v>465000</v>
      </c>
      <c r="J982" s="20">
        <v>1860000</v>
      </c>
      <c r="K9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3" spans="1:11" hidden="1" x14ac:dyDescent="0.25">
      <c r="A983" s="11"/>
      <c r="B983" s="11"/>
      <c r="C983" s="5"/>
      <c r="G983" s="11"/>
      <c r="H983" s="5"/>
      <c r="I983" s="11"/>
      <c r="J983" s="20"/>
      <c r="K9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4" spans="1:11" x14ac:dyDescent="0.25">
      <c r="A984" s="11"/>
      <c r="B984" s="11" t="s">
        <v>463</v>
      </c>
      <c r="C984" s="5" t="s">
        <v>45</v>
      </c>
      <c r="D984">
        <v>500</v>
      </c>
      <c r="E984">
        <v>4</v>
      </c>
      <c r="F984">
        <v>30</v>
      </c>
      <c r="G984" s="11">
        <v>2</v>
      </c>
      <c r="H984" s="5">
        <v>0.12</v>
      </c>
      <c r="I984" s="11">
        <v>570000</v>
      </c>
      <c r="J984" s="20">
        <v>1140000</v>
      </c>
      <c r="K9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5" spans="1:11" hidden="1" x14ac:dyDescent="0.25">
      <c r="A985" s="11"/>
      <c r="B985" s="11"/>
      <c r="C985" s="5"/>
      <c r="G985" s="11"/>
      <c r="H985" s="5"/>
      <c r="I985" s="11"/>
      <c r="J985" s="20"/>
      <c r="K9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6" spans="1:11" x14ac:dyDescent="0.25">
      <c r="A986" s="11"/>
      <c r="B986" s="11" t="s">
        <v>471</v>
      </c>
      <c r="C986" s="5" t="s">
        <v>56</v>
      </c>
      <c r="D986">
        <v>500</v>
      </c>
      <c r="E986">
        <v>5</v>
      </c>
      <c r="F986">
        <v>15</v>
      </c>
      <c r="G986" s="11">
        <v>4</v>
      </c>
      <c r="H986" s="5">
        <v>0.15</v>
      </c>
      <c r="I986" s="11">
        <v>360000</v>
      </c>
      <c r="J986" s="20">
        <v>1440000</v>
      </c>
      <c r="K9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87" spans="1:11" hidden="1" x14ac:dyDescent="0.25">
      <c r="A987" s="11"/>
      <c r="B987" s="11"/>
      <c r="C987" s="5"/>
      <c r="G987" s="11"/>
      <c r="H987" s="5"/>
      <c r="I987" s="11"/>
      <c r="J987" s="20"/>
      <c r="K9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8" spans="1:11" hidden="1" x14ac:dyDescent="0.25">
      <c r="A988" s="11"/>
      <c r="B988" s="11"/>
      <c r="C988" s="5"/>
      <c r="G988" s="11"/>
      <c r="H988" s="5"/>
      <c r="I988" s="11"/>
      <c r="J988" s="20"/>
      <c r="K9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89" spans="1:11" x14ac:dyDescent="0.25">
      <c r="A989" s="11" t="s">
        <v>181</v>
      </c>
      <c r="B989" s="11" t="s">
        <v>547</v>
      </c>
      <c r="C989" s="5" t="s">
        <v>182</v>
      </c>
      <c r="D989">
        <v>120</v>
      </c>
      <c r="E989">
        <v>6</v>
      </c>
      <c r="F989">
        <v>15</v>
      </c>
      <c r="G989" s="11">
        <v>4</v>
      </c>
      <c r="H989" s="5">
        <v>4.3200000000000002E-2</v>
      </c>
      <c r="I989" s="11">
        <v>218160</v>
      </c>
      <c r="J989" s="20">
        <v>872640</v>
      </c>
      <c r="K9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90" spans="1:11" hidden="1" x14ac:dyDescent="0.25">
      <c r="A990" s="11"/>
      <c r="B990" s="11"/>
      <c r="C990" s="5"/>
      <c r="G990" s="11"/>
      <c r="H990" s="5"/>
      <c r="I990" s="11"/>
      <c r="J990" s="20"/>
      <c r="K9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91" spans="1:11" x14ac:dyDescent="0.25">
      <c r="A991" s="11"/>
      <c r="B991" s="11" t="s">
        <v>529</v>
      </c>
      <c r="C991" s="5" t="s">
        <v>147</v>
      </c>
      <c r="D991">
        <v>160</v>
      </c>
      <c r="E991">
        <v>6</v>
      </c>
      <c r="F991">
        <v>15</v>
      </c>
      <c r="G991" s="11">
        <v>6</v>
      </c>
      <c r="H991" s="5">
        <v>8.6400000000000005E-2</v>
      </c>
      <c r="I991" s="11">
        <v>290880</v>
      </c>
      <c r="J991" s="20">
        <v>1745280</v>
      </c>
      <c r="K9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92" spans="1:11" hidden="1" x14ac:dyDescent="0.25">
      <c r="A992" s="11"/>
      <c r="B992" s="11"/>
      <c r="C992" s="5"/>
      <c r="G992" s="11"/>
      <c r="H992" s="5"/>
      <c r="I992" s="11"/>
      <c r="J992" s="20"/>
      <c r="K9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93" spans="1:11" x14ac:dyDescent="0.25">
      <c r="A993" s="11"/>
      <c r="B993" s="11" t="s">
        <v>478</v>
      </c>
      <c r="C993" s="5" t="s">
        <v>64</v>
      </c>
      <c r="D993">
        <v>180</v>
      </c>
      <c r="E993">
        <v>6</v>
      </c>
      <c r="F993">
        <v>15</v>
      </c>
      <c r="G993" s="11">
        <v>18</v>
      </c>
      <c r="H993" s="5">
        <v>0.29160000000000003</v>
      </c>
      <c r="I993" s="11">
        <v>327240</v>
      </c>
      <c r="J993" s="20">
        <v>5890320</v>
      </c>
      <c r="K9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94" spans="1:11" hidden="1" x14ac:dyDescent="0.25">
      <c r="A994" s="11"/>
      <c r="B994" s="11"/>
      <c r="C994" s="5"/>
      <c r="G994" s="11"/>
      <c r="H994" s="5"/>
      <c r="I994" s="11"/>
      <c r="J994" s="20"/>
      <c r="K9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95" spans="1:11" x14ac:dyDescent="0.25">
      <c r="A995" s="11"/>
      <c r="B995" s="11" t="s">
        <v>449</v>
      </c>
      <c r="C995" s="5" t="s">
        <v>28</v>
      </c>
      <c r="D995">
        <v>260</v>
      </c>
      <c r="E995">
        <v>6</v>
      </c>
      <c r="F995">
        <v>15</v>
      </c>
      <c r="G995" s="11">
        <v>2</v>
      </c>
      <c r="H995" s="5">
        <v>4.6800000000000001E-2</v>
      </c>
      <c r="I995" s="11">
        <v>505440</v>
      </c>
      <c r="J995" s="20">
        <v>1010880</v>
      </c>
      <c r="K9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96" spans="1:11" hidden="1" x14ac:dyDescent="0.25">
      <c r="A996" s="11"/>
      <c r="B996" s="11"/>
      <c r="C996" s="5"/>
      <c r="G996" s="11"/>
      <c r="H996" s="5"/>
      <c r="I996" s="11"/>
      <c r="J996" s="20"/>
      <c r="K9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97" spans="1:11" x14ac:dyDescent="0.25">
      <c r="A997" s="11"/>
      <c r="B997" s="11" t="s">
        <v>548</v>
      </c>
      <c r="C997" s="5" t="s">
        <v>183</v>
      </c>
      <c r="D997">
        <v>290</v>
      </c>
      <c r="E997">
        <v>6</v>
      </c>
      <c r="F997">
        <v>15</v>
      </c>
      <c r="G997" s="11">
        <v>2</v>
      </c>
      <c r="H997" s="5">
        <v>5.2200000000000003E-2</v>
      </c>
      <c r="I997" s="11">
        <v>563760</v>
      </c>
      <c r="J997" s="20">
        <v>1127520</v>
      </c>
      <c r="K9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998" spans="1:11" hidden="1" x14ac:dyDescent="0.25">
      <c r="A998" s="11"/>
      <c r="B998" s="11"/>
      <c r="C998" s="5"/>
      <c r="G998" s="11"/>
      <c r="H998" s="5"/>
      <c r="I998" s="11"/>
      <c r="J998" s="20"/>
      <c r="K9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999" spans="1:11" hidden="1" x14ac:dyDescent="0.25">
      <c r="A999" s="11"/>
      <c r="B999" s="11"/>
      <c r="C999" s="5"/>
      <c r="G999" s="11"/>
      <c r="H999" s="5"/>
      <c r="I999" s="11"/>
      <c r="J999" s="20"/>
      <c r="K9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0" spans="1:11" x14ac:dyDescent="0.25">
      <c r="A1000" s="11" t="s">
        <v>181</v>
      </c>
      <c r="B1000" s="11" t="s">
        <v>527</v>
      </c>
      <c r="C1000" s="5" t="s">
        <v>143</v>
      </c>
      <c r="D1000">
        <v>400</v>
      </c>
      <c r="E1000">
        <v>4</v>
      </c>
      <c r="F1000">
        <v>20</v>
      </c>
      <c r="G1000" s="11">
        <v>2</v>
      </c>
      <c r="H1000" s="5">
        <v>6.4000000000000001E-2</v>
      </c>
      <c r="I1000" s="11">
        <v>761600</v>
      </c>
      <c r="J1000" s="20">
        <v>1523200</v>
      </c>
      <c r="K10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1" spans="1:11" hidden="1" x14ac:dyDescent="0.25">
      <c r="A1001" s="11"/>
      <c r="B1001" s="11"/>
      <c r="C1001" s="5"/>
      <c r="G1001" s="11"/>
      <c r="H1001" s="5"/>
      <c r="I1001" s="11"/>
      <c r="J1001" s="20"/>
      <c r="K10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2" spans="1:11" hidden="1" x14ac:dyDescent="0.25">
      <c r="A1002" s="11"/>
      <c r="B1002" s="11"/>
      <c r="C1002" s="5"/>
      <c r="G1002" s="11"/>
      <c r="H1002" s="5"/>
      <c r="I1002" s="11"/>
      <c r="J1002" s="20"/>
      <c r="K10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3" spans="1:11" x14ac:dyDescent="0.25">
      <c r="A1003" s="11" t="s">
        <v>181</v>
      </c>
      <c r="B1003" s="11" t="s">
        <v>443</v>
      </c>
      <c r="C1003" s="5" t="s">
        <v>21</v>
      </c>
      <c r="D1003">
        <v>400</v>
      </c>
      <c r="E1003">
        <v>4</v>
      </c>
      <c r="F1003">
        <v>25</v>
      </c>
      <c r="G1003" s="11">
        <v>2</v>
      </c>
      <c r="H1003" s="5">
        <v>0.08</v>
      </c>
      <c r="I1003" s="11">
        <v>372000</v>
      </c>
      <c r="J1003" s="20">
        <v>744000</v>
      </c>
      <c r="K10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4" spans="1:11" hidden="1" x14ac:dyDescent="0.25">
      <c r="A1004" s="11"/>
      <c r="B1004" s="11"/>
      <c r="C1004" s="5"/>
      <c r="G1004" s="11"/>
      <c r="H1004" s="5"/>
      <c r="I1004" s="11"/>
      <c r="J1004" s="20"/>
      <c r="K10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5" spans="1:11" x14ac:dyDescent="0.25">
      <c r="A1005" s="11"/>
      <c r="B1005" s="11" t="s">
        <v>454</v>
      </c>
      <c r="C1005" s="5" t="s">
        <v>35</v>
      </c>
      <c r="D1005">
        <v>400</v>
      </c>
      <c r="E1005">
        <v>5</v>
      </c>
      <c r="F1005">
        <v>30</v>
      </c>
      <c r="G1005" s="11">
        <v>2</v>
      </c>
      <c r="H1005" s="5">
        <v>0.12</v>
      </c>
      <c r="I1005" s="11">
        <v>582000</v>
      </c>
      <c r="J1005" s="20">
        <v>1164000</v>
      </c>
      <c r="K10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006" spans="1:11" hidden="1" x14ac:dyDescent="0.25">
      <c r="A1006" s="11"/>
      <c r="B1006" s="11"/>
      <c r="C1006" s="5"/>
      <c r="G1006" s="11"/>
      <c r="H1006" s="5"/>
      <c r="I1006" s="11"/>
      <c r="J1006" s="20"/>
      <c r="K10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7" spans="1:11" x14ac:dyDescent="0.25">
      <c r="A1007" s="11"/>
      <c r="B1007" s="11" t="s">
        <v>549</v>
      </c>
      <c r="C1007" s="5" t="s">
        <v>184</v>
      </c>
      <c r="D1007">
        <v>450</v>
      </c>
      <c r="E1007">
        <v>4</v>
      </c>
      <c r="F1007">
        <v>20</v>
      </c>
      <c r="G1007" s="11">
        <v>1</v>
      </c>
      <c r="H1007" s="5">
        <v>3.5999999999999997E-2</v>
      </c>
      <c r="I1007" s="11">
        <v>331200</v>
      </c>
      <c r="J1007" s="20">
        <v>331200</v>
      </c>
      <c r="K10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8" spans="1:11" hidden="1" x14ac:dyDescent="0.25">
      <c r="A1008" s="11"/>
      <c r="B1008" s="11"/>
      <c r="C1008" s="5"/>
      <c r="G1008" s="11"/>
      <c r="H1008" s="5"/>
      <c r="I1008" s="11"/>
      <c r="J1008" s="20"/>
      <c r="K10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09" spans="1:11" hidden="1" x14ac:dyDescent="0.25">
      <c r="A1009" s="11"/>
      <c r="B1009" s="11"/>
      <c r="C1009" s="5"/>
      <c r="G1009" s="11"/>
      <c r="H1009" s="5"/>
      <c r="I1009" s="11"/>
      <c r="J1009" s="20"/>
      <c r="K10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0" spans="1:11" x14ac:dyDescent="0.25">
      <c r="A1010" s="11" t="s">
        <v>185</v>
      </c>
      <c r="B1010" s="11" t="s">
        <v>439</v>
      </c>
      <c r="C1010" s="5" t="s">
        <v>16</v>
      </c>
      <c r="D1010">
        <v>400</v>
      </c>
      <c r="E1010">
        <v>3</v>
      </c>
      <c r="F1010">
        <v>30</v>
      </c>
      <c r="G1010" s="11">
        <v>1</v>
      </c>
      <c r="H1010" s="5">
        <v>3.5999999999999997E-2</v>
      </c>
      <c r="I1010" s="11">
        <v>342000</v>
      </c>
      <c r="J1010" s="20">
        <v>342000</v>
      </c>
      <c r="K10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1" spans="1:11" hidden="1" x14ac:dyDescent="0.25">
      <c r="A1011" s="11"/>
      <c r="B1011" s="11"/>
      <c r="C1011" s="5"/>
      <c r="G1011" s="11"/>
      <c r="H1011" s="5"/>
      <c r="I1011" s="11"/>
      <c r="J1011" s="20"/>
      <c r="K10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2" spans="1:11" hidden="1" x14ac:dyDescent="0.25">
      <c r="A1012" s="11"/>
      <c r="B1012" s="11"/>
      <c r="C1012" s="5"/>
      <c r="G1012" s="11"/>
      <c r="H1012" s="5"/>
      <c r="I1012" s="11"/>
      <c r="J1012" s="20"/>
      <c r="K10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3" spans="1:11" x14ac:dyDescent="0.25">
      <c r="A1013" s="11" t="s">
        <v>185</v>
      </c>
      <c r="B1013" s="11" t="s">
        <v>502</v>
      </c>
      <c r="C1013" s="5" t="s">
        <v>98</v>
      </c>
      <c r="D1013">
        <v>400</v>
      </c>
      <c r="E1013">
        <v>5</v>
      </c>
      <c r="F1013">
        <v>15</v>
      </c>
      <c r="G1013" s="11">
        <v>44</v>
      </c>
      <c r="H1013" s="5">
        <v>1.32</v>
      </c>
      <c r="I1013" s="11">
        <v>273000</v>
      </c>
      <c r="J1013" s="20">
        <v>12012000</v>
      </c>
      <c r="K10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14" spans="1:11" hidden="1" x14ac:dyDescent="0.25">
      <c r="A1014" s="11"/>
      <c r="B1014" s="11"/>
      <c r="C1014" s="5"/>
      <c r="G1014" s="11"/>
      <c r="H1014" s="5"/>
      <c r="I1014" s="11"/>
      <c r="J1014" s="20"/>
      <c r="K10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5" spans="1:11" x14ac:dyDescent="0.25">
      <c r="A1015" s="11"/>
      <c r="B1015" s="11" t="s">
        <v>453</v>
      </c>
      <c r="C1015" s="5" t="s">
        <v>34</v>
      </c>
      <c r="D1015">
        <v>400</v>
      </c>
      <c r="E1015">
        <v>5</v>
      </c>
      <c r="F1015">
        <v>20</v>
      </c>
      <c r="G1015" s="11">
        <v>4</v>
      </c>
      <c r="H1015" s="5">
        <v>0.16</v>
      </c>
      <c r="I1015" s="11">
        <v>380000</v>
      </c>
      <c r="J1015" s="20">
        <v>1520000</v>
      </c>
      <c r="K10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016" spans="1:11" hidden="1" x14ac:dyDescent="0.25">
      <c r="A1016" s="11"/>
      <c r="B1016" s="11"/>
      <c r="C1016" s="5"/>
      <c r="G1016" s="11"/>
      <c r="H1016" s="5"/>
      <c r="I1016" s="11"/>
      <c r="J1016" s="20"/>
      <c r="K10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7" spans="1:11" x14ac:dyDescent="0.25">
      <c r="A1017" s="11"/>
      <c r="B1017" s="11" t="s">
        <v>481</v>
      </c>
      <c r="C1017" s="5" t="s">
        <v>68</v>
      </c>
      <c r="D1017">
        <v>400</v>
      </c>
      <c r="E1017">
        <v>6</v>
      </c>
      <c r="F1017">
        <v>15</v>
      </c>
      <c r="G1017" s="11">
        <v>1</v>
      </c>
      <c r="H1017" s="5">
        <v>3.5999999999999997E-2</v>
      </c>
      <c r="I1017" s="11">
        <v>313200</v>
      </c>
      <c r="J1017" s="20">
        <v>313200</v>
      </c>
      <c r="K10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18" spans="1:11" hidden="1" x14ac:dyDescent="0.25">
      <c r="A1018" s="11"/>
      <c r="B1018" s="11"/>
      <c r="C1018" s="5"/>
      <c r="G1018" s="11"/>
      <c r="H1018" s="5"/>
      <c r="I1018" s="11"/>
      <c r="J1018" s="20"/>
      <c r="K10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19" spans="1:11" x14ac:dyDescent="0.25">
      <c r="A1019" s="11"/>
      <c r="B1019" s="11" t="s">
        <v>498</v>
      </c>
      <c r="C1019" s="5" t="s">
        <v>92</v>
      </c>
      <c r="D1019">
        <v>500</v>
      </c>
      <c r="E1019">
        <v>6</v>
      </c>
      <c r="F1019">
        <v>15</v>
      </c>
      <c r="G1019" s="11">
        <v>1</v>
      </c>
      <c r="H1019" s="5">
        <v>4.4999999999999998E-2</v>
      </c>
      <c r="I1019" s="11">
        <v>414000</v>
      </c>
      <c r="J1019" s="20">
        <v>414000</v>
      </c>
      <c r="K10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20" spans="1:11" hidden="1" x14ac:dyDescent="0.25">
      <c r="A1020" s="11"/>
      <c r="B1020" s="11"/>
      <c r="C1020" s="5"/>
      <c r="G1020" s="11"/>
      <c r="H1020" s="5"/>
      <c r="I1020" s="11"/>
      <c r="J1020" s="20"/>
      <c r="K10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1" spans="1:11" hidden="1" x14ac:dyDescent="0.25">
      <c r="A1021" s="11"/>
      <c r="B1021" s="11"/>
      <c r="C1021" s="5"/>
      <c r="G1021" s="11"/>
      <c r="H1021" s="5"/>
      <c r="I1021" s="11"/>
      <c r="J1021" s="20"/>
      <c r="K10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2" spans="1:11" x14ac:dyDescent="0.25">
      <c r="A1022" s="11" t="s">
        <v>185</v>
      </c>
      <c r="B1022" s="11" t="s">
        <v>539</v>
      </c>
      <c r="C1022" s="5" t="s">
        <v>163</v>
      </c>
      <c r="D1022">
        <v>400</v>
      </c>
      <c r="E1022">
        <v>5</v>
      </c>
      <c r="F1022">
        <v>7</v>
      </c>
      <c r="G1022" s="11">
        <v>1</v>
      </c>
      <c r="H1022" s="5">
        <v>1.4E-2</v>
      </c>
      <c r="I1022" s="11">
        <v>116200</v>
      </c>
      <c r="J1022" s="20">
        <v>116200</v>
      </c>
      <c r="K10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023" spans="1:11" hidden="1" x14ac:dyDescent="0.25">
      <c r="A1023" s="11"/>
      <c r="B1023" s="11"/>
      <c r="C1023" s="5"/>
      <c r="G1023" s="11"/>
      <c r="H1023" s="5"/>
      <c r="I1023" s="11"/>
      <c r="J1023" s="20"/>
      <c r="K10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4" spans="1:11" hidden="1" x14ac:dyDescent="0.25">
      <c r="A1024" s="11"/>
      <c r="B1024" s="11"/>
      <c r="C1024" s="5"/>
      <c r="G1024" s="11"/>
      <c r="H1024" s="5"/>
      <c r="I1024" s="11"/>
      <c r="J1024" s="20"/>
      <c r="K10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5" spans="1:11" x14ac:dyDescent="0.25">
      <c r="A1025" s="11" t="s">
        <v>187</v>
      </c>
      <c r="B1025" s="11" t="s">
        <v>550</v>
      </c>
      <c r="C1025" s="5" t="s">
        <v>186</v>
      </c>
      <c r="D1025">
        <v>500</v>
      </c>
      <c r="E1025">
        <v>5</v>
      </c>
      <c r="F1025">
        <v>25</v>
      </c>
      <c r="G1025" s="11">
        <v>2</v>
      </c>
      <c r="H1025" s="5">
        <v>0.125</v>
      </c>
      <c r="I1025" s="11">
        <v>593750</v>
      </c>
      <c r="J1025" s="20">
        <v>1187500</v>
      </c>
      <c r="K10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026" spans="1:11" hidden="1" x14ac:dyDescent="0.25">
      <c r="A1026" s="11"/>
      <c r="B1026" s="11"/>
      <c r="C1026" s="5"/>
      <c r="G1026" s="11"/>
      <c r="H1026" s="5"/>
      <c r="I1026" s="11"/>
      <c r="J1026" s="20"/>
      <c r="K10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7" spans="1:11" hidden="1" x14ac:dyDescent="0.25">
      <c r="A1027" s="11"/>
      <c r="B1027" s="11"/>
      <c r="C1027" s="5"/>
      <c r="G1027" s="11"/>
      <c r="H1027" s="5"/>
      <c r="I1027" s="11"/>
      <c r="J1027" s="20"/>
      <c r="K10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8" spans="1:11" x14ac:dyDescent="0.25">
      <c r="A1028" s="11" t="s">
        <v>187</v>
      </c>
      <c r="B1028" s="11" t="s">
        <v>486</v>
      </c>
      <c r="C1028" s="5" t="s">
        <v>76</v>
      </c>
      <c r="D1028">
        <v>400</v>
      </c>
      <c r="E1028">
        <v>3</v>
      </c>
      <c r="F1028">
        <v>25</v>
      </c>
      <c r="G1028" s="11">
        <v>2</v>
      </c>
      <c r="H1028" s="5">
        <v>0.06</v>
      </c>
      <c r="I1028" s="11">
        <v>724500</v>
      </c>
      <c r="J1028" s="20">
        <v>1449000</v>
      </c>
      <c r="K10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29" spans="1:11" hidden="1" x14ac:dyDescent="0.25">
      <c r="A1029" s="11"/>
      <c r="B1029" s="11"/>
      <c r="C1029" s="5"/>
      <c r="G1029" s="11"/>
      <c r="H1029" s="5"/>
      <c r="I1029" s="11"/>
      <c r="J1029" s="20"/>
      <c r="K10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0" spans="1:11" x14ac:dyDescent="0.25">
      <c r="A1030" s="11"/>
      <c r="B1030" s="11" t="s">
        <v>506</v>
      </c>
      <c r="C1030" s="5" t="s">
        <v>103</v>
      </c>
      <c r="D1030">
        <v>400</v>
      </c>
      <c r="E1030">
        <v>3</v>
      </c>
      <c r="F1030">
        <v>30</v>
      </c>
      <c r="G1030" s="11">
        <v>2</v>
      </c>
      <c r="H1030" s="5">
        <v>7.1999999999999995E-2</v>
      </c>
      <c r="I1030" s="11">
        <v>887400</v>
      </c>
      <c r="J1030" s="20">
        <v>1774800</v>
      </c>
      <c r="K10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1" spans="1:11" hidden="1" x14ac:dyDescent="0.25">
      <c r="A1031" s="11"/>
      <c r="B1031" s="11"/>
      <c r="C1031" s="5"/>
      <c r="G1031" s="11"/>
      <c r="H1031" s="5"/>
      <c r="I1031" s="11"/>
      <c r="J1031" s="20"/>
      <c r="K10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2" spans="1:11" x14ac:dyDescent="0.25">
      <c r="A1032" s="11"/>
      <c r="B1032" s="11" t="s">
        <v>527</v>
      </c>
      <c r="C1032" s="5" t="s">
        <v>143</v>
      </c>
      <c r="D1032">
        <v>400</v>
      </c>
      <c r="E1032">
        <v>4</v>
      </c>
      <c r="F1032">
        <v>20</v>
      </c>
      <c r="G1032" s="11">
        <v>2</v>
      </c>
      <c r="H1032" s="5">
        <v>6.4000000000000001E-2</v>
      </c>
      <c r="I1032" s="11">
        <v>769600</v>
      </c>
      <c r="J1032" s="20">
        <v>1539200</v>
      </c>
      <c r="K10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3" spans="1:11" hidden="1" x14ac:dyDescent="0.25">
      <c r="A1033" s="11"/>
      <c r="B1033" s="11"/>
      <c r="C1033" s="5"/>
      <c r="G1033" s="11"/>
      <c r="H1033" s="5"/>
      <c r="I1033" s="11"/>
      <c r="J1033" s="20"/>
      <c r="K10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4" spans="1:11" x14ac:dyDescent="0.25">
      <c r="A1034" s="11"/>
      <c r="B1034" s="11" t="s">
        <v>507</v>
      </c>
      <c r="C1034" s="5" t="s">
        <v>104</v>
      </c>
      <c r="D1034">
        <v>400</v>
      </c>
      <c r="E1034">
        <v>4</v>
      </c>
      <c r="F1034">
        <v>25</v>
      </c>
      <c r="G1034" s="11">
        <v>4</v>
      </c>
      <c r="H1034" s="5">
        <v>0.16</v>
      </c>
      <c r="I1034" s="11">
        <v>966000</v>
      </c>
      <c r="J1034" s="20">
        <v>3864000</v>
      </c>
      <c r="K10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5" spans="1:11" hidden="1" x14ac:dyDescent="0.25">
      <c r="A1035" s="11"/>
      <c r="B1035" s="11"/>
      <c r="C1035" s="5"/>
      <c r="G1035" s="11"/>
      <c r="H1035" s="5"/>
      <c r="I1035" s="11"/>
      <c r="J1035" s="20"/>
      <c r="K10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6" spans="1:11" hidden="1" x14ac:dyDescent="0.25">
      <c r="A1036" s="11"/>
      <c r="B1036" s="11"/>
      <c r="C1036" s="5"/>
      <c r="G1036" s="11"/>
      <c r="H1036" s="5"/>
      <c r="I1036" s="11"/>
      <c r="J1036" s="20"/>
      <c r="K10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7" spans="1:11" x14ac:dyDescent="0.25">
      <c r="A1037" s="11" t="s">
        <v>187</v>
      </c>
      <c r="B1037" s="11" t="s">
        <v>462</v>
      </c>
      <c r="C1037" s="5" t="s">
        <v>44</v>
      </c>
      <c r="D1037">
        <v>400</v>
      </c>
      <c r="E1037">
        <v>6</v>
      </c>
      <c r="F1037">
        <v>15</v>
      </c>
      <c r="G1037" s="11">
        <v>4</v>
      </c>
      <c r="H1037" s="5">
        <v>0.14399999999999999</v>
      </c>
      <c r="I1037" s="11">
        <v>244800</v>
      </c>
      <c r="J1037" s="20">
        <v>979200</v>
      </c>
      <c r="K10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38" spans="1:11" hidden="1" x14ac:dyDescent="0.25">
      <c r="A1038" s="11"/>
      <c r="B1038" s="11"/>
      <c r="C1038" s="5"/>
      <c r="G1038" s="11"/>
      <c r="H1038" s="5"/>
      <c r="I1038" s="11"/>
      <c r="J1038" s="20"/>
      <c r="K10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39" spans="1:11" hidden="1" x14ac:dyDescent="0.25">
      <c r="A1039" s="11"/>
      <c r="B1039" s="11"/>
      <c r="C1039" s="5"/>
      <c r="G1039" s="11"/>
      <c r="H1039" s="5"/>
      <c r="I1039" s="11"/>
      <c r="J1039" s="20"/>
      <c r="K10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40" spans="1:11" x14ac:dyDescent="0.25">
      <c r="A1040" s="11" t="s">
        <v>188</v>
      </c>
      <c r="B1040" s="11" t="s">
        <v>539</v>
      </c>
      <c r="C1040" s="5" t="s">
        <v>163</v>
      </c>
      <c r="D1040">
        <v>400</v>
      </c>
      <c r="E1040">
        <v>5</v>
      </c>
      <c r="F1040">
        <v>7</v>
      </c>
      <c r="G1040" s="11">
        <v>1</v>
      </c>
      <c r="H1040" s="5">
        <v>1.4E-2</v>
      </c>
      <c r="I1040" s="11">
        <v>116200</v>
      </c>
      <c r="J1040" s="20">
        <v>116200</v>
      </c>
      <c r="K10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041" spans="1:11" hidden="1" x14ac:dyDescent="0.25">
      <c r="A1041" s="11"/>
      <c r="B1041" s="11"/>
      <c r="C1041" s="5"/>
      <c r="G1041" s="11"/>
      <c r="H1041" s="5"/>
      <c r="I1041" s="11"/>
      <c r="J1041" s="20"/>
      <c r="K10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42" spans="1:11" hidden="1" x14ac:dyDescent="0.25">
      <c r="A1042" s="11"/>
      <c r="B1042" s="11"/>
      <c r="C1042" s="5"/>
      <c r="G1042" s="11"/>
      <c r="H1042" s="5"/>
      <c r="I1042" s="11"/>
      <c r="J1042" s="20"/>
      <c r="K10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43" spans="1:11" x14ac:dyDescent="0.25">
      <c r="A1043" s="11" t="s">
        <v>188</v>
      </c>
      <c r="B1043" s="11" t="s">
        <v>490</v>
      </c>
      <c r="C1043" s="5" t="s">
        <v>82</v>
      </c>
      <c r="D1043">
        <v>250</v>
      </c>
      <c r="E1043">
        <v>6</v>
      </c>
      <c r="F1043">
        <v>15</v>
      </c>
      <c r="G1043" s="11">
        <v>18</v>
      </c>
      <c r="H1043" s="5">
        <v>0.40500000000000003</v>
      </c>
      <c r="I1043" s="11">
        <v>207000</v>
      </c>
      <c r="J1043" s="20">
        <v>3726000</v>
      </c>
      <c r="K10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44" spans="1:11" hidden="1" x14ac:dyDescent="0.25">
      <c r="A1044" s="11"/>
      <c r="B1044" s="11"/>
      <c r="C1044" s="5"/>
      <c r="G1044" s="11"/>
      <c r="H1044" s="5"/>
      <c r="I1044" s="11"/>
      <c r="J1044" s="20"/>
      <c r="K10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45" spans="1:11" x14ac:dyDescent="0.25">
      <c r="A1045" s="11"/>
      <c r="B1045" s="11" t="s">
        <v>481</v>
      </c>
      <c r="C1045" s="5" t="s">
        <v>68</v>
      </c>
      <c r="D1045">
        <v>400</v>
      </c>
      <c r="E1045">
        <v>6</v>
      </c>
      <c r="F1045">
        <v>15</v>
      </c>
      <c r="G1045" s="11">
        <v>4</v>
      </c>
      <c r="H1045" s="5">
        <v>0.14399999999999999</v>
      </c>
      <c r="I1045" s="11">
        <v>313200</v>
      </c>
      <c r="J1045" s="20">
        <v>1252800</v>
      </c>
      <c r="K10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46" spans="1:11" hidden="1" x14ac:dyDescent="0.25">
      <c r="A1046" s="11"/>
      <c r="B1046" s="11"/>
      <c r="C1046" s="5"/>
      <c r="G1046" s="11"/>
      <c r="H1046" s="5"/>
      <c r="I1046" s="11"/>
      <c r="J1046" s="20"/>
      <c r="K10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47" spans="1:11" x14ac:dyDescent="0.25">
      <c r="A1047" s="11"/>
      <c r="B1047" s="11" t="s">
        <v>491</v>
      </c>
      <c r="C1047" s="5" t="s">
        <v>83</v>
      </c>
      <c r="D1047">
        <v>450</v>
      </c>
      <c r="E1047">
        <v>6</v>
      </c>
      <c r="F1047">
        <v>15</v>
      </c>
      <c r="G1047" s="11">
        <v>1</v>
      </c>
      <c r="H1047" s="5">
        <v>4.0500000000000001E-2</v>
      </c>
      <c r="I1047" s="11">
        <v>372600</v>
      </c>
      <c r="J1047" s="20">
        <v>372600</v>
      </c>
      <c r="K10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48" spans="1:11" hidden="1" x14ac:dyDescent="0.25">
      <c r="A1048" s="11"/>
      <c r="B1048" s="11"/>
      <c r="C1048" s="5"/>
      <c r="G1048" s="11"/>
      <c r="H1048" s="5"/>
      <c r="I1048" s="11"/>
      <c r="J1048" s="20"/>
      <c r="K10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49" spans="1:11" hidden="1" x14ac:dyDescent="0.25">
      <c r="A1049" s="11"/>
      <c r="B1049" s="11"/>
      <c r="C1049" s="5"/>
      <c r="G1049" s="11"/>
      <c r="H1049" s="5"/>
      <c r="I1049" s="11"/>
      <c r="J1049" s="20"/>
      <c r="K10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0" spans="1:11" x14ac:dyDescent="0.25">
      <c r="A1050" s="11" t="s">
        <v>188</v>
      </c>
      <c r="B1050" s="11" t="s">
        <v>551</v>
      </c>
      <c r="C1050" s="5" t="s">
        <v>189</v>
      </c>
      <c r="D1050">
        <v>400</v>
      </c>
      <c r="E1050">
        <v>4</v>
      </c>
      <c r="F1050">
        <v>6</v>
      </c>
      <c r="G1050" s="11">
        <v>3</v>
      </c>
      <c r="H1050" s="5">
        <v>2.8799999999999999E-2</v>
      </c>
      <c r="I1050" s="11">
        <v>212160</v>
      </c>
      <c r="J1050" s="20">
        <v>636480</v>
      </c>
      <c r="K10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1" spans="1:11" hidden="1" x14ac:dyDescent="0.25">
      <c r="A1051" s="11"/>
      <c r="B1051" s="11"/>
      <c r="C1051" s="5"/>
      <c r="G1051" s="11"/>
      <c r="H1051" s="5"/>
      <c r="I1051" s="11"/>
      <c r="J1051" s="20"/>
      <c r="K10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2" spans="1:11" x14ac:dyDescent="0.25">
      <c r="A1052" s="11"/>
      <c r="B1052" s="11" t="s">
        <v>544</v>
      </c>
      <c r="C1052" s="5" t="s">
        <v>176</v>
      </c>
      <c r="D1052">
        <v>400</v>
      </c>
      <c r="E1052">
        <v>3</v>
      </c>
      <c r="F1052">
        <v>4</v>
      </c>
      <c r="G1052" s="11">
        <v>40</v>
      </c>
      <c r="H1052" s="5">
        <v>0.192</v>
      </c>
      <c r="I1052" s="11">
        <v>41760</v>
      </c>
      <c r="J1052" s="20">
        <v>1670400</v>
      </c>
      <c r="K10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3" spans="1:11" hidden="1" x14ac:dyDescent="0.25">
      <c r="A1053" s="11"/>
      <c r="B1053" s="11"/>
      <c r="C1053" s="5"/>
      <c r="G1053" s="11"/>
      <c r="H1053" s="5"/>
      <c r="I1053" s="11"/>
      <c r="J1053" s="20"/>
      <c r="K10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4" spans="1:11" hidden="1" x14ac:dyDescent="0.25">
      <c r="A1054" s="11"/>
      <c r="B1054" s="11"/>
      <c r="C1054" s="5"/>
      <c r="G1054" s="11"/>
      <c r="H1054" s="5"/>
      <c r="I1054" s="11"/>
      <c r="J1054" s="20"/>
      <c r="K10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5" spans="1:11" x14ac:dyDescent="0.25">
      <c r="A1055" s="11" t="s">
        <v>190</v>
      </c>
      <c r="B1055" s="11" t="s">
        <v>476</v>
      </c>
      <c r="C1055" s="5" t="s">
        <v>62</v>
      </c>
      <c r="D1055">
        <v>400</v>
      </c>
      <c r="E1055">
        <v>3</v>
      </c>
      <c r="F1055">
        <v>20</v>
      </c>
      <c r="G1055" s="11">
        <v>4</v>
      </c>
      <c r="H1055" s="5">
        <v>9.6000000000000002E-2</v>
      </c>
      <c r="I1055" s="11">
        <v>214800</v>
      </c>
      <c r="J1055" s="20">
        <v>859200</v>
      </c>
      <c r="K10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6" spans="1:11" hidden="1" x14ac:dyDescent="0.25">
      <c r="A1056" s="11"/>
      <c r="B1056" s="11"/>
      <c r="C1056" s="5"/>
      <c r="G1056" s="11"/>
      <c r="H1056" s="5"/>
      <c r="I1056" s="11"/>
      <c r="J1056" s="20"/>
      <c r="K10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7" spans="1:11" x14ac:dyDescent="0.25">
      <c r="A1057" s="11"/>
      <c r="B1057" s="11" t="s">
        <v>438</v>
      </c>
      <c r="C1057" s="5" t="s">
        <v>15</v>
      </c>
      <c r="D1057">
        <v>400</v>
      </c>
      <c r="E1057">
        <v>3</v>
      </c>
      <c r="F1057">
        <v>25</v>
      </c>
      <c r="G1057" s="11">
        <v>2</v>
      </c>
      <c r="H1057" s="5">
        <v>0.06</v>
      </c>
      <c r="I1057" s="11">
        <v>286500</v>
      </c>
      <c r="J1057" s="20">
        <v>573000</v>
      </c>
      <c r="K10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8" spans="1:11" hidden="1" x14ac:dyDescent="0.25">
      <c r="A1058" s="11"/>
      <c r="B1058" s="11"/>
      <c r="C1058" s="5"/>
      <c r="G1058" s="11"/>
      <c r="H1058" s="5"/>
      <c r="I1058" s="11"/>
      <c r="J1058" s="20"/>
      <c r="K10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59" spans="1:11" x14ac:dyDescent="0.25">
      <c r="A1059" s="11"/>
      <c r="B1059" s="11" t="s">
        <v>434</v>
      </c>
      <c r="C1059" s="5" t="s">
        <v>10</v>
      </c>
      <c r="D1059">
        <v>400</v>
      </c>
      <c r="E1059">
        <v>4</v>
      </c>
      <c r="F1059">
        <v>30</v>
      </c>
      <c r="G1059" s="11">
        <v>2</v>
      </c>
      <c r="H1059" s="5">
        <v>9.6000000000000002E-2</v>
      </c>
      <c r="I1059" s="11">
        <v>468000</v>
      </c>
      <c r="J1059" s="20">
        <v>936000</v>
      </c>
      <c r="K10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0" spans="1:11" hidden="1" x14ac:dyDescent="0.25">
      <c r="A1060" s="11"/>
      <c r="B1060" s="11"/>
      <c r="C1060" s="5"/>
      <c r="G1060" s="11"/>
      <c r="H1060" s="5"/>
      <c r="I1060" s="11"/>
      <c r="J1060" s="20"/>
      <c r="K10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1" spans="1:11" hidden="1" x14ac:dyDescent="0.25">
      <c r="A1061" s="11"/>
      <c r="B1061" s="11"/>
      <c r="C1061" s="5"/>
      <c r="G1061" s="11"/>
      <c r="H1061" s="5"/>
      <c r="I1061" s="11"/>
      <c r="J1061" s="20"/>
      <c r="K10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2" spans="1:11" x14ac:dyDescent="0.25">
      <c r="A1062" s="11" t="s">
        <v>190</v>
      </c>
      <c r="B1062" s="11" t="s">
        <v>514</v>
      </c>
      <c r="C1062" s="5" t="s">
        <v>116</v>
      </c>
      <c r="D1062">
        <v>500</v>
      </c>
      <c r="E1062">
        <v>5</v>
      </c>
      <c r="F1062">
        <v>30</v>
      </c>
      <c r="G1062" s="11">
        <v>2</v>
      </c>
      <c r="H1062" s="5">
        <v>0.15</v>
      </c>
      <c r="I1062" s="11">
        <v>727500</v>
      </c>
      <c r="J1062" s="20">
        <v>1455000</v>
      </c>
      <c r="K10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063" spans="1:11" hidden="1" x14ac:dyDescent="0.25">
      <c r="A1063" s="11"/>
      <c r="B1063" s="11"/>
      <c r="C1063" s="5"/>
      <c r="G1063" s="11"/>
      <c r="H1063" s="5"/>
      <c r="I1063" s="11"/>
      <c r="J1063" s="20"/>
      <c r="K10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4" spans="1:11" x14ac:dyDescent="0.25">
      <c r="A1064" s="11"/>
      <c r="B1064" s="11" t="s">
        <v>498</v>
      </c>
      <c r="C1064" s="5" t="s">
        <v>92</v>
      </c>
      <c r="D1064">
        <v>500</v>
      </c>
      <c r="E1064">
        <v>6</v>
      </c>
      <c r="F1064">
        <v>15</v>
      </c>
      <c r="G1064" s="11">
        <v>2</v>
      </c>
      <c r="H1064" s="5">
        <v>0.09</v>
      </c>
      <c r="I1064" s="11">
        <v>414000</v>
      </c>
      <c r="J1064" s="20">
        <v>828000</v>
      </c>
      <c r="K10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65" spans="1:11" hidden="1" x14ac:dyDescent="0.25">
      <c r="A1065" s="11"/>
      <c r="B1065" s="11"/>
      <c r="C1065" s="5"/>
      <c r="G1065" s="11"/>
      <c r="H1065" s="5"/>
      <c r="I1065" s="11"/>
      <c r="J1065" s="20"/>
      <c r="K10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6" spans="1:11" hidden="1" x14ac:dyDescent="0.25">
      <c r="A1066" s="11"/>
      <c r="B1066" s="11"/>
      <c r="C1066" s="5"/>
      <c r="G1066" s="11"/>
      <c r="H1066" s="5"/>
      <c r="I1066" s="11"/>
      <c r="J1066" s="20"/>
      <c r="K10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7" spans="1:11" x14ac:dyDescent="0.25">
      <c r="A1067" s="11" t="s">
        <v>190</v>
      </c>
      <c r="B1067" s="11" t="s">
        <v>434</v>
      </c>
      <c r="C1067" s="5" t="s">
        <v>10</v>
      </c>
      <c r="D1067">
        <v>400</v>
      </c>
      <c r="E1067">
        <v>4</v>
      </c>
      <c r="F1067">
        <v>30</v>
      </c>
      <c r="G1067" s="11">
        <v>20</v>
      </c>
      <c r="H1067" s="5">
        <v>0.96</v>
      </c>
      <c r="I1067" s="11">
        <v>456000</v>
      </c>
      <c r="J1067" s="20">
        <v>9120000</v>
      </c>
      <c r="K10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8" spans="1:11" hidden="1" x14ac:dyDescent="0.25">
      <c r="A1068" s="11"/>
      <c r="B1068" s="11"/>
      <c r="C1068" s="5"/>
      <c r="G1068" s="11"/>
      <c r="H1068" s="5"/>
      <c r="I1068" s="11"/>
      <c r="J1068" s="20"/>
      <c r="K10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69" spans="1:11" x14ac:dyDescent="0.25">
      <c r="A1069" s="11"/>
      <c r="B1069" s="11" t="s">
        <v>502</v>
      </c>
      <c r="C1069" s="5" t="s">
        <v>98</v>
      </c>
      <c r="D1069">
        <v>400</v>
      </c>
      <c r="E1069">
        <v>5</v>
      </c>
      <c r="F1069">
        <v>15</v>
      </c>
      <c r="G1069" s="11">
        <v>36</v>
      </c>
      <c r="H1069" s="5">
        <v>1.08</v>
      </c>
      <c r="I1069" s="11">
        <v>273000</v>
      </c>
      <c r="J1069" s="20">
        <v>9828000</v>
      </c>
      <c r="K10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70" spans="1:11" hidden="1" x14ac:dyDescent="0.25">
      <c r="A1070" s="11"/>
      <c r="B1070" s="11"/>
      <c r="C1070" s="5"/>
      <c r="G1070" s="11"/>
      <c r="H1070" s="5"/>
      <c r="I1070" s="11"/>
      <c r="J1070" s="20"/>
      <c r="K10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1" spans="1:11" x14ac:dyDescent="0.25">
      <c r="A1071" s="11"/>
      <c r="B1071" s="11" t="s">
        <v>519</v>
      </c>
      <c r="C1071" s="5" t="s">
        <v>125</v>
      </c>
      <c r="D1071">
        <v>400</v>
      </c>
      <c r="E1071">
        <v>5</v>
      </c>
      <c r="F1071">
        <v>25</v>
      </c>
      <c r="G1071" s="11">
        <v>6</v>
      </c>
      <c r="H1071" s="5">
        <v>0.3</v>
      </c>
      <c r="I1071" s="11">
        <v>475000</v>
      </c>
      <c r="J1071" s="20">
        <v>2850000</v>
      </c>
      <c r="K10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072" spans="1:11" hidden="1" x14ac:dyDescent="0.25">
      <c r="A1072" s="11"/>
      <c r="B1072" s="11"/>
      <c r="C1072" s="5"/>
      <c r="G1072" s="11"/>
      <c r="H1072" s="5"/>
      <c r="I1072" s="11"/>
      <c r="J1072" s="20"/>
      <c r="K10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3" spans="1:11" x14ac:dyDescent="0.25">
      <c r="A1073" s="11"/>
      <c r="B1073" s="11" t="s">
        <v>440</v>
      </c>
      <c r="C1073" s="5" t="s">
        <v>17</v>
      </c>
      <c r="D1073">
        <v>500</v>
      </c>
      <c r="E1073">
        <v>4</v>
      </c>
      <c r="F1073">
        <v>25</v>
      </c>
      <c r="G1073" s="11">
        <v>15</v>
      </c>
      <c r="H1073" s="5">
        <v>0.75</v>
      </c>
      <c r="I1073" s="11">
        <v>465000</v>
      </c>
      <c r="J1073" s="20">
        <v>6975000</v>
      </c>
      <c r="K10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4" spans="1:11" hidden="1" x14ac:dyDescent="0.25">
      <c r="A1074" s="11"/>
      <c r="B1074" s="11"/>
      <c r="C1074" s="5"/>
      <c r="G1074" s="11"/>
      <c r="H1074" s="5"/>
      <c r="I1074" s="11"/>
      <c r="J1074" s="20"/>
      <c r="K10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5" spans="1:11" hidden="1" x14ac:dyDescent="0.25">
      <c r="A1075" s="11"/>
      <c r="B1075" s="11"/>
      <c r="C1075" s="5"/>
      <c r="G1075" s="11"/>
      <c r="H1075" s="5"/>
      <c r="I1075" s="11"/>
      <c r="J1075" s="20"/>
      <c r="K10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6" spans="1:11" x14ac:dyDescent="0.25">
      <c r="A1076" s="11" t="s">
        <v>190</v>
      </c>
      <c r="B1076" s="11" t="s">
        <v>503</v>
      </c>
      <c r="C1076" s="5" t="s">
        <v>99</v>
      </c>
      <c r="D1076">
        <v>300</v>
      </c>
      <c r="E1076">
        <v>6</v>
      </c>
      <c r="F1076">
        <v>15</v>
      </c>
      <c r="G1076" s="11">
        <v>5</v>
      </c>
      <c r="H1076" s="5">
        <v>0.13500000000000001</v>
      </c>
      <c r="I1076" s="11">
        <v>234900</v>
      </c>
      <c r="J1076" s="20">
        <v>1174500</v>
      </c>
      <c r="K10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77" spans="1:11" hidden="1" x14ac:dyDescent="0.25">
      <c r="A1077" s="11"/>
      <c r="B1077" s="11"/>
      <c r="C1077" s="5"/>
      <c r="G1077" s="11"/>
      <c r="H1077" s="5"/>
      <c r="I1077" s="11"/>
      <c r="J1077" s="20"/>
      <c r="K10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8" spans="1:11" x14ac:dyDescent="0.25">
      <c r="A1078" s="11"/>
      <c r="B1078" s="11" t="s">
        <v>434</v>
      </c>
      <c r="C1078" s="5" t="s">
        <v>10</v>
      </c>
      <c r="D1078">
        <v>400</v>
      </c>
      <c r="E1078">
        <v>4</v>
      </c>
      <c r="F1078">
        <v>30</v>
      </c>
      <c r="G1078" s="11">
        <v>10</v>
      </c>
      <c r="H1078" s="5">
        <v>0.48</v>
      </c>
      <c r="I1078" s="11">
        <v>456000</v>
      </c>
      <c r="J1078" s="20">
        <v>4560000</v>
      </c>
      <c r="K10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79" spans="1:11" hidden="1" x14ac:dyDescent="0.25">
      <c r="A1079" s="11"/>
      <c r="B1079" s="11"/>
      <c r="C1079" s="5"/>
      <c r="G1079" s="11"/>
      <c r="H1079" s="5"/>
      <c r="I1079" s="11"/>
      <c r="J1079" s="20"/>
      <c r="K10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0" spans="1:11" x14ac:dyDescent="0.25">
      <c r="A1080" s="11"/>
      <c r="B1080" s="11" t="s">
        <v>481</v>
      </c>
      <c r="C1080" s="5" t="s">
        <v>68</v>
      </c>
      <c r="D1080">
        <v>400</v>
      </c>
      <c r="E1080">
        <v>6</v>
      </c>
      <c r="F1080">
        <v>15</v>
      </c>
      <c r="G1080" s="11">
        <v>2</v>
      </c>
      <c r="H1080" s="5">
        <v>7.1999999999999995E-2</v>
      </c>
      <c r="I1080" s="11">
        <v>313200</v>
      </c>
      <c r="J1080" s="20">
        <v>626400</v>
      </c>
      <c r="K10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81" spans="1:11" hidden="1" x14ac:dyDescent="0.25">
      <c r="A1081" s="11"/>
      <c r="B1081" s="11"/>
      <c r="C1081" s="5"/>
      <c r="G1081" s="11"/>
      <c r="H1081" s="5"/>
      <c r="I1081" s="11"/>
      <c r="J1081" s="20"/>
      <c r="K10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2" spans="1:11" hidden="1" x14ac:dyDescent="0.25">
      <c r="A1082" s="11"/>
      <c r="B1082" s="11"/>
      <c r="C1082" s="5"/>
      <c r="G1082" s="11"/>
      <c r="H1082" s="5"/>
      <c r="I1082" s="11"/>
      <c r="J1082" s="20"/>
      <c r="K10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3" spans="1:11" x14ac:dyDescent="0.25">
      <c r="A1083" s="11" t="s">
        <v>192</v>
      </c>
      <c r="B1083" s="11" t="s">
        <v>552</v>
      </c>
      <c r="C1083" s="5" t="s">
        <v>191</v>
      </c>
      <c r="D1083">
        <v>400</v>
      </c>
      <c r="E1083">
        <v>15</v>
      </c>
      <c r="F1083">
        <v>15</v>
      </c>
      <c r="G1083" s="11">
        <v>2</v>
      </c>
      <c r="H1083" s="5">
        <v>0.18</v>
      </c>
      <c r="I1083" s="11">
        <v>1080000</v>
      </c>
      <c r="J1083" s="20">
        <v>2160000</v>
      </c>
      <c r="K10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084" spans="1:11" hidden="1" x14ac:dyDescent="0.25">
      <c r="A1084" s="11"/>
      <c r="B1084" s="11"/>
      <c r="C1084" s="5"/>
      <c r="G1084" s="11"/>
      <c r="H1084" s="5"/>
      <c r="I1084" s="11"/>
      <c r="J1084" s="20"/>
      <c r="K10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5" spans="1:11" x14ac:dyDescent="0.25">
      <c r="A1085" s="11"/>
      <c r="B1085" s="11" t="s">
        <v>502</v>
      </c>
      <c r="C1085" s="5" t="s">
        <v>98</v>
      </c>
      <c r="D1085">
        <v>400</v>
      </c>
      <c r="E1085">
        <v>5</v>
      </c>
      <c r="F1085">
        <v>15</v>
      </c>
      <c r="G1085" s="11">
        <v>4</v>
      </c>
      <c r="H1085" s="5">
        <v>0.12</v>
      </c>
      <c r="I1085" s="11">
        <v>273000</v>
      </c>
      <c r="J1085" s="20">
        <v>1092000</v>
      </c>
      <c r="K10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86" spans="1:11" hidden="1" x14ac:dyDescent="0.25">
      <c r="A1086" s="11"/>
      <c r="B1086" s="11"/>
      <c r="C1086" s="5"/>
      <c r="G1086" s="11"/>
      <c r="H1086" s="5"/>
      <c r="I1086" s="11"/>
      <c r="J1086" s="20"/>
      <c r="K10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7" spans="1:11" hidden="1" x14ac:dyDescent="0.25">
      <c r="A1087" s="11"/>
      <c r="B1087" s="11"/>
      <c r="C1087" s="5"/>
      <c r="G1087" s="11"/>
      <c r="H1087" s="5"/>
      <c r="I1087" s="11"/>
      <c r="J1087" s="20"/>
      <c r="K10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8" spans="1:11" x14ac:dyDescent="0.25">
      <c r="A1088" s="11" t="s">
        <v>192</v>
      </c>
      <c r="B1088" s="11" t="s">
        <v>443</v>
      </c>
      <c r="C1088" s="5" t="s">
        <v>21</v>
      </c>
      <c r="D1088">
        <v>400</v>
      </c>
      <c r="E1088">
        <v>4</v>
      </c>
      <c r="F1088">
        <v>25</v>
      </c>
      <c r="G1088" s="11">
        <v>12</v>
      </c>
      <c r="H1088" s="5">
        <v>0.48</v>
      </c>
      <c r="I1088" s="11">
        <v>372000</v>
      </c>
      <c r="J1088" s="20">
        <v>4464000</v>
      </c>
      <c r="K10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89" spans="1:11" hidden="1" x14ac:dyDescent="0.25">
      <c r="A1089" s="11"/>
      <c r="B1089" s="11"/>
      <c r="C1089" s="5"/>
      <c r="G1089" s="11"/>
      <c r="H1089" s="5"/>
      <c r="I1089" s="11"/>
      <c r="J1089" s="20"/>
      <c r="K10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0" spans="1:11" hidden="1" x14ac:dyDescent="0.25">
      <c r="A1090" s="11"/>
      <c r="B1090" s="11"/>
      <c r="C1090" s="5"/>
      <c r="G1090" s="11"/>
      <c r="H1090" s="5"/>
      <c r="I1090" s="11"/>
      <c r="J1090" s="20"/>
      <c r="K10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1" spans="1:11" x14ac:dyDescent="0.25">
      <c r="A1091" s="11" t="s">
        <v>193</v>
      </c>
      <c r="B1091" s="11" t="s">
        <v>477</v>
      </c>
      <c r="C1091" s="5" t="s">
        <v>63</v>
      </c>
      <c r="D1091">
        <v>100</v>
      </c>
      <c r="E1091">
        <v>6</v>
      </c>
      <c r="F1091">
        <v>15</v>
      </c>
      <c r="G1091" s="11">
        <v>1</v>
      </c>
      <c r="H1091" s="5">
        <v>8.9999999999999993E-3</v>
      </c>
      <c r="I1091" s="11">
        <v>181800</v>
      </c>
      <c r="J1091" s="20">
        <v>181800</v>
      </c>
      <c r="K10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92" spans="1:11" hidden="1" x14ac:dyDescent="0.25">
      <c r="A1092" s="11"/>
      <c r="B1092" s="11"/>
      <c r="C1092" s="5"/>
      <c r="G1092" s="11"/>
      <c r="H1092" s="5"/>
      <c r="I1092" s="11"/>
      <c r="J1092" s="20"/>
      <c r="K10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3" spans="1:11" x14ac:dyDescent="0.25">
      <c r="A1093" s="11"/>
      <c r="B1093" s="11" t="s">
        <v>500</v>
      </c>
      <c r="C1093" s="5" t="s">
        <v>95</v>
      </c>
      <c r="D1093">
        <v>210</v>
      </c>
      <c r="E1093">
        <v>6</v>
      </c>
      <c r="F1093">
        <v>15</v>
      </c>
      <c r="G1093" s="11">
        <v>2</v>
      </c>
      <c r="H1093" s="5">
        <v>3.78E-2</v>
      </c>
      <c r="I1093" s="11">
        <v>408240</v>
      </c>
      <c r="J1093" s="20">
        <v>816480</v>
      </c>
      <c r="K10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094" spans="1:11" hidden="1" x14ac:dyDescent="0.25">
      <c r="A1094" s="11"/>
      <c r="B1094" s="11"/>
      <c r="C1094" s="5"/>
      <c r="G1094" s="11"/>
      <c r="H1094" s="5"/>
      <c r="I1094" s="11"/>
      <c r="J1094" s="20"/>
      <c r="K10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5" spans="1:11" hidden="1" x14ac:dyDescent="0.25">
      <c r="A1095" s="11"/>
      <c r="B1095" s="11"/>
      <c r="C1095" s="5"/>
      <c r="G1095" s="11"/>
      <c r="H1095" s="5"/>
      <c r="I1095" s="11"/>
      <c r="J1095" s="20"/>
      <c r="K10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6" spans="1:11" x14ac:dyDescent="0.25">
      <c r="A1096" s="11" t="s">
        <v>193</v>
      </c>
      <c r="B1096" s="11" t="s">
        <v>553</v>
      </c>
      <c r="C1096" s="5" t="s">
        <v>194</v>
      </c>
      <c r="D1096">
        <v>400</v>
      </c>
      <c r="E1096">
        <v>3</v>
      </c>
      <c r="F1096">
        <v>30</v>
      </c>
      <c r="G1096" s="11">
        <v>2</v>
      </c>
      <c r="H1096" s="5">
        <v>7.1999999999999995E-2</v>
      </c>
      <c r="I1096" s="11">
        <v>298800</v>
      </c>
      <c r="J1096" s="20">
        <v>597600</v>
      </c>
      <c r="K10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7" spans="1:11" hidden="1" x14ac:dyDescent="0.25">
      <c r="A1097" s="11"/>
      <c r="B1097" s="11"/>
      <c r="C1097" s="5"/>
      <c r="G1097" s="11"/>
      <c r="H1097" s="5"/>
      <c r="I1097" s="11"/>
      <c r="J1097" s="20"/>
      <c r="K10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8" spans="1:11" hidden="1" x14ac:dyDescent="0.25">
      <c r="A1098" s="11"/>
      <c r="B1098" s="11"/>
      <c r="C1098" s="5"/>
      <c r="G1098" s="11"/>
      <c r="H1098" s="5"/>
      <c r="I1098" s="11"/>
      <c r="J1098" s="20"/>
      <c r="K10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099" spans="1:11" x14ac:dyDescent="0.25">
      <c r="A1099" s="11" t="s">
        <v>193</v>
      </c>
      <c r="B1099" s="11" t="s">
        <v>439</v>
      </c>
      <c r="C1099" s="5" t="s">
        <v>16</v>
      </c>
      <c r="D1099">
        <v>400</v>
      </c>
      <c r="E1099">
        <v>3</v>
      </c>
      <c r="F1099">
        <v>30</v>
      </c>
      <c r="G1099" s="11">
        <v>3</v>
      </c>
      <c r="H1099" s="5">
        <v>0.108</v>
      </c>
      <c r="I1099" s="11">
        <v>342000</v>
      </c>
      <c r="J1099" s="20">
        <v>1026000</v>
      </c>
      <c r="K10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0" spans="1:11" hidden="1" x14ac:dyDescent="0.25">
      <c r="A1100" s="11"/>
      <c r="B1100" s="11"/>
      <c r="C1100" s="5"/>
      <c r="G1100" s="11"/>
      <c r="H1100" s="5"/>
      <c r="I1100" s="11"/>
      <c r="J1100" s="20"/>
      <c r="K11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1" spans="1:11" x14ac:dyDescent="0.25">
      <c r="A1101" s="11"/>
      <c r="B1101" s="11" t="s">
        <v>433</v>
      </c>
      <c r="C1101" s="5" t="s">
        <v>9</v>
      </c>
      <c r="D1101">
        <v>400</v>
      </c>
      <c r="E1101">
        <v>4</v>
      </c>
      <c r="F1101">
        <v>20</v>
      </c>
      <c r="G1101" s="11">
        <v>2</v>
      </c>
      <c r="H1101" s="5">
        <v>6.4000000000000001E-2</v>
      </c>
      <c r="I1101" s="11">
        <v>294400</v>
      </c>
      <c r="J1101" s="20">
        <v>588800</v>
      </c>
      <c r="K11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2" spans="1:11" hidden="1" x14ac:dyDescent="0.25">
      <c r="A1102" s="11"/>
      <c r="B1102" s="11"/>
      <c r="C1102" s="5"/>
      <c r="G1102" s="11"/>
      <c r="H1102" s="5"/>
      <c r="I1102" s="11"/>
      <c r="J1102" s="20"/>
      <c r="K11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3" spans="1:11" x14ac:dyDescent="0.25">
      <c r="A1103" s="11"/>
      <c r="B1103" s="11" t="s">
        <v>443</v>
      </c>
      <c r="C1103" s="5" t="s">
        <v>21</v>
      </c>
      <c r="D1103">
        <v>400</v>
      </c>
      <c r="E1103">
        <v>4</v>
      </c>
      <c r="F1103">
        <v>25</v>
      </c>
      <c r="G1103" s="11">
        <v>3</v>
      </c>
      <c r="H1103" s="5">
        <v>0.12</v>
      </c>
      <c r="I1103" s="11">
        <v>372000</v>
      </c>
      <c r="J1103" s="20">
        <v>1116000</v>
      </c>
      <c r="K11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4" spans="1:11" hidden="1" x14ac:dyDescent="0.25">
      <c r="A1104" s="11"/>
      <c r="B1104" s="11"/>
      <c r="C1104" s="5"/>
      <c r="G1104" s="11"/>
      <c r="H1104" s="5"/>
      <c r="I1104" s="11"/>
      <c r="J1104" s="20"/>
      <c r="K11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5" spans="1:11" x14ac:dyDescent="0.25">
      <c r="A1105" s="11"/>
      <c r="B1105" s="11" t="s">
        <v>520</v>
      </c>
      <c r="C1105" s="5" t="s">
        <v>126</v>
      </c>
      <c r="D1105">
        <v>500</v>
      </c>
      <c r="E1105">
        <v>6</v>
      </c>
      <c r="F1105">
        <v>12</v>
      </c>
      <c r="G1105" s="11">
        <v>6</v>
      </c>
      <c r="H1105" s="5">
        <v>0.216</v>
      </c>
      <c r="I1105" s="11">
        <v>331200</v>
      </c>
      <c r="J1105" s="20">
        <v>1987200</v>
      </c>
      <c r="K11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06" spans="1:11" hidden="1" x14ac:dyDescent="0.25">
      <c r="A1106" s="11"/>
      <c r="B1106" s="11"/>
      <c r="C1106" s="5"/>
      <c r="G1106" s="11"/>
      <c r="H1106" s="5"/>
      <c r="I1106" s="11"/>
      <c r="J1106" s="20"/>
      <c r="K11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7" spans="1:11" hidden="1" x14ac:dyDescent="0.25">
      <c r="A1107" s="11"/>
      <c r="B1107" s="11"/>
      <c r="C1107" s="5"/>
      <c r="G1107" s="11"/>
      <c r="H1107" s="5"/>
      <c r="I1107" s="11"/>
      <c r="J1107" s="20"/>
      <c r="K11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8" spans="1:11" x14ac:dyDescent="0.25">
      <c r="A1108" s="11" t="s">
        <v>193</v>
      </c>
      <c r="B1108" s="11" t="s">
        <v>433</v>
      </c>
      <c r="C1108" s="5" t="s">
        <v>9</v>
      </c>
      <c r="D1108">
        <v>400</v>
      </c>
      <c r="E1108">
        <v>4</v>
      </c>
      <c r="F1108">
        <v>20</v>
      </c>
      <c r="G1108" s="11">
        <v>5</v>
      </c>
      <c r="H1108" s="5">
        <v>0.16</v>
      </c>
      <c r="I1108" s="11">
        <v>294400</v>
      </c>
      <c r="J1108" s="20">
        <v>1472000</v>
      </c>
      <c r="K11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09" spans="1:11" hidden="1" x14ac:dyDescent="0.25">
      <c r="A1109" s="11"/>
      <c r="B1109" s="11"/>
      <c r="C1109" s="5"/>
      <c r="G1109" s="11"/>
      <c r="H1109" s="5"/>
      <c r="I1109" s="11"/>
      <c r="J1109" s="20"/>
      <c r="K11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0" spans="1:11" x14ac:dyDescent="0.25">
      <c r="A1110" s="11"/>
      <c r="B1110" s="11" t="s">
        <v>523</v>
      </c>
      <c r="C1110" s="5" t="s">
        <v>133</v>
      </c>
      <c r="D1110">
        <v>500</v>
      </c>
      <c r="E1110">
        <v>4</v>
      </c>
      <c r="F1110">
        <v>20</v>
      </c>
      <c r="G1110" s="11">
        <v>10</v>
      </c>
      <c r="H1110" s="5">
        <v>0.4</v>
      </c>
      <c r="I1110" s="11">
        <v>368000</v>
      </c>
      <c r="J1110" s="20">
        <v>3680000</v>
      </c>
      <c r="K11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1" spans="1:11" hidden="1" x14ac:dyDescent="0.25">
      <c r="A1111" s="11"/>
      <c r="B1111" s="11"/>
      <c r="C1111" s="5"/>
      <c r="G1111" s="11"/>
      <c r="H1111" s="5"/>
      <c r="I1111" s="11"/>
      <c r="J1111" s="20"/>
      <c r="K11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2" spans="1:11" x14ac:dyDescent="0.25">
      <c r="A1112" s="11"/>
      <c r="B1112" s="11" t="s">
        <v>514</v>
      </c>
      <c r="C1112" s="5" t="s">
        <v>116</v>
      </c>
      <c r="D1112">
        <v>500</v>
      </c>
      <c r="E1112">
        <v>5</v>
      </c>
      <c r="F1112">
        <v>30</v>
      </c>
      <c r="G1112" s="11">
        <v>1</v>
      </c>
      <c r="H1112" s="5">
        <v>7.4999999999999997E-2</v>
      </c>
      <c r="I1112" s="11">
        <v>727500</v>
      </c>
      <c r="J1112" s="20">
        <v>727500</v>
      </c>
      <c r="K11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113" spans="1:11" hidden="1" x14ac:dyDescent="0.25">
      <c r="A1113" s="11"/>
      <c r="B1113" s="11"/>
      <c r="C1113" s="5"/>
      <c r="G1113" s="11"/>
      <c r="H1113" s="5"/>
      <c r="I1113" s="11"/>
      <c r="J1113" s="20"/>
      <c r="K11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4" spans="1:11" hidden="1" x14ac:dyDescent="0.25">
      <c r="A1114" s="11"/>
      <c r="B1114" s="11"/>
      <c r="C1114" s="5"/>
      <c r="G1114" s="11"/>
      <c r="H1114" s="5"/>
      <c r="I1114" s="11"/>
      <c r="J1114" s="20"/>
      <c r="K11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5" spans="1:11" x14ac:dyDescent="0.25">
      <c r="A1115" s="11" t="s">
        <v>195</v>
      </c>
      <c r="B1115" s="11" t="s">
        <v>443</v>
      </c>
      <c r="C1115" s="5" t="s">
        <v>21</v>
      </c>
      <c r="D1115">
        <v>400</v>
      </c>
      <c r="E1115">
        <v>4</v>
      </c>
      <c r="F1115">
        <v>25</v>
      </c>
      <c r="G1115" s="11">
        <v>4</v>
      </c>
      <c r="H1115" s="5">
        <v>0.16</v>
      </c>
      <c r="I1115" s="11">
        <v>372000</v>
      </c>
      <c r="J1115" s="20">
        <v>1488000</v>
      </c>
      <c r="K11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6" spans="1:11" hidden="1" x14ac:dyDescent="0.25">
      <c r="A1116" s="11"/>
      <c r="B1116" s="11"/>
      <c r="C1116" s="5"/>
      <c r="G1116" s="11"/>
      <c r="H1116" s="5"/>
      <c r="I1116" s="11"/>
      <c r="J1116" s="20"/>
      <c r="K11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7" spans="1:11" x14ac:dyDescent="0.25">
      <c r="A1117" s="11"/>
      <c r="B1117" s="11" t="s">
        <v>440</v>
      </c>
      <c r="C1117" s="5" t="s">
        <v>17</v>
      </c>
      <c r="D1117">
        <v>500</v>
      </c>
      <c r="E1117">
        <v>4</v>
      </c>
      <c r="F1117">
        <v>25</v>
      </c>
      <c r="G1117" s="11">
        <v>3</v>
      </c>
      <c r="H1117" s="5">
        <v>0.15</v>
      </c>
      <c r="I1117" s="11">
        <v>465000</v>
      </c>
      <c r="J1117" s="20">
        <v>1395000</v>
      </c>
      <c r="K11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8" spans="1:11" hidden="1" x14ac:dyDescent="0.25">
      <c r="A1118" s="11"/>
      <c r="B1118" s="11"/>
      <c r="C1118" s="5"/>
      <c r="G1118" s="11"/>
      <c r="H1118" s="5"/>
      <c r="I1118" s="11"/>
      <c r="J1118" s="20"/>
      <c r="K11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19" spans="1:11" hidden="1" x14ac:dyDescent="0.25">
      <c r="A1119" s="11"/>
      <c r="B1119" s="11"/>
      <c r="C1119" s="5"/>
      <c r="G1119" s="11"/>
      <c r="H1119" s="5"/>
      <c r="I1119" s="11"/>
      <c r="J1119" s="20"/>
      <c r="K11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0" spans="1:11" x14ac:dyDescent="0.25">
      <c r="A1120" s="11" t="s">
        <v>195</v>
      </c>
      <c r="B1120" s="11" t="s">
        <v>554</v>
      </c>
      <c r="C1120" s="5" t="s">
        <v>196</v>
      </c>
      <c r="D1120">
        <v>400</v>
      </c>
      <c r="E1120">
        <v>3</v>
      </c>
      <c r="F1120">
        <v>35</v>
      </c>
      <c r="G1120" s="11">
        <v>6</v>
      </c>
      <c r="H1120" s="5">
        <v>0.252</v>
      </c>
      <c r="I1120" s="11">
        <v>1041600</v>
      </c>
      <c r="J1120" s="20">
        <v>6249600</v>
      </c>
      <c r="K11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1" spans="1:11" hidden="1" x14ac:dyDescent="0.25">
      <c r="A1121" s="11"/>
      <c r="B1121" s="11"/>
      <c r="C1121" s="5"/>
      <c r="G1121" s="11"/>
      <c r="H1121" s="5"/>
      <c r="I1121" s="11"/>
      <c r="J1121" s="20"/>
      <c r="K11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2" spans="1:11" hidden="1" x14ac:dyDescent="0.25">
      <c r="A1122" s="11"/>
      <c r="B1122" s="11"/>
      <c r="C1122" s="5"/>
      <c r="G1122" s="11"/>
      <c r="H1122" s="5"/>
      <c r="I1122" s="11"/>
      <c r="J1122" s="20"/>
      <c r="K11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3" spans="1:11" x14ac:dyDescent="0.25">
      <c r="A1123" s="11" t="s">
        <v>195</v>
      </c>
      <c r="B1123" s="11" t="s">
        <v>434</v>
      </c>
      <c r="C1123" s="5" t="s">
        <v>10</v>
      </c>
      <c r="D1123">
        <v>400</v>
      </c>
      <c r="E1123">
        <v>4</v>
      </c>
      <c r="F1123">
        <v>30</v>
      </c>
      <c r="G1123" s="11">
        <v>10</v>
      </c>
      <c r="H1123" s="5">
        <v>0.48</v>
      </c>
      <c r="I1123" s="11">
        <v>456000</v>
      </c>
      <c r="J1123" s="20">
        <v>4560000</v>
      </c>
      <c r="K11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4" spans="1:11" hidden="1" x14ac:dyDescent="0.25">
      <c r="A1124" s="11"/>
      <c r="B1124" s="11"/>
      <c r="C1124" s="5"/>
      <c r="G1124" s="11"/>
      <c r="H1124" s="5"/>
      <c r="I1124" s="11"/>
      <c r="J1124" s="20"/>
      <c r="K11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5" spans="1:11" hidden="1" x14ac:dyDescent="0.25">
      <c r="A1125" s="11"/>
      <c r="B1125" s="11"/>
      <c r="C1125" s="5"/>
      <c r="G1125" s="11"/>
      <c r="H1125" s="5"/>
      <c r="I1125" s="11"/>
      <c r="J1125" s="20"/>
      <c r="K11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6" spans="1:11" x14ac:dyDescent="0.25">
      <c r="A1126" s="11" t="s">
        <v>195</v>
      </c>
      <c r="B1126" s="11" t="s">
        <v>438</v>
      </c>
      <c r="C1126" s="5" t="s">
        <v>15</v>
      </c>
      <c r="D1126">
        <v>400</v>
      </c>
      <c r="E1126">
        <v>3</v>
      </c>
      <c r="F1126">
        <v>25</v>
      </c>
      <c r="G1126" s="11">
        <v>2</v>
      </c>
      <c r="H1126" s="5">
        <v>0.06</v>
      </c>
      <c r="I1126" s="11">
        <v>279000</v>
      </c>
      <c r="J1126" s="20">
        <v>558000</v>
      </c>
      <c r="K11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7" spans="1:11" hidden="1" x14ac:dyDescent="0.25">
      <c r="A1127" s="11"/>
      <c r="B1127" s="11"/>
      <c r="C1127" s="5"/>
      <c r="G1127" s="11"/>
      <c r="H1127" s="5"/>
      <c r="I1127" s="11"/>
      <c r="J1127" s="20"/>
      <c r="K11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8" spans="1:11" x14ac:dyDescent="0.25">
      <c r="A1128" s="11"/>
      <c r="B1128" s="11" t="s">
        <v>433</v>
      </c>
      <c r="C1128" s="5" t="s">
        <v>9</v>
      </c>
      <c r="D1128">
        <v>400</v>
      </c>
      <c r="E1128">
        <v>4</v>
      </c>
      <c r="F1128">
        <v>20</v>
      </c>
      <c r="G1128" s="11">
        <v>1</v>
      </c>
      <c r="H1128" s="5">
        <v>3.2000000000000001E-2</v>
      </c>
      <c r="I1128" s="11">
        <v>294400</v>
      </c>
      <c r="J1128" s="20">
        <v>294400</v>
      </c>
      <c r="K11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29" spans="1:11" hidden="1" x14ac:dyDescent="0.25">
      <c r="A1129" s="11"/>
      <c r="B1129" s="11"/>
      <c r="C1129" s="5"/>
      <c r="G1129" s="11"/>
      <c r="H1129" s="5"/>
      <c r="I1129" s="11"/>
      <c r="J1129" s="20"/>
      <c r="K11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0" spans="1:11" x14ac:dyDescent="0.25">
      <c r="A1130" s="11"/>
      <c r="B1130" s="11" t="s">
        <v>443</v>
      </c>
      <c r="C1130" s="5" t="s">
        <v>21</v>
      </c>
      <c r="D1130">
        <v>400</v>
      </c>
      <c r="E1130">
        <v>4</v>
      </c>
      <c r="F1130">
        <v>25</v>
      </c>
      <c r="G1130" s="11">
        <v>3</v>
      </c>
      <c r="H1130" s="5">
        <v>0.12</v>
      </c>
      <c r="I1130" s="11">
        <v>372000</v>
      </c>
      <c r="J1130" s="20">
        <v>1116000</v>
      </c>
      <c r="K11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1" spans="1:11" hidden="1" x14ac:dyDescent="0.25">
      <c r="A1131" s="11"/>
      <c r="B1131" s="11"/>
      <c r="C1131" s="5"/>
      <c r="G1131" s="11"/>
      <c r="H1131" s="5"/>
      <c r="I1131" s="11"/>
      <c r="J1131" s="20"/>
      <c r="K11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2" spans="1:11" hidden="1" x14ac:dyDescent="0.25">
      <c r="A1132" s="11"/>
      <c r="B1132" s="11"/>
      <c r="C1132" s="5"/>
      <c r="G1132" s="11"/>
      <c r="H1132" s="5"/>
      <c r="I1132" s="11"/>
      <c r="J1132" s="20"/>
      <c r="K11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3" spans="1:11" x14ac:dyDescent="0.25">
      <c r="A1133" s="11" t="s">
        <v>197</v>
      </c>
      <c r="B1133" s="11" t="s">
        <v>438</v>
      </c>
      <c r="C1133" s="5" t="s">
        <v>15</v>
      </c>
      <c r="D1133">
        <v>400</v>
      </c>
      <c r="E1133">
        <v>3</v>
      </c>
      <c r="F1133">
        <v>25</v>
      </c>
      <c r="G1133" s="11">
        <v>2</v>
      </c>
      <c r="H1133" s="5">
        <v>0.06</v>
      </c>
      <c r="I1133" s="11">
        <v>286500</v>
      </c>
      <c r="J1133" s="20">
        <v>573000</v>
      </c>
      <c r="K11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4" spans="1:11" hidden="1" x14ac:dyDescent="0.25">
      <c r="A1134" s="11"/>
      <c r="B1134" s="11"/>
      <c r="C1134" s="5"/>
      <c r="G1134" s="11"/>
      <c r="H1134" s="5"/>
      <c r="I1134" s="11"/>
      <c r="J1134" s="20"/>
      <c r="K11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5" spans="1:11" x14ac:dyDescent="0.25">
      <c r="A1135" s="11"/>
      <c r="B1135" s="11" t="s">
        <v>550</v>
      </c>
      <c r="C1135" s="5" t="s">
        <v>186</v>
      </c>
      <c r="D1135">
        <v>500</v>
      </c>
      <c r="E1135">
        <v>5</v>
      </c>
      <c r="F1135">
        <v>25</v>
      </c>
      <c r="G1135" s="11">
        <v>24</v>
      </c>
      <c r="H1135" s="5">
        <v>1.5</v>
      </c>
      <c r="I1135" s="11">
        <v>612500</v>
      </c>
      <c r="J1135" s="20">
        <v>14700000</v>
      </c>
      <c r="K11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136" spans="1:11" hidden="1" x14ac:dyDescent="0.25">
      <c r="A1136" s="11"/>
      <c r="B1136" s="11"/>
      <c r="C1136" s="5"/>
      <c r="G1136" s="11"/>
      <c r="H1136" s="5"/>
      <c r="I1136" s="11"/>
      <c r="J1136" s="20"/>
      <c r="K11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7" spans="1:11" hidden="1" x14ac:dyDescent="0.25">
      <c r="A1137" s="11"/>
      <c r="B1137" s="11"/>
      <c r="C1137" s="5"/>
      <c r="G1137" s="11"/>
      <c r="H1137" s="5"/>
      <c r="I1137" s="11"/>
      <c r="J1137" s="20"/>
      <c r="K11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8" spans="1:11" x14ac:dyDescent="0.25">
      <c r="A1138" s="11" t="s">
        <v>197</v>
      </c>
      <c r="B1138" s="11" t="s">
        <v>486</v>
      </c>
      <c r="C1138" s="5" t="s">
        <v>76</v>
      </c>
      <c r="D1138">
        <v>400</v>
      </c>
      <c r="E1138">
        <v>3</v>
      </c>
      <c r="F1138">
        <v>25</v>
      </c>
      <c r="G1138" s="11">
        <v>1</v>
      </c>
      <c r="H1138" s="5">
        <v>0.03</v>
      </c>
      <c r="I1138" s="11">
        <v>717000</v>
      </c>
      <c r="J1138" s="20">
        <v>717000</v>
      </c>
      <c r="K11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39" spans="1:11" hidden="1" x14ac:dyDescent="0.25">
      <c r="A1139" s="11"/>
      <c r="B1139" s="11"/>
      <c r="C1139" s="5"/>
      <c r="G1139" s="11"/>
      <c r="H1139" s="5"/>
      <c r="I1139" s="11"/>
      <c r="J1139" s="20"/>
      <c r="K11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0" spans="1:11" x14ac:dyDescent="0.25">
      <c r="A1140" s="11"/>
      <c r="B1140" s="11" t="s">
        <v>480</v>
      </c>
      <c r="C1140" s="5" t="s">
        <v>66</v>
      </c>
      <c r="D1140">
        <v>500</v>
      </c>
      <c r="E1140">
        <v>3</v>
      </c>
      <c r="F1140">
        <v>25</v>
      </c>
      <c r="G1140" s="11">
        <v>1</v>
      </c>
      <c r="H1140" s="5">
        <v>3.7499999999999999E-2</v>
      </c>
      <c r="I1140" s="11">
        <v>915000</v>
      </c>
      <c r="J1140" s="20">
        <v>915000</v>
      </c>
      <c r="K11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1" spans="1:11" hidden="1" x14ac:dyDescent="0.25">
      <c r="A1141" s="11"/>
      <c r="B1141" s="11"/>
      <c r="C1141" s="5"/>
      <c r="G1141" s="11"/>
      <c r="H1141" s="5"/>
      <c r="I1141" s="11"/>
      <c r="J1141" s="20"/>
      <c r="K11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2" spans="1:11" hidden="1" x14ac:dyDescent="0.25">
      <c r="A1142" s="11"/>
      <c r="B1142" s="11"/>
      <c r="C1142" s="5"/>
      <c r="G1142" s="11"/>
      <c r="H1142" s="5"/>
      <c r="I1142" s="11"/>
      <c r="J1142" s="20"/>
      <c r="K11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3" spans="1:11" x14ac:dyDescent="0.25">
      <c r="A1143" s="11" t="s">
        <v>197</v>
      </c>
      <c r="B1143" s="11" t="s">
        <v>436</v>
      </c>
      <c r="C1143" s="5" t="s">
        <v>12</v>
      </c>
      <c r="D1143">
        <v>400</v>
      </c>
      <c r="E1143">
        <v>6</v>
      </c>
      <c r="F1143">
        <v>17</v>
      </c>
      <c r="G1143" s="11">
        <v>7</v>
      </c>
      <c r="H1143" s="5">
        <v>0.28560000000000002</v>
      </c>
      <c r="I1143" s="11">
        <v>371280</v>
      </c>
      <c r="J1143" s="20">
        <v>2598960</v>
      </c>
      <c r="K11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44" spans="1:11" hidden="1" x14ac:dyDescent="0.25">
      <c r="A1144" s="11"/>
      <c r="B1144" s="11"/>
      <c r="C1144" s="5"/>
      <c r="G1144" s="11"/>
      <c r="H1144" s="5"/>
      <c r="I1144" s="11"/>
      <c r="J1144" s="20"/>
      <c r="K11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5" spans="1:11" hidden="1" x14ac:dyDescent="0.25">
      <c r="A1145" s="11"/>
      <c r="B1145" s="11"/>
      <c r="C1145" s="5"/>
      <c r="G1145" s="11"/>
      <c r="H1145" s="5"/>
      <c r="I1145" s="11"/>
      <c r="J1145" s="20"/>
      <c r="K11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6" spans="1:11" x14ac:dyDescent="0.25">
      <c r="A1146" s="11" t="s">
        <v>198</v>
      </c>
      <c r="B1146" s="11" t="s">
        <v>504</v>
      </c>
      <c r="C1146" s="5" t="s">
        <v>100</v>
      </c>
      <c r="D1146">
        <v>250</v>
      </c>
      <c r="E1146">
        <v>6</v>
      </c>
      <c r="F1146">
        <v>15</v>
      </c>
      <c r="G1146" s="11">
        <v>7</v>
      </c>
      <c r="H1146" s="5">
        <v>0.1575</v>
      </c>
      <c r="I1146" s="11">
        <v>508500</v>
      </c>
      <c r="J1146" s="20">
        <v>3559500</v>
      </c>
      <c r="K11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47" spans="1:11" hidden="1" x14ac:dyDescent="0.25">
      <c r="A1147" s="11"/>
      <c r="B1147" s="11"/>
      <c r="C1147" s="5"/>
      <c r="G1147" s="11"/>
      <c r="H1147" s="5"/>
      <c r="I1147" s="11"/>
      <c r="J1147" s="20"/>
      <c r="K11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48" spans="1:11" x14ac:dyDescent="0.25">
      <c r="A1148" s="11"/>
      <c r="B1148" s="11" t="s">
        <v>526</v>
      </c>
      <c r="C1148" s="5" t="s">
        <v>139</v>
      </c>
      <c r="D1148">
        <v>300</v>
      </c>
      <c r="E1148">
        <v>6</v>
      </c>
      <c r="F1148">
        <v>15</v>
      </c>
      <c r="G1148" s="11">
        <v>2</v>
      </c>
      <c r="H1148" s="5">
        <v>5.3999999999999999E-2</v>
      </c>
      <c r="I1148" s="11">
        <v>594000</v>
      </c>
      <c r="J1148" s="20">
        <v>1188000</v>
      </c>
      <c r="K11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49" spans="1:11" hidden="1" x14ac:dyDescent="0.25">
      <c r="A1149" s="11"/>
      <c r="B1149" s="11"/>
      <c r="C1149" s="5"/>
      <c r="G1149" s="11"/>
      <c r="H1149" s="5"/>
      <c r="I1149" s="11"/>
      <c r="J1149" s="20"/>
      <c r="K11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0" spans="1:11" hidden="1" x14ac:dyDescent="0.25">
      <c r="A1150" s="11"/>
      <c r="B1150" s="11"/>
      <c r="C1150" s="5"/>
      <c r="G1150" s="11"/>
      <c r="H1150" s="5"/>
      <c r="I1150" s="11"/>
      <c r="J1150" s="20"/>
      <c r="K11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1" spans="1:11" x14ac:dyDescent="0.25">
      <c r="A1151" s="11" t="s">
        <v>198</v>
      </c>
      <c r="B1151" s="11" t="s">
        <v>470</v>
      </c>
      <c r="C1151" s="5" t="s">
        <v>55</v>
      </c>
      <c r="D1151">
        <v>250</v>
      </c>
      <c r="E1151">
        <v>4</v>
      </c>
      <c r="F1151">
        <v>25</v>
      </c>
      <c r="G1151" s="11">
        <v>4</v>
      </c>
      <c r="H1151" s="5">
        <v>0.1</v>
      </c>
      <c r="I1151" s="11">
        <v>232500</v>
      </c>
      <c r="J1151" s="20">
        <v>930000</v>
      </c>
      <c r="K11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2" spans="1:11" hidden="1" x14ac:dyDescent="0.25">
      <c r="A1152" s="11"/>
      <c r="B1152" s="11"/>
      <c r="C1152" s="5"/>
      <c r="G1152" s="11"/>
      <c r="H1152" s="5"/>
      <c r="I1152" s="11"/>
      <c r="J1152" s="20"/>
      <c r="K11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3" spans="1:11" x14ac:dyDescent="0.25">
      <c r="A1153" s="11"/>
      <c r="B1153" s="11" t="s">
        <v>493</v>
      </c>
      <c r="C1153" s="5" t="s">
        <v>86</v>
      </c>
      <c r="D1153">
        <v>300</v>
      </c>
      <c r="E1153">
        <v>4</v>
      </c>
      <c r="F1153">
        <v>25</v>
      </c>
      <c r="G1153" s="11">
        <v>4</v>
      </c>
      <c r="H1153" s="5">
        <v>0.12</v>
      </c>
      <c r="I1153" s="11">
        <v>279000</v>
      </c>
      <c r="J1153" s="20">
        <v>1116000</v>
      </c>
      <c r="K11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4" spans="1:11" hidden="1" x14ac:dyDescent="0.25">
      <c r="A1154" s="11"/>
      <c r="B1154" s="11"/>
      <c r="C1154" s="5"/>
      <c r="G1154" s="11"/>
      <c r="H1154" s="5"/>
      <c r="I1154" s="11"/>
      <c r="J1154" s="20"/>
      <c r="K11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5" spans="1:11" hidden="1" x14ac:dyDescent="0.25">
      <c r="A1155" s="11"/>
      <c r="B1155" s="11"/>
      <c r="C1155" s="5"/>
      <c r="G1155" s="11"/>
      <c r="H1155" s="5"/>
      <c r="I1155" s="11"/>
      <c r="J1155" s="20"/>
      <c r="K11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6" spans="1:11" x14ac:dyDescent="0.25">
      <c r="A1156" s="11" t="s">
        <v>199</v>
      </c>
      <c r="B1156" s="11" t="s">
        <v>535</v>
      </c>
      <c r="C1156" s="5" t="s">
        <v>154</v>
      </c>
      <c r="D1156">
        <v>140</v>
      </c>
      <c r="E1156">
        <v>6</v>
      </c>
      <c r="F1156">
        <v>15</v>
      </c>
      <c r="G1156" s="11">
        <v>2</v>
      </c>
      <c r="H1156" s="5">
        <v>2.52E-2</v>
      </c>
      <c r="I1156" s="11">
        <v>254520</v>
      </c>
      <c r="J1156" s="20">
        <v>509040</v>
      </c>
      <c r="K11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57" spans="1:11" hidden="1" x14ac:dyDescent="0.25">
      <c r="A1157" s="11"/>
      <c r="B1157" s="11"/>
      <c r="C1157" s="5"/>
      <c r="G1157" s="11"/>
      <c r="H1157" s="5"/>
      <c r="I1157" s="11"/>
      <c r="J1157" s="20"/>
      <c r="K11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8" spans="1:11" hidden="1" x14ac:dyDescent="0.25">
      <c r="A1158" s="11"/>
      <c r="B1158" s="11"/>
      <c r="C1158" s="5"/>
      <c r="G1158" s="11"/>
      <c r="H1158" s="5"/>
      <c r="I1158" s="11"/>
      <c r="J1158" s="20"/>
      <c r="K11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59" spans="1:11" x14ac:dyDescent="0.25">
      <c r="A1159" s="11" t="s">
        <v>199</v>
      </c>
      <c r="B1159" s="11" t="s">
        <v>502</v>
      </c>
      <c r="C1159" s="5" t="s">
        <v>98</v>
      </c>
      <c r="D1159">
        <v>400</v>
      </c>
      <c r="E1159">
        <v>5</v>
      </c>
      <c r="F1159">
        <v>15</v>
      </c>
      <c r="G1159" s="11">
        <v>2</v>
      </c>
      <c r="H1159" s="5">
        <v>0.06</v>
      </c>
      <c r="I1159" s="11">
        <v>273000</v>
      </c>
      <c r="J1159" s="20">
        <v>546000</v>
      </c>
      <c r="K11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60" spans="1:11" hidden="1" x14ac:dyDescent="0.25">
      <c r="A1160" s="11"/>
      <c r="B1160" s="11"/>
      <c r="C1160" s="5"/>
      <c r="G1160" s="11"/>
      <c r="H1160" s="5"/>
      <c r="I1160" s="11"/>
      <c r="J1160" s="20"/>
      <c r="K11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1" spans="1:11" x14ac:dyDescent="0.25">
      <c r="A1161" s="11"/>
      <c r="B1161" s="11" t="s">
        <v>463</v>
      </c>
      <c r="C1161" s="5" t="s">
        <v>45</v>
      </c>
      <c r="D1161">
        <v>500</v>
      </c>
      <c r="E1161">
        <v>4</v>
      </c>
      <c r="F1161">
        <v>30</v>
      </c>
      <c r="G1161" s="11">
        <v>3</v>
      </c>
      <c r="H1161" s="5">
        <v>0.18</v>
      </c>
      <c r="I1161" s="11">
        <v>570000</v>
      </c>
      <c r="J1161" s="20">
        <v>1710000</v>
      </c>
      <c r="K11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2" spans="1:11" hidden="1" x14ac:dyDescent="0.25">
      <c r="A1162" s="11"/>
      <c r="B1162" s="11"/>
      <c r="C1162" s="5"/>
      <c r="G1162" s="11"/>
      <c r="H1162" s="5"/>
      <c r="I1162" s="11"/>
      <c r="J1162" s="20"/>
      <c r="K11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3" spans="1:11" x14ac:dyDescent="0.25">
      <c r="A1163" s="11"/>
      <c r="B1163" s="11" t="s">
        <v>471</v>
      </c>
      <c r="C1163" s="5" t="s">
        <v>56</v>
      </c>
      <c r="D1163">
        <v>500</v>
      </c>
      <c r="E1163">
        <v>5</v>
      </c>
      <c r="F1163">
        <v>15</v>
      </c>
      <c r="G1163" s="11">
        <v>6</v>
      </c>
      <c r="H1163" s="5">
        <v>0.22500000000000001</v>
      </c>
      <c r="I1163" s="11">
        <v>360000</v>
      </c>
      <c r="J1163" s="20">
        <v>2160000</v>
      </c>
      <c r="K11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64" spans="1:11" hidden="1" x14ac:dyDescent="0.25">
      <c r="A1164" s="11"/>
      <c r="B1164" s="11"/>
      <c r="C1164" s="5"/>
      <c r="G1164" s="11"/>
      <c r="H1164" s="5"/>
      <c r="I1164" s="11"/>
      <c r="J1164" s="20"/>
      <c r="K11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5" spans="1:11" hidden="1" x14ac:dyDescent="0.25">
      <c r="A1165" s="11"/>
      <c r="B1165" s="11"/>
      <c r="C1165" s="5"/>
      <c r="G1165" s="11"/>
      <c r="H1165" s="5"/>
      <c r="I1165" s="11"/>
      <c r="J1165" s="20"/>
      <c r="K11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6" spans="1:11" x14ac:dyDescent="0.25">
      <c r="A1166" s="11" t="s">
        <v>199</v>
      </c>
      <c r="B1166" s="11" t="s">
        <v>443</v>
      </c>
      <c r="C1166" s="5" t="s">
        <v>21</v>
      </c>
      <c r="D1166">
        <v>400</v>
      </c>
      <c r="E1166">
        <v>4</v>
      </c>
      <c r="F1166">
        <v>25</v>
      </c>
      <c r="G1166" s="11">
        <v>6</v>
      </c>
      <c r="H1166" s="5">
        <v>0.24</v>
      </c>
      <c r="I1166" s="11">
        <v>372000</v>
      </c>
      <c r="J1166" s="20">
        <v>2232000</v>
      </c>
      <c r="K11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7" spans="1:11" hidden="1" x14ac:dyDescent="0.25">
      <c r="A1167" s="11"/>
      <c r="B1167" s="11"/>
      <c r="C1167" s="5"/>
      <c r="G1167" s="11"/>
      <c r="H1167" s="5"/>
      <c r="I1167" s="11"/>
      <c r="J1167" s="20"/>
      <c r="K11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8" spans="1:11" hidden="1" x14ac:dyDescent="0.25">
      <c r="A1168" s="11"/>
      <c r="B1168" s="11"/>
      <c r="C1168" s="5"/>
      <c r="G1168" s="11"/>
      <c r="H1168" s="5"/>
      <c r="I1168" s="11"/>
      <c r="J1168" s="20"/>
      <c r="K11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69" spans="1:11" x14ac:dyDescent="0.25">
      <c r="A1169" s="11" t="s">
        <v>199</v>
      </c>
      <c r="B1169" s="11" t="s">
        <v>482</v>
      </c>
      <c r="C1169" s="5" t="s">
        <v>69</v>
      </c>
      <c r="D1169">
        <v>400</v>
      </c>
      <c r="E1169">
        <v>2</v>
      </c>
      <c r="F1169">
        <v>20</v>
      </c>
      <c r="G1169" s="11">
        <v>8</v>
      </c>
      <c r="H1169" s="5">
        <v>0.128</v>
      </c>
      <c r="I1169" s="11">
        <v>414400</v>
      </c>
      <c r="J1169" s="20">
        <v>3315200</v>
      </c>
      <c r="K11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0" spans="1:11" hidden="1" x14ac:dyDescent="0.25">
      <c r="A1170" s="11"/>
      <c r="B1170" s="11"/>
      <c r="C1170" s="5"/>
      <c r="G1170" s="11"/>
      <c r="H1170" s="5"/>
      <c r="I1170" s="11"/>
      <c r="J1170" s="20"/>
      <c r="K11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1" spans="1:11" hidden="1" x14ac:dyDescent="0.25">
      <c r="A1171" s="11"/>
      <c r="B1171" s="11"/>
      <c r="C1171" s="5"/>
      <c r="G1171" s="11"/>
      <c r="H1171" s="5"/>
      <c r="I1171" s="11"/>
      <c r="J1171" s="20"/>
      <c r="K11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2" spans="1:11" x14ac:dyDescent="0.25">
      <c r="A1172" s="11" t="s">
        <v>199</v>
      </c>
      <c r="B1172" s="11" t="s">
        <v>481</v>
      </c>
      <c r="C1172" s="5" t="s">
        <v>68</v>
      </c>
      <c r="D1172">
        <v>400</v>
      </c>
      <c r="E1172">
        <v>6</v>
      </c>
      <c r="F1172">
        <v>15</v>
      </c>
      <c r="G1172" s="11">
        <v>4</v>
      </c>
      <c r="H1172" s="5">
        <v>0.14399999999999999</v>
      </c>
      <c r="I1172" s="11">
        <v>313200</v>
      </c>
      <c r="J1172" s="20">
        <v>1252800</v>
      </c>
      <c r="K11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73" spans="1:11" hidden="1" x14ac:dyDescent="0.25">
      <c r="A1173" s="11"/>
      <c r="B1173" s="11"/>
      <c r="C1173" s="5"/>
      <c r="G1173" s="11"/>
      <c r="H1173" s="5"/>
      <c r="I1173" s="11"/>
      <c r="J1173" s="20"/>
      <c r="K11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4" spans="1:11" hidden="1" x14ac:dyDescent="0.25">
      <c r="A1174" s="11"/>
      <c r="B1174" s="11"/>
      <c r="C1174" s="5"/>
      <c r="G1174" s="11"/>
      <c r="H1174" s="5"/>
      <c r="I1174" s="11"/>
      <c r="J1174" s="20"/>
      <c r="K11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5" spans="1:11" x14ac:dyDescent="0.25">
      <c r="A1175" s="11" t="s">
        <v>199</v>
      </c>
      <c r="B1175" s="11" t="s">
        <v>438</v>
      </c>
      <c r="C1175" s="5" t="s">
        <v>15</v>
      </c>
      <c r="D1175">
        <v>400</v>
      </c>
      <c r="E1175">
        <v>3</v>
      </c>
      <c r="F1175">
        <v>25</v>
      </c>
      <c r="G1175" s="11">
        <v>1</v>
      </c>
      <c r="H1175" s="5">
        <v>0.03</v>
      </c>
      <c r="I1175" s="11">
        <v>279000</v>
      </c>
      <c r="J1175" s="20">
        <v>279000</v>
      </c>
      <c r="K11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6" spans="1:11" hidden="1" x14ac:dyDescent="0.25">
      <c r="A1176" s="11"/>
      <c r="B1176" s="11"/>
      <c r="C1176" s="5"/>
      <c r="G1176" s="11"/>
      <c r="H1176" s="5"/>
      <c r="I1176" s="11"/>
      <c r="J1176" s="20"/>
      <c r="K11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7" spans="1:11" x14ac:dyDescent="0.25">
      <c r="A1177" s="11"/>
      <c r="B1177" s="11" t="s">
        <v>439</v>
      </c>
      <c r="C1177" s="5" t="s">
        <v>16</v>
      </c>
      <c r="D1177">
        <v>400</v>
      </c>
      <c r="E1177">
        <v>3</v>
      </c>
      <c r="F1177">
        <v>30</v>
      </c>
      <c r="G1177" s="11">
        <v>2</v>
      </c>
      <c r="H1177" s="5">
        <v>7.1999999999999995E-2</v>
      </c>
      <c r="I1177" s="11">
        <v>342000</v>
      </c>
      <c r="J1177" s="20">
        <v>684000</v>
      </c>
      <c r="K11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8" spans="1:11" hidden="1" x14ac:dyDescent="0.25">
      <c r="A1178" s="11"/>
      <c r="B1178" s="11"/>
      <c r="C1178" s="5"/>
      <c r="G1178" s="11"/>
      <c r="H1178" s="5"/>
      <c r="I1178" s="11"/>
      <c r="J1178" s="20"/>
      <c r="K11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79" spans="1:11" x14ac:dyDescent="0.25">
      <c r="A1179" s="11"/>
      <c r="B1179" s="11" t="s">
        <v>443</v>
      </c>
      <c r="C1179" s="5" t="s">
        <v>21</v>
      </c>
      <c r="D1179">
        <v>400</v>
      </c>
      <c r="E1179">
        <v>4</v>
      </c>
      <c r="F1179">
        <v>25</v>
      </c>
      <c r="G1179" s="11">
        <v>2</v>
      </c>
      <c r="H1179" s="5">
        <v>0.08</v>
      </c>
      <c r="I1179" s="11">
        <v>372000</v>
      </c>
      <c r="J1179" s="20">
        <v>744000</v>
      </c>
      <c r="K11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0" spans="1:11" hidden="1" x14ac:dyDescent="0.25">
      <c r="A1180" s="11"/>
      <c r="B1180" s="11"/>
      <c r="C1180" s="5"/>
      <c r="G1180" s="11"/>
      <c r="H1180" s="5"/>
      <c r="I1180" s="11"/>
      <c r="J1180" s="20"/>
      <c r="K11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1" spans="1:11" x14ac:dyDescent="0.25">
      <c r="A1181" s="11"/>
      <c r="B1181" s="11" t="s">
        <v>549</v>
      </c>
      <c r="C1181" s="5" t="s">
        <v>184</v>
      </c>
      <c r="D1181">
        <v>450</v>
      </c>
      <c r="E1181">
        <v>4</v>
      </c>
      <c r="F1181">
        <v>20</v>
      </c>
      <c r="G1181" s="11">
        <v>1</v>
      </c>
      <c r="H1181" s="5">
        <v>3.5999999999999997E-2</v>
      </c>
      <c r="I1181" s="11">
        <v>331200</v>
      </c>
      <c r="J1181" s="20">
        <v>331200</v>
      </c>
      <c r="K11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2" spans="1:11" hidden="1" x14ac:dyDescent="0.25">
      <c r="A1182" s="11"/>
      <c r="B1182" s="11"/>
      <c r="C1182" s="5"/>
      <c r="G1182" s="11"/>
      <c r="H1182" s="5"/>
      <c r="I1182" s="11"/>
      <c r="J1182" s="20"/>
      <c r="K11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3" spans="1:11" hidden="1" x14ac:dyDescent="0.25">
      <c r="A1183" s="11"/>
      <c r="B1183" s="11"/>
      <c r="C1183" s="5"/>
      <c r="G1183" s="11"/>
      <c r="H1183" s="5"/>
      <c r="I1183" s="11"/>
      <c r="J1183" s="20"/>
      <c r="K11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4" spans="1:11" x14ac:dyDescent="0.25">
      <c r="A1184" s="11" t="s">
        <v>200</v>
      </c>
      <c r="B1184" s="11" t="s">
        <v>543</v>
      </c>
      <c r="C1184" s="5" t="s">
        <v>174</v>
      </c>
      <c r="D1184">
        <v>300</v>
      </c>
      <c r="E1184">
        <v>6</v>
      </c>
      <c r="F1184">
        <v>17</v>
      </c>
      <c r="G1184" s="11">
        <v>1</v>
      </c>
      <c r="H1184" s="5">
        <v>3.0599999999999999E-2</v>
      </c>
      <c r="I1184" s="11">
        <v>691560</v>
      </c>
      <c r="J1184" s="20">
        <v>691560</v>
      </c>
      <c r="K11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85" spans="1:11" hidden="1" x14ac:dyDescent="0.25">
      <c r="A1185" s="11"/>
      <c r="B1185" s="11"/>
      <c r="C1185" s="5"/>
      <c r="G1185" s="11"/>
      <c r="H1185" s="5"/>
      <c r="I1185" s="11"/>
      <c r="J1185" s="20"/>
      <c r="K11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6" spans="1:11" x14ac:dyDescent="0.25">
      <c r="A1186" s="11"/>
      <c r="B1186" s="11" t="s">
        <v>555</v>
      </c>
      <c r="C1186" s="5" t="s">
        <v>201</v>
      </c>
      <c r="D1186">
        <v>400</v>
      </c>
      <c r="E1186">
        <v>6</v>
      </c>
      <c r="F1186">
        <v>17</v>
      </c>
      <c r="G1186" s="11">
        <v>1</v>
      </c>
      <c r="H1186" s="5">
        <v>4.0800000000000003E-2</v>
      </c>
      <c r="I1186" s="11">
        <v>922080</v>
      </c>
      <c r="J1186" s="20">
        <v>922080</v>
      </c>
      <c r="K11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87" spans="1:11" hidden="1" x14ac:dyDescent="0.25">
      <c r="A1187" s="11"/>
      <c r="B1187" s="11"/>
      <c r="C1187" s="5"/>
      <c r="G1187" s="11"/>
      <c r="H1187" s="5"/>
      <c r="I1187" s="11"/>
      <c r="J1187" s="20"/>
      <c r="K11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88" spans="1:11" x14ac:dyDescent="0.25">
      <c r="A1188" s="11"/>
      <c r="B1188" s="11" t="s">
        <v>530</v>
      </c>
      <c r="C1188" s="5" t="s">
        <v>148</v>
      </c>
      <c r="D1188">
        <v>500</v>
      </c>
      <c r="E1188">
        <v>6</v>
      </c>
      <c r="F1188">
        <v>17</v>
      </c>
      <c r="G1188" s="11">
        <v>2</v>
      </c>
      <c r="H1188" s="5">
        <v>0.10199999999999999</v>
      </c>
      <c r="I1188" s="11">
        <v>1178100</v>
      </c>
      <c r="J1188" s="20">
        <v>2356200</v>
      </c>
      <c r="K11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89" spans="1:11" hidden="1" x14ac:dyDescent="0.25">
      <c r="A1189" s="11"/>
      <c r="B1189" s="11"/>
      <c r="C1189" s="5"/>
      <c r="G1189" s="11"/>
      <c r="H1189" s="5"/>
      <c r="I1189" s="11"/>
      <c r="J1189" s="20"/>
      <c r="K11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90" spans="1:11" x14ac:dyDescent="0.25">
      <c r="A1190" s="11"/>
      <c r="B1190" s="11" t="s">
        <v>556</v>
      </c>
      <c r="C1190" s="5" t="s">
        <v>202</v>
      </c>
      <c r="D1190">
        <v>250</v>
      </c>
      <c r="E1190">
        <v>6</v>
      </c>
      <c r="F1190">
        <v>17</v>
      </c>
      <c r="G1190" s="11">
        <v>29</v>
      </c>
      <c r="H1190" s="5">
        <v>0.73950000000000005</v>
      </c>
      <c r="I1190" s="11">
        <v>576300</v>
      </c>
      <c r="J1190" s="20">
        <v>16712700</v>
      </c>
      <c r="K11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91" spans="1:11" hidden="1" x14ac:dyDescent="0.25">
      <c r="A1191" s="11"/>
      <c r="B1191" s="11"/>
      <c r="C1191" s="5"/>
      <c r="G1191" s="11"/>
      <c r="H1191" s="5"/>
      <c r="I1191" s="11"/>
      <c r="J1191" s="20"/>
      <c r="K11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92" spans="1:11" hidden="1" x14ac:dyDescent="0.25">
      <c r="A1192" s="11"/>
      <c r="B1192" s="11"/>
      <c r="C1192" s="5"/>
      <c r="G1192" s="11"/>
      <c r="H1192" s="5"/>
      <c r="I1192" s="11"/>
      <c r="J1192" s="20"/>
      <c r="K11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93" spans="1:11" x14ac:dyDescent="0.25">
      <c r="A1193" s="11" t="s">
        <v>203</v>
      </c>
      <c r="B1193" s="11" t="s">
        <v>522</v>
      </c>
      <c r="C1193" s="5" t="s">
        <v>131</v>
      </c>
      <c r="D1193">
        <v>200</v>
      </c>
      <c r="E1193">
        <v>6</v>
      </c>
      <c r="F1193">
        <v>15</v>
      </c>
      <c r="G1193" s="11">
        <v>2</v>
      </c>
      <c r="H1193" s="5">
        <v>3.5999999999999997E-2</v>
      </c>
      <c r="I1193" s="11">
        <v>388800</v>
      </c>
      <c r="J1193" s="20">
        <v>777600</v>
      </c>
      <c r="K11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94" spans="1:11" hidden="1" x14ac:dyDescent="0.25">
      <c r="A1194" s="11"/>
      <c r="B1194" s="11"/>
      <c r="C1194" s="5"/>
      <c r="G1194" s="11"/>
      <c r="H1194" s="5"/>
      <c r="I1194" s="11"/>
      <c r="J1194" s="20"/>
      <c r="K11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95" spans="1:11" hidden="1" x14ac:dyDescent="0.25">
      <c r="A1195" s="11"/>
      <c r="B1195" s="11"/>
      <c r="C1195" s="5"/>
      <c r="G1195" s="11"/>
      <c r="H1195" s="5"/>
      <c r="I1195" s="11"/>
      <c r="J1195" s="20"/>
      <c r="K11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96" spans="1:11" x14ac:dyDescent="0.25">
      <c r="A1196" s="11" t="s">
        <v>203</v>
      </c>
      <c r="B1196" s="11" t="s">
        <v>502</v>
      </c>
      <c r="C1196" s="5" t="s">
        <v>98</v>
      </c>
      <c r="D1196">
        <v>400</v>
      </c>
      <c r="E1196">
        <v>5</v>
      </c>
      <c r="F1196">
        <v>15</v>
      </c>
      <c r="G1196" s="11">
        <v>2</v>
      </c>
      <c r="H1196" s="5">
        <v>0.06</v>
      </c>
      <c r="I1196" s="11">
        <v>273000</v>
      </c>
      <c r="J1196" s="20">
        <v>546000</v>
      </c>
      <c r="K11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97" spans="1:11" hidden="1" x14ac:dyDescent="0.25">
      <c r="A1197" s="11"/>
      <c r="B1197" s="11"/>
      <c r="C1197" s="5"/>
      <c r="G1197" s="11"/>
      <c r="H1197" s="5"/>
      <c r="I1197" s="11"/>
      <c r="J1197" s="20"/>
      <c r="K11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198" spans="1:11" x14ac:dyDescent="0.25">
      <c r="A1198" s="11"/>
      <c r="B1198" s="11" t="s">
        <v>471</v>
      </c>
      <c r="C1198" s="5" t="s">
        <v>56</v>
      </c>
      <c r="D1198">
        <v>500</v>
      </c>
      <c r="E1198">
        <v>5</v>
      </c>
      <c r="F1198">
        <v>15</v>
      </c>
      <c r="G1198" s="11">
        <v>8</v>
      </c>
      <c r="H1198" s="5">
        <v>0.3</v>
      </c>
      <c r="I1198" s="11">
        <v>360000</v>
      </c>
      <c r="J1198" s="20">
        <v>2880000</v>
      </c>
      <c r="K11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199" spans="1:11" hidden="1" x14ac:dyDescent="0.25">
      <c r="A1199" s="11"/>
      <c r="B1199" s="11"/>
      <c r="C1199" s="5"/>
      <c r="G1199" s="11"/>
      <c r="H1199" s="5"/>
      <c r="I1199" s="11"/>
      <c r="J1199" s="20"/>
      <c r="K11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0" spans="1:11" hidden="1" x14ac:dyDescent="0.25">
      <c r="A1200" s="11"/>
      <c r="B1200" s="11"/>
      <c r="C1200" s="5"/>
      <c r="G1200" s="11"/>
      <c r="H1200" s="5"/>
      <c r="I1200" s="11"/>
      <c r="J1200" s="20"/>
      <c r="K12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1" spans="1:11" x14ac:dyDescent="0.25">
      <c r="A1201" s="11" t="s">
        <v>203</v>
      </c>
      <c r="B1201" s="11" t="s">
        <v>493</v>
      </c>
      <c r="C1201" s="5" t="s">
        <v>86</v>
      </c>
      <c r="D1201">
        <v>300</v>
      </c>
      <c r="E1201">
        <v>4</v>
      </c>
      <c r="F1201">
        <v>25</v>
      </c>
      <c r="G1201" s="11">
        <v>1</v>
      </c>
      <c r="H1201" s="5">
        <v>0.03</v>
      </c>
      <c r="I1201" s="11">
        <v>279000</v>
      </c>
      <c r="J1201" s="20">
        <v>279000</v>
      </c>
      <c r="K12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2" spans="1:11" hidden="1" x14ac:dyDescent="0.25">
      <c r="A1202" s="11"/>
      <c r="B1202" s="11"/>
      <c r="C1202" s="5"/>
      <c r="G1202" s="11"/>
      <c r="H1202" s="5"/>
      <c r="I1202" s="11"/>
      <c r="J1202" s="20"/>
      <c r="K12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3" spans="1:11" x14ac:dyDescent="0.25">
      <c r="A1203" s="11"/>
      <c r="B1203" s="11" t="s">
        <v>455</v>
      </c>
      <c r="C1203" s="5" t="s">
        <v>36</v>
      </c>
      <c r="D1203">
        <v>400</v>
      </c>
      <c r="E1203">
        <v>3</v>
      </c>
      <c r="F1203">
        <v>20</v>
      </c>
      <c r="G1203" s="11">
        <v>4</v>
      </c>
      <c r="H1203" s="5">
        <v>9.6000000000000002E-2</v>
      </c>
      <c r="I1203" s="11">
        <v>220800</v>
      </c>
      <c r="J1203" s="20">
        <v>883200</v>
      </c>
      <c r="K12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4" spans="1:11" hidden="1" x14ac:dyDescent="0.25">
      <c r="A1204" s="11"/>
      <c r="B1204" s="11"/>
      <c r="C1204" s="5"/>
      <c r="G1204" s="11"/>
      <c r="H1204" s="5"/>
      <c r="I1204" s="11"/>
      <c r="J1204" s="20"/>
      <c r="K12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5" spans="1:11" x14ac:dyDescent="0.25">
      <c r="A1205" s="11"/>
      <c r="B1205" s="11" t="s">
        <v>439</v>
      </c>
      <c r="C1205" s="5" t="s">
        <v>16</v>
      </c>
      <c r="D1205">
        <v>400</v>
      </c>
      <c r="E1205">
        <v>3</v>
      </c>
      <c r="F1205">
        <v>30</v>
      </c>
      <c r="G1205" s="11">
        <v>2</v>
      </c>
      <c r="H1205" s="5">
        <v>7.1999999999999995E-2</v>
      </c>
      <c r="I1205" s="11">
        <v>342000</v>
      </c>
      <c r="J1205" s="20">
        <v>684000</v>
      </c>
      <c r="K12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6" spans="1:11" hidden="1" x14ac:dyDescent="0.25">
      <c r="A1206" s="11"/>
      <c r="B1206" s="11"/>
      <c r="C1206" s="5"/>
      <c r="G1206" s="11"/>
      <c r="H1206" s="5"/>
      <c r="I1206" s="11"/>
      <c r="J1206" s="20"/>
      <c r="K12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7" spans="1:11" x14ac:dyDescent="0.25">
      <c r="A1207" s="11"/>
      <c r="B1207" s="11" t="s">
        <v>435</v>
      </c>
      <c r="C1207" s="5" t="s">
        <v>11</v>
      </c>
      <c r="D1207">
        <v>400</v>
      </c>
      <c r="E1207">
        <v>6</v>
      </c>
      <c r="F1207">
        <v>12</v>
      </c>
      <c r="G1207" s="11">
        <v>7</v>
      </c>
      <c r="H1207" s="5">
        <v>0.2016</v>
      </c>
      <c r="I1207" s="11">
        <v>250560</v>
      </c>
      <c r="J1207" s="20">
        <v>1753920</v>
      </c>
      <c r="K12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08" spans="1:11" hidden="1" x14ac:dyDescent="0.25">
      <c r="A1208" s="11"/>
      <c r="B1208" s="11"/>
      <c r="C1208" s="5"/>
      <c r="G1208" s="11"/>
      <c r="H1208" s="5"/>
      <c r="I1208" s="11"/>
      <c r="J1208" s="20"/>
      <c r="K12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09" spans="1:11" x14ac:dyDescent="0.25">
      <c r="A1209" s="11"/>
      <c r="B1209" s="11" t="s">
        <v>440</v>
      </c>
      <c r="C1209" s="5" t="s">
        <v>17</v>
      </c>
      <c r="D1209">
        <v>500</v>
      </c>
      <c r="E1209">
        <v>4</v>
      </c>
      <c r="F1209">
        <v>25</v>
      </c>
      <c r="G1209" s="11">
        <v>2</v>
      </c>
      <c r="H1209" s="5">
        <v>0.1</v>
      </c>
      <c r="I1209" s="11">
        <v>465000</v>
      </c>
      <c r="J1209" s="20">
        <v>930000</v>
      </c>
      <c r="K12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0" spans="1:11" hidden="1" x14ac:dyDescent="0.25">
      <c r="A1210" s="11"/>
      <c r="B1210" s="11"/>
      <c r="C1210" s="5"/>
      <c r="G1210" s="11"/>
      <c r="H1210" s="5"/>
      <c r="I1210" s="11"/>
      <c r="J1210" s="20"/>
      <c r="K12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1" spans="1:11" hidden="1" x14ac:dyDescent="0.25">
      <c r="A1211" s="11"/>
      <c r="B1211" s="11"/>
      <c r="C1211" s="5"/>
      <c r="G1211" s="11"/>
      <c r="H1211" s="5"/>
      <c r="I1211" s="11"/>
      <c r="J1211" s="20"/>
      <c r="K12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2" spans="1:11" x14ac:dyDescent="0.25">
      <c r="A1212" s="11" t="s">
        <v>204</v>
      </c>
      <c r="B1212" s="11" t="s">
        <v>438</v>
      </c>
      <c r="C1212" s="5" t="s">
        <v>15</v>
      </c>
      <c r="D1212">
        <v>400</v>
      </c>
      <c r="E1212">
        <v>3</v>
      </c>
      <c r="F1212">
        <v>25</v>
      </c>
      <c r="G1212" s="11">
        <v>3</v>
      </c>
      <c r="H1212" s="5">
        <v>0.09</v>
      </c>
      <c r="I1212" s="11">
        <v>279000</v>
      </c>
      <c r="J1212" s="20">
        <v>837000</v>
      </c>
      <c r="K12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3" spans="1:11" hidden="1" x14ac:dyDescent="0.25">
      <c r="A1213" s="11"/>
      <c r="B1213" s="11"/>
      <c r="C1213" s="5"/>
      <c r="G1213" s="11"/>
      <c r="H1213" s="5"/>
      <c r="I1213" s="11"/>
      <c r="J1213" s="20"/>
      <c r="K12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4" spans="1:11" x14ac:dyDescent="0.25">
      <c r="A1214" s="11"/>
      <c r="B1214" s="11" t="s">
        <v>434</v>
      </c>
      <c r="C1214" s="5" t="s">
        <v>10</v>
      </c>
      <c r="D1214">
        <v>400</v>
      </c>
      <c r="E1214">
        <v>4</v>
      </c>
      <c r="F1214">
        <v>30</v>
      </c>
      <c r="G1214" s="11">
        <v>2</v>
      </c>
      <c r="H1214" s="5">
        <v>9.6000000000000002E-2</v>
      </c>
      <c r="I1214" s="11">
        <v>456000</v>
      </c>
      <c r="J1214" s="20">
        <v>912000</v>
      </c>
      <c r="K12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5" spans="1:11" hidden="1" x14ac:dyDescent="0.25">
      <c r="A1215" s="11"/>
      <c r="B1215" s="11"/>
      <c r="C1215" s="5"/>
      <c r="G1215" s="11"/>
      <c r="H1215" s="5"/>
      <c r="I1215" s="11"/>
      <c r="J1215" s="20"/>
      <c r="K12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6" spans="1:11" x14ac:dyDescent="0.25">
      <c r="A1216" s="11"/>
      <c r="B1216" s="11" t="s">
        <v>502</v>
      </c>
      <c r="C1216" s="5" t="s">
        <v>98</v>
      </c>
      <c r="D1216">
        <v>400</v>
      </c>
      <c r="E1216">
        <v>5</v>
      </c>
      <c r="F1216">
        <v>15</v>
      </c>
      <c r="G1216" s="11">
        <v>2</v>
      </c>
      <c r="H1216" s="5">
        <v>0.06</v>
      </c>
      <c r="I1216" s="11">
        <v>273000</v>
      </c>
      <c r="J1216" s="20">
        <v>546000</v>
      </c>
      <c r="K12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17" spans="1:11" hidden="1" x14ac:dyDescent="0.25">
      <c r="A1217" s="11"/>
      <c r="B1217" s="11"/>
      <c r="C1217" s="5"/>
      <c r="G1217" s="11"/>
      <c r="H1217" s="5"/>
      <c r="I1217" s="11"/>
      <c r="J1217" s="20"/>
      <c r="K12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18" spans="1:11" x14ac:dyDescent="0.25">
      <c r="A1218" s="11"/>
      <c r="B1218" s="11" t="s">
        <v>471</v>
      </c>
      <c r="C1218" s="5" t="s">
        <v>56</v>
      </c>
      <c r="D1218">
        <v>500</v>
      </c>
      <c r="E1218">
        <v>5</v>
      </c>
      <c r="F1218">
        <v>15</v>
      </c>
      <c r="G1218" s="11">
        <v>3</v>
      </c>
      <c r="H1218" s="5">
        <v>0.1125</v>
      </c>
      <c r="I1218" s="11">
        <v>360000</v>
      </c>
      <c r="J1218" s="20">
        <v>1080000</v>
      </c>
      <c r="K12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19" spans="1:11" hidden="1" x14ac:dyDescent="0.25">
      <c r="A1219" s="11"/>
      <c r="B1219" s="11"/>
      <c r="C1219" s="5"/>
      <c r="G1219" s="11"/>
      <c r="H1219" s="5"/>
      <c r="I1219" s="11"/>
      <c r="J1219" s="20"/>
      <c r="K12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0" spans="1:11" hidden="1" x14ac:dyDescent="0.25">
      <c r="A1220" s="11"/>
      <c r="B1220" s="11"/>
      <c r="C1220" s="5"/>
      <c r="G1220" s="11"/>
      <c r="H1220" s="5"/>
      <c r="I1220" s="11"/>
      <c r="J1220" s="20"/>
      <c r="K12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1" spans="1:11" x14ac:dyDescent="0.25">
      <c r="A1221" s="11" t="s">
        <v>204</v>
      </c>
      <c r="B1221" s="11" t="s">
        <v>440</v>
      </c>
      <c r="C1221" s="5" t="s">
        <v>17</v>
      </c>
      <c r="D1221">
        <v>500</v>
      </c>
      <c r="E1221">
        <v>4</v>
      </c>
      <c r="F1221">
        <v>25</v>
      </c>
      <c r="G1221" s="11">
        <v>2</v>
      </c>
      <c r="H1221" s="5">
        <v>0.1</v>
      </c>
      <c r="I1221" s="11">
        <v>480000</v>
      </c>
      <c r="J1221" s="20">
        <v>960000</v>
      </c>
      <c r="K12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2" spans="1:11" hidden="1" x14ac:dyDescent="0.25">
      <c r="A1222" s="11"/>
      <c r="B1222" s="11"/>
      <c r="C1222" s="5"/>
      <c r="G1222" s="11"/>
      <c r="H1222" s="5"/>
      <c r="I1222" s="11"/>
      <c r="J1222" s="20"/>
      <c r="K12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3" spans="1:11" x14ac:dyDescent="0.25">
      <c r="A1223" s="11"/>
      <c r="B1223" s="11" t="s">
        <v>557</v>
      </c>
      <c r="C1223" s="5" t="s">
        <v>205</v>
      </c>
      <c r="D1223">
        <v>500</v>
      </c>
      <c r="E1223">
        <v>5</v>
      </c>
      <c r="F1223">
        <v>20</v>
      </c>
      <c r="G1223" s="11">
        <v>12</v>
      </c>
      <c r="H1223" s="5">
        <v>0.6</v>
      </c>
      <c r="I1223" s="11">
        <v>490000</v>
      </c>
      <c r="J1223" s="20">
        <v>5880000</v>
      </c>
      <c r="K12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224" spans="1:11" hidden="1" x14ac:dyDescent="0.25">
      <c r="A1224" s="11"/>
      <c r="B1224" s="11"/>
      <c r="C1224" s="5"/>
      <c r="G1224" s="11"/>
      <c r="H1224" s="5"/>
      <c r="I1224" s="11"/>
      <c r="J1224" s="20"/>
      <c r="K12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5" spans="1:11" x14ac:dyDescent="0.25">
      <c r="A1225" s="11"/>
      <c r="B1225" s="11" t="s">
        <v>550</v>
      </c>
      <c r="C1225" s="5" t="s">
        <v>186</v>
      </c>
      <c r="D1225">
        <v>500</v>
      </c>
      <c r="E1225">
        <v>5</v>
      </c>
      <c r="F1225">
        <v>25</v>
      </c>
      <c r="G1225" s="11">
        <v>12</v>
      </c>
      <c r="H1225" s="5">
        <v>0.75</v>
      </c>
      <c r="I1225" s="11">
        <v>612500</v>
      </c>
      <c r="J1225" s="20">
        <v>7350000</v>
      </c>
      <c r="K12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226" spans="1:11" hidden="1" x14ac:dyDescent="0.25">
      <c r="A1226" s="11"/>
      <c r="B1226" s="11"/>
      <c r="C1226" s="5"/>
      <c r="G1226" s="11"/>
      <c r="H1226" s="5"/>
      <c r="I1226" s="11"/>
      <c r="J1226" s="20"/>
      <c r="K12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7" spans="1:11" hidden="1" x14ac:dyDescent="0.25">
      <c r="A1227" s="11"/>
      <c r="B1227" s="11"/>
      <c r="C1227" s="5"/>
      <c r="G1227" s="11"/>
      <c r="H1227" s="5"/>
      <c r="I1227" s="11"/>
      <c r="J1227" s="20"/>
      <c r="K12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8" spans="1:11" x14ac:dyDescent="0.25">
      <c r="A1228" s="11" t="s">
        <v>204</v>
      </c>
      <c r="B1228" s="11" t="s">
        <v>438</v>
      </c>
      <c r="C1228" s="5" t="s">
        <v>15</v>
      </c>
      <c r="D1228">
        <v>400</v>
      </c>
      <c r="E1228">
        <v>3</v>
      </c>
      <c r="F1228">
        <v>25</v>
      </c>
      <c r="G1228" s="11">
        <v>4</v>
      </c>
      <c r="H1228" s="5">
        <v>0.12</v>
      </c>
      <c r="I1228" s="11">
        <v>279000</v>
      </c>
      <c r="J1228" s="20">
        <v>1116000</v>
      </c>
      <c r="K12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29" spans="1:11" hidden="1" x14ac:dyDescent="0.25">
      <c r="A1229" s="11"/>
      <c r="B1229" s="11"/>
      <c r="C1229" s="5"/>
      <c r="G1229" s="11"/>
      <c r="H1229" s="5"/>
      <c r="I1229" s="11"/>
      <c r="J1229" s="20"/>
      <c r="K12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0" spans="1:11" x14ac:dyDescent="0.25">
      <c r="A1230" s="11"/>
      <c r="B1230" s="11" t="s">
        <v>439</v>
      </c>
      <c r="C1230" s="5" t="s">
        <v>16</v>
      </c>
      <c r="D1230">
        <v>400</v>
      </c>
      <c r="E1230">
        <v>3</v>
      </c>
      <c r="F1230">
        <v>30</v>
      </c>
      <c r="G1230" s="11">
        <v>8</v>
      </c>
      <c r="H1230" s="5">
        <v>0.28799999999999998</v>
      </c>
      <c r="I1230" s="11">
        <v>342000</v>
      </c>
      <c r="J1230" s="20">
        <v>2736000</v>
      </c>
      <c r="K12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1" spans="1:11" hidden="1" x14ac:dyDescent="0.25">
      <c r="A1231" s="11"/>
      <c r="B1231" s="11"/>
      <c r="C1231" s="5"/>
      <c r="G1231" s="11"/>
      <c r="H1231" s="5"/>
      <c r="I1231" s="11"/>
      <c r="J1231" s="20"/>
      <c r="K12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2" spans="1:11" x14ac:dyDescent="0.25">
      <c r="A1232" s="11"/>
      <c r="B1232" s="11" t="s">
        <v>443</v>
      </c>
      <c r="C1232" s="5" t="s">
        <v>21</v>
      </c>
      <c r="D1232">
        <v>400</v>
      </c>
      <c r="E1232">
        <v>4</v>
      </c>
      <c r="F1232">
        <v>25</v>
      </c>
      <c r="G1232" s="11">
        <v>14</v>
      </c>
      <c r="H1232" s="5">
        <v>0.56000000000000005</v>
      </c>
      <c r="I1232" s="11">
        <v>372000</v>
      </c>
      <c r="J1232" s="20">
        <v>5208000</v>
      </c>
      <c r="K12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3" spans="1:11" hidden="1" x14ac:dyDescent="0.25">
      <c r="A1233" s="11"/>
      <c r="B1233" s="11"/>
      <c r="C1233" s="5"/>
      <c r="G1233" s="11"/>
      <c r="H1233" s="5"/>
      <c r="I1233" s="11"/>
      <c r="J1233" s="20"/>
      <c r="K12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4" spans="1:11" hidden="1" x14ac:dyDescent="0.25">
      <c r="A1234" s="11"/>
      <c r="B1234" s="11"/>
      <c r="C1234" s="5"/>
      <c r="G1234" s="11"/>
      <c r="H1234" s="5"/>
      <c r="I1234" s="11"/>
      <c r="J1234" s="20"/>
      <c r="K12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5" spans="1:11" x14ac:dyDescent="0.25">
      <c r="A1235" s="11" t="s">
        <v>204</v>
      </c>
      <c r="B1235" s="11" t="s">
        <v>502</v>
      </c>
      <c r="C1235" s="5" t="s">
        <v>98</v>
      </c>
      <c r="D1235">
        <v>400</v>
      </c>
      <c r="E1235">
        <v>5</v>
      </c>
      <c r="F1235">
        <v>15</v>
      </c>
      <c r="G1235" s="11">
        <v>12</v>
      </c>
      <c r="H1235" s="5">
        <v>0.36</v>
      </c>
      <c r="I1235" s="11">
        <v>273000</v>
      </c>
      <c r="J1235" s="20">
        <v>3276000</v>
      </c>
      <c r="K12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36" spans="1:11" hidden="1" x14ac:dyDescent="0.25">
      <c r="A1236" s="11"/>
      <c r="B1236" s="11"/>
      <c r="C1236" s="5"/>
      <c r="G1236" s="11"/>
      <c r="H1236" s="5"/>
      <c r="I1236" s="11"/>
      <c r="J1236" s="20"/>
      <c r="K12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7" spans="1:11" hidden="1" x14ac:dyDescent="0.25">
      <c r="A1237" s="11"/>
      <c r="B1237" s="11"/>
      <c r="C1237" s="5"/>
      <c r="G1237" s="11"/>
      <c r="H1237" s="5"/>
      <c r="I1237" s="11"/>
      <c r="J1237" s="20"/>
      <c r="K12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38" spans="1:11" x14ac:dyDescent="0.25">
      <c r="A1238" s="11" t="s">
        <v>206</v>
      </c>
      <c r="B1238" s="11" t="s">
        <v>502</v>
      </c>
      <c r="C1238" s="5" t="s">
        <v>98</v>
      </c>
      <c r="D1238">
        <v>400</v>
      </c>
      <c r="E1238">
        <v>5</v>
      </c>
      <c r="F1238">
        <v>15</v>
      </c>
      <c r="G1238" s="11">
        <v>1</v>
      </c>
      <c r="H1238" s="5">
        <v>0.03</v>
      </c>
      <c r="I1238" s="11">
        <v>273000</v>
      </c>
      <c r="J1238" s="20">
        <v>273000</v>
      </c>
      <c r="K12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39" spans="1:11" hidden="1" x14ac:dyDescent="0.25">
      <c r="A1239" s="11"/>
      <c r="B1239" s="11"/>
      <c r="C1239" s="5"/>
      <c r="G1239" s="11"/>
      <c r="H1239" s="5"/>
      <c r="I1239" s="11"/>
      <c r="J1239" s="20"/>
      <c r="K12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0" spans="1:11" x14ac:dyDescent="0.25">
      <c r="A1240" s="11"/>
      <c r="B1240" s="11" t="s">
        <v>440</v>
      </c>
      <c r="C1240" s="5" t="s">
        <v>17</v>
      </c>
      <c r="D1240">
        <v>500</v>
      </c>
      <c r="E1240">
        <v>4</v>
      </c>
      <c r="F1240">
        <v>25</v>
      </c>
      <c r="G1240" s="11">
        <v>4</v>
      </c>
      <c r="H1240" s="5">
        <v>0.2</v>
      </c>
      <c r="I1240" s="11">
        <v>465000</v>
      </c>
      <c r="J1240" s="20">
        <v>1860000</v>
      </c>
      <c r="K12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1" spans="1:11" hidden="1" x14ac:dyDescent="0.25">
      <c r="A1241" s="11"/>
      <c r="B1241" s="11"/>
      <c r="C1241" s="5"/>
      <c r="G1241" s="11"/>
      <c r="H1241" s="5"/>
      <c r="I1241" s="11"/>
      <c r="J1241" s="20"/>
      <c r="K12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2" spans="1:11" x14ac:dyDescent="0.25">
      <c r="A1242" s="11"/>
      <c r="B1242" s="11" t="s">
        <v>471</v>
      </c>
      <c r="C1242" s="5" t="s">
        <v>56</v>
      </c>
      <c r="D1242">
        <v>500</v>
      </c>
      <c r="E1242">
        <v>5</v>
      </c>
      <c r="F1242">
        <v>15</v>
      </c>
      <c r="G1242" s="11">
        <v>3</v>
      </c>
      <c r="H1242" s="5">
        <v>0.1125</v>
      </c>
      <c r="I1242" s="11">
        <v>360000</v>
      </c>
      <c r="J1242" s="20">
        <v>1080000</v>
      </c>
      <c r="K12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43" spans="1:11" hidden="1" x14ac:dyDescent="0.25">
      <c r="A1243" s="11"/>
      <c r="B1243" s="11"/>
      <c r="C1243" s="5"/>
      <c r="G1243" s="11"/>
      <c r="H1243" s="5"/>
      <c r="I1243" s="11"/>
      <c r="J1243" s="20"/>
      <c r="K12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4" spans="1:11" hidden="1" x14ac:dyDescent="0.25">
      <c r="A1244" s="11"/>
      <c r="B1244" s="11"/>
      <c r="C1244" s="5"/>
      <c r="G1244" s="11"/>
      <c r="H1244" s="5"/>
      <c r="I1244" s="11"/>
      <c r="J1244" s="20"/>
      <c r="K12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5" spans="1:11" x14ac:dyDescent="0.25">
      <c r="A1245" s="11" t="s">
        <v>206</v>
      </c>
      <c r="B1245" s="11" t="s">
        <v>456</v>
      </c>
      <c r="C1245" s="5" t="s">
        <v>37</v>
      </c>
      <c r="D1245">
        <v>250</v>
      </c>
      <c r="E1245">
        <v>4</v>
      </c>
      <c r="F1245">
        <v>25</v>
      </c>
      <c r="G1245" s="11">
        <v>4</v>
      </c>
      <c r="H1245" s="5">
        <v>0.1</v>
      </c>
      <c r="I1245" s="11">
        <v>597500</v>
      </c>
      <c r="J1245" s="20">
        <v>2390000</v>
      </c>
      <c r="K12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6" spans="1:11" hidden="1" x14ac:dyDescent="0.25">
      <c r="A1246" s="11"/>
      <c r="B1246" s="11"/>
      <c r="C1246" s="5"/>
      <c r="G1246" s="11"/>
      <c r="H1246" s="5"/>
      <c r="I1246" s="11"/>
      <c r="J1246" s="20"/>
      <c r="K12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7" spans="1:11" x14ac:dyDescent="0.25">
      <c r="A1247" s="11"/>
      <c r="B1247" s="11" t="s">
        <v>444</v>
      </c>
      <c r="C1247" s="5" t="s">
        <v>23</v>
      </c>
      <c r="D1247">
        <v>400</v>
      </c>
      <c r="E1247">
        <v>5</v>
      </c>
      <c r="F1247">
        <v>15</v>
      </c>
      <c r="G1247" s="11">
        <v>4</v>
      </c>
      <c r="H1247" s="5">
        <v>0.12</v>
      </c>
      <c r="I1247" s="11">
        <v>678000</v>
      </c>
      <c r="J1247" s="20">
        <v>2712000</v>
      </c>
      <c r="K12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48" spans="1:11" hidden="1" x14ac:dyDescent="0.25">
      <c r="A1248" s="11"/>
      <c r="B1248" s="11"/>
      <c r="C1248" s="5"/>
      <c r="G1248" s="11"/>
      <c r="H1248" s="5"/>
      <c r="I1248" s="11"/>
      <c r="J1248" s="20"/>
      <c r="K12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49" spans="1:11" x14ac:dyDescent="0.25">
      <c r="A1249" s="11"/>
      <c r="B1249" s="11" t="s">
        <v>460</v>
      </c>
      <c r="C1249" s="5" t="s">
        <v>41</v>
      </c>
      <c r="D1249">
        <v>500</v>
      </c>
      <c r="E1249">
        <v>5</v>
      </c>
      <c r="F1249">
        <v>20</v>
      </c>
      <c r="G1249" s="11">
        <v>1</v>
      </c>
      <c r="H1249" s="5">
        <v>0.05</v>
      </c>
      <c r="I1249" s="11">
        <v>1225000</v>
      </c>
      <c r="J1249" s="20">
        <v>1225000</v>
      </c>
      <c r="K12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250" spans="1:11" hidden="1" x14ac:dyDescent="0.25">
      <c r="A1250" s="11"/>
      <c r="B1250" s="11"/>
      <c r="C1250" s="5"/>
      <c r="G1250" s="11"/>
      <c r="H1250" s="5"/>
      <c r="I1250" s="11"/>
      <c r="J1250" s="20"/>
      <c r="K12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1" spans="1:11" hidden="1" x14ac:dyDescent="0.25">
      <c r="A1251" s="11"/>
      <c r="B1251" s="11"/>
      <c r="C1251" s="5"/>
      <c r="G1251" s="11"/>
      <c r="H1251" s="5"/>
      <c r="I1251" s="11"/>
      <c r="J1251" s="20"/>
      <c r="K12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2" spans="1:11" x14ac:dyDescent="0.25">
      <c r="A1252" s="11" t="s">
        <v>206</v>
      </c>
      <c r="B1252" s="11" t="s">
        <v>490</v>
      </c>
      <c r="C1252" s="5" t="s">
        <v>82</v>
      </c>
      <c r="D1252">
        <v>250</v>
      </c>
      <c r="E1252">
        <v>6</v>
      </c>
      <c r="F1252">
        <v>15</v>
      </c>
      <c r="G1252" s="11">
        <v>7</v>
      </c>
      <c r="H1252" s="5">
        <v>0.1575</v>
      </c>
      <c r="I1252" s="11">
        <v>207000</v>
      </c>
      <c r="J1252" s="20">
        <v>1449000</v>
      </c>
      <c r="K12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53" spans="1:11" hidden="1" x14ac:dyDescent="0.25">
      <c r="A1253" s="11"/>
      <c r="B1253" s="11"/>
      <c r="C1253" s="5"/>
      <c r="G1253" s="11"/>
      <c r="H1253" s="5"/>
      <c r="I1253" s="11"/>
      <c r="J1253" s="20"/>
      <c r="K12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4" spans="1:11" x14ac:dyDescent="0.25">
      <c r="A1254" s="11"/>
      <c r="B1254" s="11" t="s">
        <v>438</v>
      </c>
      <c r="C1254" s="5" t="s">
        <v>15</v>
      </c>
      <c r="D1254">
        <v>400</v>
      </c>
      <c r="E1254">
        <v>3</v>
      </c>
      <c r="F1254">
        <v>25</v>
      </c>
      <c r="G1254" s="11">
        <v>1</v>
      </c>
      <c r="H1254" s="5">
        <v>0.03</v>
      </c>
      <c r="I1254" s="11">
        <v>279000</v>
      </c>
      <c r="J1254" s="20">
        <v>279000</v>
      </c>
      <c r="K12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5" spans="1:11" hidden="1" x14ac:dyDescent="0.25">
      <c r="A1255" s="11"/>
      <c r="B1255" s="11"/>
      <c r="C1255" s="5"/>
      <c r="G1255" s="11"/>
      <c r="H1255" s="5"/>
      <c r="I1255" s="11"/>
      <c r="J1255" s="20"/>
      <c r="K12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6" spans="1:11" x14ac:dyDescent="0.25">
      <c r="A1256" s="11"/>
      <c r="B1256" s="11" t="s">
        <v>433</v>
      </c>
      <c r="C1256" s="5" t="s">
        <v>9</v>
      </c>
      <c r="D1256">
        <v>400</v>
      </c>
      <c r="E1256">
        <v>4</v>
      </c>
      <c r="F1256">
        <v>20</v>
      </c>
      <c r="G1256" s="11">
        <v>1</v>
      </c>
      <c r="H1256" s="5">
        <v>3.2000000000000001E-2</v>
      </c>
      <c r="I1256" s="11">
        <v>294400</v>
      </c>
      <c r="J1256" s="20">
        <v>294400</v>
      </c>
      <c r="K12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7" spans="1:11" hidden="1" x14ac:dyDescent="0.25">
      <c r="A1257" s="11"/>
      <c r="B1257" s="11"/>
      <c r="C1257" s="5"/>
      <c r="G1257" s="11"/>
      <c r="H1257" s="5"/>
      <c r="I1257" s="11"/>
      <c r="J1257" s="20"/>
      <c r="K12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8" spans="1:11" x14ac:dyDescent="0.25">
      <c r="A1258" s="11"/>
      <c r="B1258" s="11" t="s">
        <v>443</v>
      </c>
      <c r="C1258" s="5" t="s">
        <v>21</v>
      </c>
      <c r="D1258">
        <v>400</v>
      </c>
      <c r="E1258">
        <v>4</v>
      </c>
      <c r="F1258">
        <v>25</v>
      </c>
      <c r="G1258" s="11">
        <v>1</v>
      </c>
      <c r="H1258" s="5">
        <v>0.04</v>
      </c>
      <c r="I1258" s="11">
        <v>372000</v>
      </c>
      <c r="J1258" s="20">
        <v>372000</v>
      </c>
      <c r="K12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59" spans="1:11" hidden="1" x14ac:dyDescent="0.25">
      <c r="A1259" s="11"/>
      <c r="B1259" s="11"/>
      <c r="C1259" s="5"/>
      <c r="G1259" s="11"/>
      <c r="H1259" s="5"/>
      <c r="I1259" s="11"/>
      <c r="J1259" s="20"/>
      <c r="K12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0" spans="1:11" x14ac:dyDescent="0.25">
      <c r="A1260" s="11"/>
      <c r="B1260" s="11" t="s">
        <v>481</v>
      </c>
      <c r="C1260" s="5" t="s">
        <v>68</v>
      </c>
      <c r="D1260">
        <v>400</v>
      </c>
      <c r="E1260">
        <v>6</v>
      </c>
      <c r="F1260">
        <v>15</v>
      </c>
      <c r="G1260" s="11">
        <v>1</v>
      </c>
      <c r="H1260" s="5">
        <v>3.5999999999999997E-2</v>
      </c>
      <c r="I1260" s="11">
        <v>313200</v>
      </c>
      <c r="J1260" s="20">
        <v>313200</v>
      </c>
      <c r="K12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61" spans="1:11" hidden="1" x14ac:dyDescent="0.25">
      <c r="A1261" s="11"/>
      <c r="B1261" s="11"/>
      <c r="C1261" s="5"/>
      <c r="G1261" s="11"/>
      <c r="H1261" s="5"/>
      <c r="I1261" s="11"/>
      <c r="J1261" s="20"/>
      <c r="K12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2" spans="1:11" hidden="1" x14ac:dyDescent="0.25">
      <c r="A1262" s="11"/>
      <c r="B1262" s="11"/>
      <c r="C1262" s="5"/>
      <c r="G1262" s="11"/>
      <c r="H1262" s="5"/>
      <c r="I1262" s="11"/>
      <c r="J1262" s="20"/>
      <c r="K12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3" spans="1:11" x14ac:dyDescent="0.25">
      <c r="A1263" s="11" t="s">
        <v>206</v>
      </c>
      <c r="B1263" s="11" t="s">
        <v>539</v>
      </c>
      <c r="C1263" s="5" t="s">
        <v>163</v>
      </c>
      <c r="D1263">
        <v>400</v>
      </c>
      <c r="E1263">
        <v>5</v>
      </c>
      <c r="F1263">
        <v>7</v>
      </c>
      <c r="G1263" s="11">
        <v>6</v>
      </c>
      <c r="H1263" s="5">
        <v>8.4000000000000005E-2</v>
      </c>
      <c r="I1263" s="11">
        <v>116200</v>
      </c>
      <c r="J1263" s="20">
        <v>697200</v>
      </c>
      <c r="K12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264" spans="1:11" hidden="1" x14ac:dyDescent="0.25">
      <c r="A1264" s="11"/>
      <c r="B1264" s="11"/>
      <c r="C1264" s="5"/>
      <c r="G1264" s="11"/>
      <c r="H1264" s="5"/>
      <c r="I1264" s="11"/>
      <c r="J1264" s="20"/>
      <c r="K12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5" spans="1:11" x14ac:dyDescent="0.25">
      <c r="A1265" s="11"/>
      <c r="B1265" s="11" t="s">
        <v>439</v>
      </c>
      <c r="C1265" s="5" t="s">
        <v>16</v>
      </c>
      <c r="D1265">
        <v>400</v>
      </c>
      <c r="E1265">
        <v>3</v>
      </c>
      <c r="F1265">
        <v>30</v>
      </c>
      <c r="G1265" s="11">
        <v>5</v>
      </c>
      <c r="H1265" s="5">
        <v>0.18</v>
      </c>
      <c r="I1265" s="11">
        <v>342000</v>
      </c>
      <c r="J1265" s="20">
        <v>1710000</v>
      </c>
      <c r="K12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6" spans="1:11" hidden="1" x14ac:dyDescent="0.25">
      <c r="A1266" s="11"/>
      <c r="B1266" s="11"/>
      <c r="C1266" s="5"/>
      <c r="G1266" s="11"/>
      <c r="H1266" s="5"/>
      <c r="I1266" s="11"/>
      <c r="J1266" s="20"/>
      <c r="K12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7" spans="1:11" hidden="1" x14ac:dyDescent="0.25">
      <c r="A1267" s="11"/>
      <c r="B1267" s="11"/>
      <c r="C1267" s="5"/>
      <c r="G1267" s="11"/>
      <c r="H1267" s="5"/>
      <c r="I1267" s="11"/>
      <c r="J1267" s="20"/>
      <c r="K12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8" spans="1:11" x14ac:dyDescent="0.25">
      <c r="A1268" s="11" t="s">
        <v>208</v>
      </c>
      <c r="B1268" s="11" t="s">
        <v>558</v>
      </c>
      <c r="C1268" s="5" t="s">
        <v>207</v>
      </c>
      <c r="D1268">
        <v>400</v>
      </c>
      <c r="E1268">
        <v>2</v>
      </c>
      <c r="F1268">
        <v>25</v>
      </c>
      <c r="G1268" s="11">
        <v>4</v>
      </c>
      <c r="H1268" s="5">
        <v>0.08</v>
      </c>
      <c r="I1268" s="11">
        <v>520000</v>
      </c>
      <c r="J1268" s="20">
        <v>2080000</v>
      </c>
      <c r="K12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69" spans="1:11" hidden="1" x14ac:dyDescent="0.25">
      <c r="A1269" s="11"/>
      <c r="B1269" s="11"/>
      <c r="C1269" s="5"/>
      <c r="G1269" s="11"/>
      <c r="H1269" s="5"/>
      <c r="I1269" s="11"/>
      <c r="J1269" s="20"/>
      <c r="K12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0" spans="1:11" hidden="1" x14ac:dyDescent="0.25">
      <c r="A1270" s="11"/>
      <c r="B1270" s="11"/>
      <c r="C1270" s="5"/>
      <c r="G1270" s="11"/>
      <c r="H1270" s="5"/>
      <c r="I1270" s="11"/>
      <c r="J1270" s="20"/>
      <c r="K12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1" spans="1:11" x14ac:dyDescent="0.25">
      <c r="A1271" s="11" t="s">
        <v>208</v>
      </c>
      <c r="B1271" s="11" t="s">
        <v>482</v>
      </c>
      <c r="C1271" s="5" t="s">
        <v>69</v>
      </c>
      <c r="D1271">
        <v>400</v>
      </c>
      <c r="E1271">
        <v>2</v>
      </c>
      <c r="F1271">
        <v>20</v>
      </c>
      <c r="G1271" s="11">
        <v>1</v>
      </c>
      <c r="H1271" s="5">
        <v>1.6E-2</v>
      </c>
      <c r="I1271" s="11">
        <v>414400</v>
      </c>
      <c r="J1271" s="20">
        <v>414400</v>
      </c>
      <c r="K12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2" spans="1:11" hidden="1" x14ac:dyDescent="0.25">
      <c r="A1272" s="11"/>
      <c r="B1272" s="11"/>
      <c r="C1272" s="5"/>
      <c r="G1272" s="11"/>
      <c r="H1272" s="5"/>
      <c r="I1272" s="11"/>
      <c r="J1272" s="20"/>
      <c r="K12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3" spans="1:11" hidden="1" x14ac:dyDescent="0.25">
      <c r="A1273" s="11"/>
      <c r="B1273" s="11"/>
      <c r="C1273" s="5"/>
      <c r="G1273" s="11"/>
      <c r="H1273" s="5"/>
      <c r="I1273" s="11"/>
      <c r="J1273" s="20"/>
      <c r="K12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4" spans="1:11" x14ac:dyDescent="0.25">
      <c r="A1274" s="11" t="s">
        <v>208</v>
      </c>
      <c r="B1274" s="11" t="s">
        <v>454</v>
      </c>
      <c r="C1274" s="5" t="s">
        <v>35</v>
      </c>
      <c r="D1274">
        <v>400</v>
      </c>
      <c r="E1274">
        <v>5</v>
      </c>
      <c r="F1274">
        <v>30</v>
      </c>
      <c r="G1274" s="11">
        <v>1</v>
      </c>
      <c r="H1274" s="5">
        <v>0.06</v>
      </c>
      <c r="I1274" s="11">
        <v>582000</v>
      </c>
      <c r="J1274" s="20">
        <v>582000</v>
      </c>
      <c r="K12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275" spans="1:11" hidden="1" x14ac:dyDescent="0.25">
      <c r="A1275" s="11"/>
      <c r="B1275" s="11"/>
      <c r="C1275" s="5"/>
      <c r="G1275" s="11"/>
      <c r="H1275" s="5"/>
      <c r="I1275" s="11"/>
      <c r="J1275" s="20"/>
      <c r="K12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6" spans="1:11" hidden="1" x14ac:dyDescent="0.25">
      <c r="A1276" s="11"/>
      <c r="B1276" s="11"/>
      <c r="C1276" s="5"/>
      <c r="G1276" s="11"/>
      <c r="H1276" s="5"/>
      <c r="I1276" s="11"/>
      <c r="J1276" s="20"/>
      <c r="K12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7" spans="1:11" x14ac:dyDescent="0.25">
      <c r="A1277" s="11" t="s">
        <v>208</v>
      </c>
      <c r="B1277" s="11" t="s">
        <v>444</v>
      </c>
      <c r="C1277" s="5" t="s">
        <v>23</v>
      </c>
      <c r="D1277">
        <v>400</v>
      </c>
      <c r="E1277">
        <v>5</v>
      </c>
      <c r="F1277">
        <v>15</v>
      </c>
      <c r="G1277" s="11">
        <v>2</v>
      </c>
      <c r="H1277" s="5">
        <v>0.06</v>
      </c>
      <c r="I1277" s="11">
        <v>678000</v>
      </c>
      <c r="J1277" s="20">
        <v>1356000</v>
      </c>
      <c r="K12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78" spans="1:11" hidden="1" x14ac:dyDescent="0.25">
      <c r="A1278" s="11"/>
      <c r="B1278" s="11"/>
      <c r="C1278" s="5"/>
      <c r="G1278" s="11"/>
      <c r="H1278" s="5"/>
      <c r="I1278" s="11"/>
      <c r="J1278" s="20"/>
      <c r="K12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79" spans="1:11" hidden="1" x14ac:dyDescent="0.25">
      <c r="A1279" s="11"/>
      <c r="B1279" s="11"/>
      <c r="C1279" s="5"/>
      <c r="G1279" s="11"/>
      <c r="H1279" s="5"/>
      <c r="I1279" s="11"/>
      <c r="J1279" s="20"/>
      <c r="K12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0" spans="1:11" x14ac:dyDescent="0.25">
      <c r="A1280" s="11" t="s">
        <v>208</v>
      </c>
      <c r="B1280" s="11" t="s">
        <v>452</v>
      </c>
      <c r="C1280" s="5" t="s">
        <v>32</v>
      </c>
      <c r="D1280">
        <v>500</v>
      </c>
      <c r="E1280">
        <v>6</v>
      </c>
      <c r="F1280">
        <v>17</v>
      </c>
      <c r="G1280" s="11">
        <v>3</v>
      </c>
      <c r="H1280" s="5">
        <v>0.153</v>
      </c>
      <c r="I1280" s="11">
        <v>489600</v>
      </c>
      <c r="J1280" s="20">
        <v>1468800</v>
      </c>
      <c r="K12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81" spans="1:11" hidden="1" x14ac:dyDescent="0.25">
      <c r="A1281" s="11"/>
      <c r="B1281" s="11"/>
      <c r="C1281" s="5"/>
      <c r="G1281" s="11"/>
      <c r="H1281" s="5"/>
      <c r="I1281" s="11"/>
      <c r="J1281" s="20"/>
      <c r="K12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2" spans="1:11" hidden="1" x14ac:dyDescent="0.25">
      <c r="A1282" s="11"/>
      <c r="B1282" s="11"/>
      <c r="C1282" s="5"/>
      <c r="G1282" s="11"/>
      <c r="H1282" s="5"/>
      <c r="I1282" s="11"/>
      <c r="J1282" s="20"/>
      <c r="K12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3" spans="1:11" x14ac:dyDescent="0.25">
      <c r="A1283" s="11" t="s">
        <v>209</v>
      </c>
      <c r="B1283" s="11" t="s">
        <v>443</v>
      </c>
      <c r="C1283" s="5" t="s">
        <v>21</v>
      </c>
      <c r="D1283">
        <v>400</v>
      </c>
      <c r="E1283">
        <v>4</v>
      </c>
      <c r="F1283">
        <v>25</v>
      </c>
      <c r="G1283" s="11">
        <v>2</v>
      </c>
      <c r="H1283" s="5">
        <v>0.08</v>
      </c>
      <c r="I1283" s="11">
        <v>372000</v>
      </c>
      <c r="J1283" s="20">
        <v>744000</v>
      </c>
      <c r="K12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4" spans="1:11" hidden="1" x14ac:dyDescent="0.25">
      <c r="A1284" s="11"/>
      <c r="B1284" s="11"/>
      <c r="C1284" s="5"/>
      <c r="G1284" s="11"/>
      <c r="H1284" s="5"/>
      <c r="I1284" s="11"/>
      <c r="J1284" s="20"/>
      <c r="K12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5" spans="1:11" x14ac:dyDescent="0.25">
      <c r="A1285" s="11"/>
      <c r="B1285" s="11" t="s">
        <v>502</v>
      </c>
      <c r="C1285" s="5" t="s">
        <v>98</v>
      </c>
      <c r="D1285">
        <v>400</v>
      </c>
      <c r="E1285">
        <v>5</v>
      </c>
      <c r="F1285">
        <v>15</v>
      </c>
      <c r="G1285" s="11">
        <v>7</v>
      </c>
      <c r="H1285" s="5">
        <v>0.21</v>
      </c>
      <c r="I1285" s="11">
        <v>273000</v>
      </c>
      <c r="J1285" s="20">
        <v>1911000</v>
      </c>
      <c r="K12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86" spans="1:11" hidden="1" x14ac:dyDescent="0.25">
      <c r="A1286" s="11"/>
      <c r="B1286" s="11"/>
      <c r="C1286" s="5"/>
      <c r="G1286" s="11"/>
      <c r="H1286" s="5"/>
      <c r="I1286" s="11"/>
      <c r="J1286" s="20"/>
      <c r="K12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7" spans="1:11" x14ac:dyDescent="0.25">
      <c r="A1287" s="11"/>
      <c r="B1287" s="11" t="s">
        <v>435</v>
      </c>
      <c r="C1287" s="5" t="s">
        <v>11</v>
      </c>
      <c r="D1287">
        <v>400</v>
      </c>
      <c r="E1287">
        <v>6</v>
      </c>
      <c r="F1287">
        <v>12</v>
      </c>
      <c r="G1287" s="11">
        <v>1</v>
      </c>
      <c r="H1287" s="5">
        <v>2.8799999999999999E-2</v>
      </c>
      <c r="I1287" s="11">
        <v>250560</v>
      </c>
      <c r="J1287" s="20">
        <v>250560</v>
      </c>
      <c r="K12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88" spans="1:11" hidden="1" x14ac:dyDescent="0.25">
      <c r="A1288" s="11"/>
      <c r="B1288" s="11"/>
      <c r="C1288" s="5"/>
      <c r="G1288" s="11"/>
      <c r="H1288" s="5"/>
      <c r="I1288" s="11"/>
      <c r="J1288" s="20"/>
      <c r="K12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89" spans="1:11" x14ac:dyDescent="0.25">
      <c r="A1289" s="11"/>
      <c r="B1289" s="11" t="s">
        <v>440</v>
      </c>
      <c r="C1289" s="5" t="s">
        <v>17</v>
      </c>
      <c r="D1289">
        <v>500</v>
      </c>
      <c r="E1289">
        <v>4</v>
      </c>
      <c r="F1289">
        <v>25</v>
      </c>
      <c r="G1289" s="11">
        <v>2</v>
      </c>
      <c r="H1289" s="5">
        <v>0.1</v>
      </c>
      <c r="I1289" s="11">
        <v>465000</v>
      </c>
      <c r="J1289" s="20">
        <v>930000</v>
      </c>
      <c r="K12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0" spans="1:11" hidden="1" x14ac:dyDescent="0.25">
      <c r="A1290" s="11"/>
      <c r="B1290" s="11"/>
      <c r="C1290" s="5"/>
      <c r="G1290" s="11"/>
      <c r="H1290" s="5"/>
      <c r="I1290" s="11"/>
      <c r="J1290" s="20"/>
      <c r="K12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1" spans="1:11" x14ac:dyDescent="0.25">
      <c r="A1291" s="11"/>
      <c r="B1291" s="11" t="s">
        <v>463</v>
      </c>
      <c r="C1291" s="5" t="s">
        <v>45</v>
      </c>
      <c r="D1291">
        <v>500</v>
      </c>
      <c r="E1291">
        <v>4</v>
      </c>
      <c r="F1291">
        <v>30</v>
      </c>
      <c r="G1291" s="11">
        <v>4</v>
      </c>
      <c r="H1291" s="5">
        <v>0.24</v>
      </c>
      <c r="I1291" s="11">
        <v>570000</v>
      </c>
      <c r="J1291" s="20">
        <v>2280000</v>
      </c>
      <c r="K12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2" spans="1:11" hidden="1" x14ac:dyDescent="0.25">
      <c r="A1292" s="11"/>
      <c r="B1292" s="11"/>
      <c r="C1292" s="5"/>
      <c r="G1292" s="11"/>
      <c r="H1292" s="5"/>
      <c r="I1292" s="11"/>
      <c r="J1292" s="20"/>
      <c r="K12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3" spans="1:11" x14ac:dyDescent="0.25">
      <c r="A1293" s="11"/>
      <c r="B1293" s="11" t="s">
        <v>471</v>
      </c>
      <c r="C1293" s="5" t="s">
        <v>56</v>
      </c>
      <c r="D1293">
        <v>500</v>
      </c>
      <c r="E1293">
        <v>5</v>
      </c>
      <c r="F1293">
        <v>15</v>
      </c>
      <c r="G1293" s="11">
        <v>9</v>
      </c>
      <c r="H1293" s="5">
        <v>0.33750000000000002</v>
      </c>
      <c r="I1293" s="11">
        <v>360000</v>
      </c>
      <c r="J1293" s="20">
        <v>3240000</v>
      </c>
      <c r="K12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294" spans="1:11" hidden="1" x14ac:dyDescent="0.25">
      <c r="A1294" s="11"/>
      <c r="B1294" s="11"/>
      <c r="C1294" s="5"/>
      <c r="G1294" s="11"/>
      <c r="H1294" s="5"/>
      <c r="I1294" s="11"/>
      <c r="J1294" s="20"/>
      <c r="K12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5" spans="1:11" hidden="1" x14ac:dyDescent="0.25">
      <c r="A1295" s="11"/>
      <c r="B1295" s="11"/>
      <c r="C1295" s="5"/>
      <c r="G1295" s="11"/>
      <c r="H1295" s="5"/>
      <c r="I1295" s="11"/>
      <c r="J1295" s="20"/>
      <c r="K12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6" spans="1:11" x14ac:dyDescent="0.25">
      <c r="A1296" s="11" t="s">
        <v>210</v>
      </c>
      <c r="B1296" s="11" t="s">
        <v>482</v>
      </c>
      <c r="C1296" s="5" t="s">
        <v>69</v>
      </c>
      <c r="D1296">
        <v>400</v>
      </c>
      <c r="E1296">
        <v>2</v>
      </c>
      <c r="F1296">
        <v>20</v>
      </c>
      <c r="G1296" s="11">
        <v>1</v>
      </c>
      <c r="H1296" s="5">
        <v>1.6E-2</v>
      </c>
      <c r="I1296" s="11">
        <v>414400</v>
      </c>
      <c r="J1296" s="20">
        <v>414400</v>
      </c>
      <c r="K12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7" spans="1:11" hidden="1" x14ac:dyDescent="0.25">
      <c r="A1297" s="11"/>
      <c r="B1297" s="11"/>
      <c r="C1297" s="5"/>
      <c r="G1297" s="11"/>
      <c r="H1297" s="5"/>
      <c r="I1297" s="11"/>
      <c r="J1297" s="20"/>
      <c r="K12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8" spans="1:11" hidden="1" x14ac:dyDescent="0.25">
      <c r="A1298" s="11"/>
      <c r="B1298" s="11"/>
      <c r="C1298" s="5"/>
      <c r="G1298" s="11"/>
      <c r="H1298" s="5"/>
      <c r="I1298" s="11"/>
      <c r="J1298" s="20"/>
      <c r="K12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299" spans="1:11" x14ac:dyDescent="0.25">
      <c r="A1299" s="11" t="s">
        <v>210</v>
      </c>
      <c r="B1299" s="11" t="s">
        <v>481</v>
      </c>
      <c r="C1299" s="5" t="s">
        <v>68</v>
      </c>
      <c r="D1299">
        <v>400</v>
      </c>
      <c r="E1299">
        <v>6</v>
      </c>
      <c r="F1299">
        <v>15</v>
      </c>
      <c r="G1299" s="11">
        <v>2</v>
      </c>
      <c r="H1299" s="5">
        <v>7.1999999999999995E-2</v>
      </c>
      <c r="I1299" s="11">
        <v>313200</v>
      </c>
      <c r="J1299" s="20">
        <v>626400</v>
      </c>
      <c r="K12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00" spans="1:11" hidden="1" x14ac:dyDescent="0.25">
      <c r="A1300" s="11"/>
      <c r="B1300" s="11"/>
      <c r="C1300" s="5"/>
      <c r="G1300" s="11"/>
      <c r="H1300" s="5"/>
      <c r="I1300" s="11"/>
      <c r="J1300" s="20"/>
      <c r="K13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1" spans="1:11" x14ac:dyDescent="0.25">
      <c r="A1301" s="11"/>
      <c r="B1301" s="11" t="s">
        <v>463</v>
      </c>
      <c r="C1301" s="5" t="s">
        <v>45</v>
      </c>
      <c r="D1301">
        <v>500</v>
      </c>
      <c r="E1301">
        <v>4</v>
      </c>
      <c r="F1301">
        <v>30</v>
      </c>
      <c r="G1301" s="11">
        <v>2</v>
      </c>
      <c r="H1301" s="5">
        <v>0.12</v>
      </c>
      <c r="I1301" s="11">
        <v>570000</v>
      </c>
      <c r="J1301" s="20">
        <v>1140000</v>
      </c>
      <c r="K13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2" spans="1:11" hidden="1" x14ac:dyDescent="0.25">
      <c r="A1302" s="11"/>
      <c r="B1302" s="11"/>
      <c r="C1302" s="5"/>
      <c r="G1302" s="11"/>
      <c r="H1302" s="5"/>
      <c r="I1302" s="11"/>
      <c r="J1302" s="20"/>
      <c r="K13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3" spans="1:11" hidden="1" x14ac:dyDescent="0.25">
      <c r="A1303" s="11"/>
      <c r="B1303" s="11"/>
      <c r="C1303" s="5"/>
      <c r="G1303" s="11"/>
      <c r="H1303" s="5"/>
      <c r="I1303" s="11"/>
      <c r="J1303" s="20"/>
      <c r="K13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4" spans="1:11" x14ac:dyDescent="0.25">
      <c r="A1304" s="11" t="s">
        <v>210</v>
      </c>
      <c r="B1304" s="11" t="s">
        <v>490</v>
      </c>
      <c r="C1304" s="5" t="s">
        <v>82</v>
      </c>
      <c r="D1304">
        <v>250</v>
      </c>
      <c r="E1304">
        <v>6</v>
      </c>
      <c r="F1304">
        <v>15</v>
      </c>
      <c r="G1304" s="11">
        <v>4</v>
      </c>
      <c r="H1304" s="5">
        <v>0.09</v>
      </c>
      <c r="I1304" s="11">
        <v>207000</v>
      </c>
      <c r="J1304" s="20">
        <v>828000</v>
      </c>
      <c r="K13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05" spans="1:11" hidden="1" x14ac:dyDescent="0.25">
      <c r="A1305" s="11"/>
      <c r="B1305" s="11"/>
      <c r="C1305" s="5"/>
      <c r="G1305" s="11"/>
      <c r="H1305" s="5"/>
      <c r="I1305" s="11"/>
      <c r="J1305" s="20"/>
      <c r="K13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6" spans="1:11" x14ac:dyDescent="0.25">
      <c r="A1306" s="11"/>
      <c r="B1306" s="11" t="s">
        <v>503</v>
      </c>
      <c r="C1306" s="5" t="s">
        <v>99</v>
      </c>
      <c r="D1306">
        <v>300</v>
      </c>
      <c r="E1306">
        <v>6</v>
      </c>
      <c r="F1306">
        <v>15</v>
      </c>
      <c r="G1306" s="11">
        <v>1</v>
      </c>
      <c r="H1306" s="5">
        <v>2.7E-2</v>
      </c>
      <c r="I1306" s="11">
        <v>234900</v>
      </c>
      <c r="J1306" s="20">
        <v>234900</v>
      </c>
      <c r="K13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07" spans="1:11" hidden="1" x14ac:dyDescent="0.25">
      <c r="A1307" s="11"/>
      <c r="B1307" s="11"/>
      <c r="C1307" s="5"/>
      <c r="G1307" s="11"/>
      <c r="H1307" s="5"/>
      <c r="I1307" s="11"/>
      <c r="J1307" s="20"/>
      <c r="K13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8" spans="1:11" hidden="1" x14ac:dyDescent="0.25">
      <c r="A1308" s="11"/>
      <c r="B1308" s="11"/>
      <c r="C1308" s="5"/>
      <c r="G1308" s="11"/>
      <c r="H1308" s="5"/>
      <c r="I1308" s="11"/>
      <c r="J1308" s="20"/>
      <c r="K13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09" spans="1:11" x14ac:dyDescent="0.25">
      <c r="A1309" s="11" t="s">
        <v>211</v>
      </c>
      <c r="B1309" s="11" t="s">
        <v>481</v>
      </c>
      <c r="C1309" s="5" t="s">
        <v>68</v>
      </c>
      <c r="D1309">
        <v>400</v>
      </c>
      <c r="E1309">
        <v>6</v>
      </c>
      <c r="F1309">
        <v>15</v>
      </c>
      <c r="G1309" s="11">
        <v>6</v>
      </c>
      <c r="H1309" s="5">
        <v>0.216</v>
      </c>
      <c r="I1309" s="11">
        <v>313200</v>
      </c>
      <c r="J1309" s="20">
        <v>1879200</v>
      </c>
      <c r="K13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10" spans="1:11" hidden="1" x14ac:dyDescent="0.25">
      <c r="A1310" s="11"/>
      <c r="B1310" s="11"/>
      <c r="C1310" s="5"/>
      <c r="G1310" s="11"/>
      <c r="H1310" s="5"/>
      <c r="I1310" s="11"/>
      <c r="J1310" s="20"/>
      <c r="K13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1" spans="1:11" hidden="1" x14ac:dyDescent="0.25">
      <c r="A1311" s="11"/>
      <c r="B1311" s="11"/>
      <c r="C1311" s="5"/>
      <c r="G1311" s="11"/>
      <c r="H1311" s="5"/>
      <c r="I1311" s="11"/>
      <c r="J1311" s="20"/>
      <c r="K13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2" spans="1:11" x14ac:dyDescent="0.25">
      <c r="A1312" s="11" t="s">
        <v>211</v>
      </c>
      <c r="B1312" s="11" t="s">
        <v>438</v>
      </c>
      <c r="C1312" s="5" t="s">
        <v>15</v>
      </c>
      <c r="D1312">
        <v>400</v>
      </c>
      <c r="E1312">
        <v>3</v>
      </c>
      <c r="F1312">
        <v>25</v>
      </c>
      <c r="G1312" s="11">
        <v>1</v>
      </c>
      <c r="H1312" s="5">
        <v>0.03</v>
      </c>
      <c r="I1312" s="11">
        <v>279000</v>
      </c>
      <c r="J1312" s="20">
        <v>279000</v>
      </c>
      <c r="K13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3" spans="1:11" hidden="1" x14ac:dyDescent="0.25">
      <c r="A1313" s="11"/>
      <c r="B1313" s="11"/>
      <c r="C1313" s="5"/>
      <c r="G1313" s="11"/>
      <c r="H1313" s="5"/>
      <c r="I1313" s="11"/>
      <c r="J1313" s="20"/>
      <c r="K13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4" spans="1:11" x14ac:dyDescent="0.25">
      <c r="A1314" s="11"/>
      <c r="B1314" s="11" t="s">
        <v>439</v>
      </c>
      <c r="C1314" s="5" t="s">
        <v>16</v>
      </c>
      <c r="D1314">
        <v>400</v>
      </c>
      <c r="E1314">
        <v>3</v>
      </c>
      <c r="F1314">
        <v>30</v>
      </c>
      <c r="G1314" s="11">
        <v>2</v>
      </c>
      <c r="H1314" s="5">
        <v>7.1999999999999995E-2</v>
      </c>
      <c r="I1314" s="11">
        <v>342000</v>
      </c>
      <c r="J1314" s="20">
        <v>684000</v>
      </c>
      <c r="K13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5" spans="1:11" hidden="1" x14ac:dyDescent="0.25">
      <c r="A1315" s="11"/>
      <c r="B1315" s="11"/>
      <c r="C1315" s="5"/>
      <c r="G1315" s="11"/>
      <c r="H1315" s="5"/>
      <c r="I1315" s="11"/>
      <c r="J1315" s="20"/>
      <c r="K13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6" spans="1:11" x14ac:dyDescent="0.25">
      <c r="A1316" s="11"/>
      <c r="B1316" s="11" t="s">
        <v>433</v>
      </c>
      <c r="C1316" s="5" t="s">
        <v>9</v>
      </c>
      <c r="D1316">
        <v>400</v>
      </c>
      <c r="E1316">
        <v>4</v>
      </c>
      <c r="F1316">
        <v>20</v>
      </c>
      <c r="G1316" s="11">
        <v>5</v>
      </c>
      <c r="H1316" s="5">
        <v>0.16</v>
      </c>
      <c r="I1316" s="11">
        <v>294400</v>
      </c>
      <c r="J1316" s="20">
        <v>1472000</v>
      </c>
      <c r="K13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7" spans="1:11" hidden="1" x14ac:dyDescent="0.25">
      <c r="A1317" s="11"/>
      <c r="B1317" s="11"/>
      <c r="C1317" s="5"/>
      <c r="G1317" s="11"/>
      <c r="H1317" s="5"/>
      <c r="I1317" s="11"/>
      <c r="J1317" s="20"/>
      <c r="K13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18" spans="1:11" x14ac:dyDescent="0.25">
      <c r="A1318" s="11"/>
      <c r="B1318" s="11" t="s">
        <v>471</v>
      </c>
      <c r="C1318" s="5" t="s">
        <v>56</v>
      </c>
      <c r="D1318">
        <v>500</v>
      </c>
      <c r="E1318">
        <v>5</v>
      </c>
      <c r="F1318">
        <v>15</v>
      </c>
      <c r="G1318" s="11">
        <v>1</v>
      </c>
      <c r="H1318" s="5">
        <v>3.7499999999999999E-2</v>
      </c>
      <c r="I1318" s="11">
        <v>360000</v>
      </c>
      <c r="J1318" s="20">
        <v>360000</v>
      </c>
      <c r="K13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19" spans="1:11" hidden="1" x14ac:dyDescent="0.25">
      <c r="A1319" s="11"/>
      <c r="B1319" s="11"/>
      <c r="C1319" s="5"/>
      <c r="G1319" s="11"/>
      <c r="H1319" s="5"/>
      <c r="I1319" s="11"/>
      <c r="J1319" s="20"/>
      <c r="K13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0" spans="1:11" hidden="1" x14ac:dyDescent="0.25">
      <c r="A1320" s="11"/>
      <c r="B1320" s="11"/>
      <c r="C1320" s="5"/>
      <c r="G1320" s="11"/>
      <c r="H1320" s="5"/>
      <c r="I1320" s="11"/>
      <c r="J1320" s="20"/>
      <c r="K13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1" spans="1:11" x14ac:dyDescent="0.25">
      <c r="A1321" s="11" t="s">
        <v>211</v>
      </c>
      <c r="B1321" s="11" t="s">
        <v>439</v>
      </c>
      <c r="C1321" s="5" t="s">
        <v>16</v>
      </c>
      <c r="D1321">
        <v>400</v>
      </c>
      <c r="E1321">
        <v>3</v>
      </c>
      <c r="F1321">
        <v>30</v>
      </c>
      <c r="G1321" s="11">
        <v>4</v>
      </c>
      <c r="H1321" s="5">
        <v>0.14399999999999999</v>
      </c>
      <c r="I1321" s="11">
        <v>342000</v>
      </c>
      <c r="J1321" s="20">
        <v>1368000</v>
      </c>
      <c r="K13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2" spans="1:11" hidden="1" x14ac:dyDescent="0.25">
      <c r="A1322" s="11"/>
      <c r="B1322" s="11"/>
      <c r="C1322" s="5"/>
      <c r="G1322" s="11"/>
      <c r="H1322" s="5"/>
      <c r="I1322" s="11"/>
      <c r="J1322" s="20"/>
      <c r="K13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3" spans="1:11" x14ac:dyDescent="0.25">
      <c r="A1323" s="11"/>
      <c r="B1323" s="11" t="s">
        <v>481</v>
      </c>
      <c r="C1323" s="5" t="s">
        <v>68</v>
      </c>
      <c r="D1323">
        <v>400</v>
      </c>
      <c r="E1323">
        <v>6</v>
      </c>
      <c r="F1323">
        <v>15</v>
      </c>
      <c r="G1323" s="11">
        <v>1</v>
      </c>
      <c r="H1323" s="5">
        <v>3.5999999999999997E-2</v>
      </c>
      <c r="I1323" s="11">
        <v>313200</v>
      </c>
      <c r="J1323" s="20">
        <v>313200</v>
      </c>
      <c r="K13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24" spans="1:11" hidden="1" x14ac:dyDescent="0.25">
      <c r="A1324" s="11"/>
      <c r="B1324" s="11"/>
      <c r="C1324" s="5"/>
      <c r="G1324" s="11"/>
      <c r="H1324" s="5"/>
      <c r="I1324" s="11"/>
      <c r="J1324" s="20"/>
      <c r="K13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5" spans="1:11" hidden="1" x14ac:dyDescent="0.25">
      <c r="A1325" s="11"/>
      <c r="B1325" s="11"/>
      <c r="C1325" s="5"/>
      <c r="G1325" s="11"/>
      <c r="H1325" s="5"/>
      <c r="I1325" s="11"/>
      <c r="J1325" s="20"/>
      <c r="K13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6" spans="1:11" x14ac:dyDescent="0.25">
      <c r="A1326" s="11" t="s">
        <v>211</v>
      </c>
      <c r="B1326" s="11" t="s">
        <v>452</v>
      </c>
      <c r="C1326" s="5" t="s">
        <v>32</v>
      </c>
      <c r="D1326">
        <v>500</v>
      </c>
      <c r="E1326">
        <v>6</v>
      </c>
      <c r="F1326">
        <v>17</v>
      </c>
      <c r="G1326" s="11">
        <v>3</v>
      </c>
      <c r="H1326" s="5">
        <v>0.153</v>
      </c>
      <c r="I1326" s="11">
        <v>489600</v>
      </c>
      <c r="J1326" s="20">
        <v>1468800</v>
      </c>
      <c r="K13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27" spans="1:11" hidden="1" x14ac:dyDescent="0.25">
      <c r="A1327" s="11"/>
      <c r="B1327" s="11"/>
      <c r="C1327" s="5"/>
      <c r="G1327" s="11"/>
      <c r="H1327" s="5"/>
      <c r="I1327" s="11"/>
      <c r="J1327" s="20"/>
      <c r="K13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28" spans="1:11" x14ac:dyDescent="0.25">
      <c r="A1328" s="11"/>
      <c r="B1328" s="11" t="s">
        <v>559</v>
      </c>
      <c r="C1328" s="5" t="s">
        <v>212</v>
      </c>
      <c r="D1328">
        <v>450</v>
      </c>
      <c r="E1328">
        <v>6</v>
      </c>
      <c r="F1328">
        <v>17</v>
      </c>
      <c r="G1328" s="11">
        <v>1</v>
      </c>
      <c r="H1328" s="5">
        <v>4.5900000000000003E-2</v>
      </c>
      <c r="I1328" s="11">
        <v>440640</v>
      </c>
      <c r="J1328" s="20">
        <v>440640</v>
      </c>
      <c r="K13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29" spans="1:11" hidden="1" x14ac:dyDescent="0.25">
      <c r="A1329" s="11"/>
      <c r="B1329" s="11"/>
      <c r="C1329" s="5"/>
      <c r="G1329" s="11"/>
      <c r="H1329" s="5"/>
      <c r="I1329" s="11"/>
      <c r="J1329" s="20"/>
      <c r="K13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0" spans="1:11" hidden="1" x14ac:dyDescent="0.25">
      <c r="A1330" s="11"/>
      <c r="B1330" s="11"/>
      <c r="C1330" s="5"/>
      <c r="G1330" s="11"/>
      <c r="H1330" s="5"/>
      <c r="I1330" s="11"/>
      <c r="J1330" s="20"/>
      <c r="K13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1" spans="1:11" x14ac:dyDescent="0.25">
      <c r="A1331" s="11" t="s">
        <v>211</v>
      </c>
      <c r="B1331" s="11" t="s">
        <v>443</v>
      </c>
      <c r="C1331" s="5" t="s">
        <v>21</v>
      </c>
      <c r="D1331">
        <v>400</v>
      </c>
      <c r="E1331">
        <v>4</v>
      </c>
      <c r="F1331">
        <v>25</v>
      </c>
      <c r="G1331" s="11">
        <v>20</v>
      </c>
      <c r="H1331" s="5">
        <v>0.8</v>
      </c>
      <c r="I1331" s="11">
        <v>372000</v>
      </c>
      <c r="J1331" s="20">
        <v>7440000</v>
      </c>
      <c r="K13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2" spans="1:11" hidden="1" x14ac:dyDescent="0.25">
      <c r="A1332" s="11"/>
      <c r="B1332" s="11"/>
      <c r="C1332" s="5"/>
      <c r="G1332" s="11"/>
      <c r="H1332" s="5"/>
      <c r="I1332" s="11"/>
      <c r="J1332" s="20"/>
      <c r="K13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3" spans="1:11" x14ac:dyDescent="0.25">
      <c r="A1333" s="11"/>
      <c r="B1333" s="11" t="s">
        <v>434</v>
      </c>
      <c r="C1333" s="5" t="s">
        <v>10</v>
      </c>
      <c r="D1333">
        <v>400</v>
      </c>
      <c r="E1333">
        <v>4</v>
      </c>
      <c r="F1333">
        <v>30</v>
      </c>
      <c r="G1333" s="11">
        <v>10</v>
      </c>
      <c r="H1333" s="5">
        <v>0.48</v>
      </c>
      <c r="I1333" s="11">
        <v>456000</v>
      </c>
      <c r="J1333" s="20">
        <v>4560000</v>
      </c>
      <c r="K13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4" spans="1:11" hidden="1" x14ac:dyDescent="0.25">
      <c r="A1334" s="11"/>
      <c r="B1334" s="11"/>
      <c r="C1334" s="5"/>
      <c r="G1334" s="11"/>
      <c r="H1334" s="5"/>
      <c r="I1334" s="11"/>
      <c r="J1334" s="20"/>
      <c r="K13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5" spans="1:11" x14ac:dyDescent="0.25">
      <c r="A1335" s="11"/>
      <c r="B1335" s="11" t="s">
        <v>519</v>
      </c>
      <c r="C1335" s="5" t="s">
        <v>125</v>
      </c>
      <c r="D1335">
        <v>400</v>
      </c>
      <c r="E1335">
        <v>5</v>
      </c>
      <c r="F1335">
        <v>25</v>
      </c>
      <c r="G1335" s="11">
        <v>2</v>
      </c>
      <c r="H1335" s="5">
        <v>0.1</v>
      </c>
      <c r="I1335" s="11">
        <v>475000</v>
      </c>
      <c r="J1335" s="20">
        <v>950000</v>
      </c>
      <c r="K13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336" spans="1:11" hidden="1" x14ac:dyDescent="0.25">
      <c r="A1336" s="11"/>
      <c r="B1336" s="11"/>
      <c r="C1336" s="5"/>
      <c r="G1336" s="11"/>
      <c r="H1336" s="5"/>
      <c r="I1336" s="11"/>
      <c r="J1336" s="20"/>
      <c r="K13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7" spans="1:11" hidden="1" x14ac:dyDescent="0.25">
      <c r="A1337" s="11"/>
      <c r="B1337" s="11"/>
      <c r="C1337" s="5"/>
      <c r="G1337" s="11"/>
      <c r="H1337" s="5"/>
      <c r="I1337" s="11"/>
      <c r="J1337" s="20"/>
      <c r="K13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8" spans="1:11" x14ac:dyDescent="0.25">
      <c r="A1338" s="11" t="s">
        <v>213</v>
      </c>
      <c r="B1338" s="11" t="s">
        <v>433</v>
      </c>
      <c r="C1338" s="5" t="s">
        <v>9</v>
      </c>
      <c r="D1338">
        <v>400</v>
      </c>
      <c r="E1338">
        <v>4</v>
      </c>
      <c r="F1338">
        <v>20</v>
      </c>
      <c r="G1338" s="11">
        <v>2</v>
      </c>
      <c r="H1338" s="5">
        <v>6.4000000000000001E-2</v>
      </c>
      <c r="I1338" s="11">
        <v>294400</v>
      </c>
      <c r="J1338" s="20">
        <v>588800</v>
      </c>
      <c r="K13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39" spans="1:11" hidden="1" x14ac:dyDescent="0.25">
      <c r="A1339" s="11"/>
      <c r="B1339" s="11"/>
      <c r="C1339" s="5"/>
      <c r="G1339" s="11"/>
      <c r="H1339" s="5"/>
      <c r="I1339" s="11"/>
      <c r="J1339" s="20"/>
      <c r="K13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0" spans="1:11" x14ac:dyDescent="0.25">
      <c r="A1340" s="11"/>
      <c r="B1340" s="11" t="s">
        <v>443</v>
      </c>
      <c r="C1340" s="5" t="s">
        <v>21</v>
      </c>
      <c r="D1340">
        <v>400</v>
      </c>
      <c r="E1340">
        <v>4</v>
      </c>
      <c r="F1340">
        <v>25</v>
      </c>
      <c r="G1340" s="11">
        <v>4</v>
      </c>
      <c r="H1340" s="5">
        <v>0.16</v>
      </c>
      <c r="I1340" s="11">
        <v>372000</v>
      </c>
      <c r="J1340" s="20">
        <v>1488000</v>
      </c>
      <c r="K13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1" spans="1:11" hidden="1" x14ac:dyDescent="0.25">
      <c r="A1341" s="11"/>
      <c r="B1341" s="11"/>
      <c r="C1341" s="5"/>
      <c r="G1341" s="11"/>
      <c r="H1341" s="5"/>
      <c r="I1341" s="11"/>
      <c r="J1341" s="20"/>
      <c r="K13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2" spans="1:11" x14ac:dyDescent="0.25">
      <c r="A1342" s="11"/>
      <c r="B1342" s="11" t="s">
        <v>481</v>
      </c>
      <c r="C1342" s="5" t="s">
        <v>68</v>
      </c>
      <c r="D1342">
        <v>400</v>
      </c>
      <c r="E1342">
        <v>6</v>
      </c>
      <c r="F1342">
        <v>15</v>
      </c>
      <c r="G1342" s="11">
        <v>3</v>
      </c>
      <c r="H1342" s="5">
        <v>0.108</v>
      </c>
      <c r="I1342" s="11">
        <v>313200</v>
      </c>
      <c r="J1342" s="20">
        <v>939600</v>
      </c>
      <c r="K13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43" spans="1:11" hidden="1" x14ac:dyDescent="0.25">
      <c r="A1343" s="11"/>
      <c r="B1343" s="11"/>
      <c r="C1343" s="5"/>
      <c r="G1343" s="11"/>
      <c r="H1343" s="5"/>
      <c r="I1343" s="11"/>
      <c r="J1343" s="20"/>
      <c r="K13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4" spans="1:11" x14ac:dyDescent="0.25">
      <c r="A1344" s="11"/>
      <c r="B1344" s="11" t="s">
        <v>498</v>
      </c>
      <c r="C1344" s="5" t="s">
        <v>92</v>
      </c>
      <c r="D1344">
        <v>500</v>
      </c>
      <c r="E1344">
        <v>6</v>
      </c>
      <c r="F1344">
        <v>15</v>
      </c>
      <c r="G1344" s="11">
        <v>1</v>
      </c>
      <c r="H1344" s="5">
        <v>4.4999999999999998E-2</v>
      </c>
      <c r="I1344" s="11">
        <v>414000</v>
      </c>
      <c r="J1344" s="20">
        <v>414000</v>
      </c>
      <c r="K13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45" spans="1:11" hidden="1" x14ac:dyDescent="0.25">
      <c r="A1345" s="11"/>
      <c r="B1345" s="11"/>
      <c r="C1345" s="5"/>
      <c r="G1345" s="11"/>
      <c r="H1345" s="5"/>
      <c r="I1345" s="11"/>
      <c r="J1345" s="20"/>
      <c r="K13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6" spans="1:11" hidden="1" x14ac:dyDescent="0.25">
      <c r="A1346" s="11"/>
      <c r="B1346" s="11"/>
      <c r="C1346" s="5"/>
      <c r="G1346" s="11"/>
      <c r="H1346" s="5"/>
      <c r="I1346" s="11"/>
      <c r="J1346" s="20"/>
      <c r="K13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7" spans="1:11" x14ac:dyDescent="0.25">
      <c r="A1347" s="11" t="s">
        <v>213</v>
      </c>
      <c r="B1347" s="11" t="s">
        <v>438</v>
      </c>
      <c r="C1347" s="5" t="s">
        <v>15</v>
      </c>
      <c r="D1347">
        <v>400</v>
      </c>
      <c r="E1347">
        <v>3</v>
      </c>
      <c r="F1347">
        <v>25</v>
      </c>
      <c r="G1347" s="11">
        <v>2</v>
      </c>
      <c r="H1347" s="5">
        <v>0.06</v>
      </c>
      <c r="I1347" s="11">
        <v>279000</v>
      </c>
      <c r="J1347" s="20">
        <v>558000</v>
      </c>
      <c r="K13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8" spans="1:11" hidden="1" x14ac:dyDescent="0.25">
      <c r="A1348" s="11"/>
      <c r="B1348" s="11"/>
      <c r="C1348" s="5"/>
      <c r="G1348" s="11"/>
      <c r="H1348" s="5"/>
      <c r="I1348" s="11"/>
      <c r="J1348" s="20"/>
      <c r="K13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49" spans="1:11" x14ac:dyDescent="0.25">
      <c r="A1349" s="11"/>
      <c r="B1349" s="11" t="s">
        <v>443</v>
      </c>
      <c r="C1349" s="5" t="s">
        <v>21</v>
      </c>
      <c r="D1349">
        <v>400</v>
      </c>
      <c r="E1349">
        <v>4</v>
      </c>
      <c r="F1349">
        <v>25</v>
      </c>
      <c r="G1349" s="11">
        <v>2</v>
      </c>
      <c r="H1349" s="5">
        <v>0.08</v>
      </c>
      <c r="I1349" s="11">
        <v>372000</v>
      </c>
      <c r="J1349" s="20">
        <v>744000</v>
      </c>
      <c r="K13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0" spans="1:11" hidden="1" x14ac:dyDescent="0.25">
      <c r="A1350" s="11"/>
      <c r="B1350" s="11"/>
      <c r="C1350" s="5"/>
      <c r="G1350" s="11"/>
      <c r="H1350" s="5"/>
      <c r="I1350" s="11"/>
      <c r="J1350" s="20"/>
      <c r="K13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1" spans="1:11" x14ac:dyDescent="0.25">
      <c r="A1351" s="11"/>
      <c r="B1351" s="11" t="s">
        <v>435</v>
      </c>
      <c r="C1351" s="5" t="s">
        <v>11</v>
      </c>
      <c r="D1351">
        <v>400</v>
      </c>
      <c r="E1351">
        <v>6</v>
      </c>
      <c r="F1351">
        <v>12</v>
      </c>
      <c r="G1351" s="11">
        <v>1</v>
      </c>
      <c r="H1351" s="5">
        <v>2.8799999999999999E-2</v>
      </c>
      <c r="I1351" s="11">
        <v>250560</v>
      </c>
      <c r="J1351" s="20">
        <v>250560</v>
      </c>
      <c r="K13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52" spans="1:11" hidden="1" x14ac:dyDescent="0.25">
      <c r="A1352" s="11"/>
      <c r="B1352" s="11"/>
      <c r="C1352" s="5"/>
      <c r="G1352" s="11"/>
      <c r="H1352" s="5"/>
      <c r="I1352" s="11"/>
      <c r="J1352" s="20"/>
      <c r="K13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3" spans="1:11" x14ac:dyDescent="0.25">
      <c r="A1353" s="11"/>
      <c r="B1353" s="11" t="s">
        <v>520</v>
      </c>
      <c r="C1353" s="5" t="s">
        <v>126</v>
      </c>
      <c r="D1353">
        <v>500</v>
      </c>
      <c r="E1353">
        <v>6</v>
      </c>
      <c r="F1353">
        <v>12</v>
      </c>
      <c r="G1353" s="11">
        <v>2</v>
      </c>
      <c r="H1353" s="5">
        <v>7.1999999999999995E-2</v>
      </c>
      <c r="I1353" s="11">
        <v>331200</v>
      </c>
      <c r="J1353" s="20">
        <v>662400</v>
      </c>
      <c r="K13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54" spans="1:11" hidden="1" x14ac:dyDescent="0.25">
      <c r="A1354" s="11"/>
      <c r="B1354" s="11"/>
      <c r="C1354" s="5"/>
      <c r="G1354" s="11"/>
      <c r="H1354" s="5"/>
      <c r="I1354" s="11"/>
      <c r="J1354" s="20"/>
      <c r="K13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5" spans="1:11" hidden="1" x14ac:dyDescent="0.25">
      <c r="A1355" s="11"/>
      <c r="B1355" s="11"/>
      <c r="C1355" s="5"/>
      <c r="G1355" s="11"/>
      <c r="H1355" s="5"/>
      <c r="I1355" s="11"/>
      <c r="J1355" s="20"/>
      <c r="K13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6" spans="1:11" x14ac:dyDescent="0.25">
      <c r="A1356" s="11" t="s">
        <v>215</v>
      </c>
      <c r="B1356" s="11" t="s">
        <v>560</v>
      </c>
      <c r="C1356" s="5" t="s">
        <v>214</v>
      </c>
      <c r="D1356">
        <v>400</v>
      </c>
      <c r="E1356">
        <v>3</v>
      </c>
      <c r="F1356">
        <v>25</v>
      </c>
      <c r="G1356" s="11">
        <v>12</v>
      </c>
      <c r="H1356" s="5">
        <v>0.36</v>
      </c>
      <c r="I1356" s="11">
        <v>234000</v>
      </c>
      <c r="J1356" s="20">
        <v>2808000</v>
      </c>
      <c r="K13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7" spans="1:11" hidden="1" x14ac:dyDescent="0.25">
      <c r="A1357" s="11"/>
      <c r="B1357" s="11"/>
      <c r="C1357" s="5"/>
      <c r="G1357" s="11"/>
      <c r="H1357" s="5"/>
      <c r="I1357" s="11"/>
      <c r="J1357" s="20"/>
      <c r="K13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8" spans="1:11" hidden="1" x14ac:dyDescent="0.25">
      <c r="A1358" s="11"/>
      <c r="B1358" s="11"/>
      <c r="C1358" s="5"/>
      <c r="G1358" s="11"/>
      <c r="H1358" s="5"/>
      <c r="I1358" s="11"/>
      <c r="J1358" s="20"/>
      <c r="K13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59" spans="1:11" x14ac:dyDescent="0.25">
      <c r="A1359" s="11" t="s">
        <v>215</v>
      </c>
      <c r="B1359" s="11" t="s">
        <v>434</v>
      </c>
      <c r="C1359" s="5" t="s">
        <v>10</v>
      </c>
      <c r="D1359">
        <v>400</v>
      </c>
      <c r="E1359">
        <v>4</v>
      </c>
      <c r="F1359">
        <v>30</v>
      </c>
      <c r="G1359" s="11">
        <v>5</v>
      </c>
      <c r="H1359" s="5">
        <v>0.24</v>
      </c>
      <c r="I1359" s="11">
        <v>456000</v>
      </c>
      <c r="J1359" s="20">
        <v>2280000</v>
      </c>
      <c r="K13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0" spans="1:11" hidden="1" x14ac:dyDescent="0.25">
      <c r="A1360" s="11"/>
      <c r="B1360" s="11"/>
      <c r="C1360" s="5"/>
      <c r="G1360" s="11"/>
      <c r="H1360" s="5"/>
      <c r="I1360" s="11"/>
      <c r="J1360" s="20"/>
      <c r="K13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1" spans="1:11" x14ac:dyDescent="0.25">
      <c r="A1361" s="11"/>
      <c r="B1361" s="11" t="s">
        <v>463</v>
      </c>
      <c r="C1361" s="5" t="s">
        <v>45</v>
      </c>
      <c r="D1361">
        <v>500</v>
      </c>
      <c r="E1361">
        <v>4</v>
      </c>
      <c r="F1361">
        <v>30</v>
      </c>
      <c r="G1361" s="11">
        <v>14</v>
      </c>
      <c r="H1361" s="5">
        <v>0.84</v>
      </c>
      <c r="I1361" s="11">
        <v>570000</v>
      </c>
      <c r="J1361" s="20">
        <v>7980000</v>
      </c>
      <c r="K13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2" spans="1:11" hidden="1" x14ac:dyDescent="0.25">
      <c r="A1362" s="11"/>
      <c r="B1362" s="11"/>
      <c r="C1362" s="5"/>
      <c r="G1362" s="11"/>
      <c r="H1362" s="5"/>
      <c r="I1362" s="11"/>
      <c r="J1362" s="20"/>
      <c r="K13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3" spans="1:11" hidden="1" x14ac:dyDescent="0.25">
      <c r="A1363" s="11"/>
      <c r="B1363" s="11"/>
      <c r="C1363" s="5"/>
      <c r="G1363" s="11"/>
      <c r="H1363" s="5"/>
      <c r="I1363" s="11"/>
      <c r="J1363" s="20"/>
      <c r="K13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4" spans="1:11" x14ac:dyDescent="0.25">
      <c r="A1364" s="11" t="s">
        <v>216</v>
      </c>
      <c r="B1364" s="11" t="s">
        <v>504</v>
      </c>
      <c r="C1364" s="5" t="s">
        <v>100</v>
      </c>
      <c r="D1364">
        <v>250</v>
      </c>
      <c r="E1364">
        <v>6</v>
      </c>
      <c r="F1364">
        <v>15</v>
      </c>
      <c r="G1364" s="11">
        <v>21</v>
      </c>
      <c r="H1364" s="5">
        <v>0.47249999999999998</v>
      </c>
      <c r="I1364" s="11">
        <v>508500</v>
      </c>
      <c r="J1364" s="20">
        <v>10678500</v>
      </c>
      <c r="K13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65" spans="1:11" hidden="1" x14ac:dyDescent="0.25">
      <c r="A1365" s="11"/>
      <c r="B1365" s="11"/>
      <c r="C1365" s="5"/>
      <c r="G1365" s="11"/>
      <c r="H1365" s="5"/>
      <c r="I1365" s="11"/>
      <c r="J1365" s="20"/>
      <c r="K13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6" spans="1:11" x14ac:dyDescent="0.25">
      <c r="A1366" s="11"/>
      <c r="B1366" s="11" t="s">
        <v>477</v>
      </c>
      <c r="C1366" s="5" t="s">
        <v>63</v>
      </c>
      <c r="D1366">
        <v>100</v>
      </c>
      <c r="E1366">
        <v>6</v>
      </c>
      <c r="F1366">
        <v>15</v>
      </c>
      <c r="G1366" s="11">
        <v>10</v>
      </c>
      <c r="H1366" s="5">
        <v>0.09</v>
      </c>
      <c r="I1366" s="11">
        <v>181800</v>
      </c>
      <c r="J1366" s="20">
        <v>1818000</v>
      </c>
      <c r="K13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67" spans="1:11" hidden="1" x14ac:dyDescent="0.25">
      <c r="A1367" s="11"/>
      <c r="B1367" s="11"/>
      <c r="C1367" s="5"/>
      <c r="G1367" s="11"/>
      <c r="H1367" s="5"/>
      <c r="I1367" s="11"/>
      <c r="J1367" s="20"/>
      <c r="K13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68" spans="1:11" x14ac:dyDescent="0.25">
      <c r="A1368" s="11"/>
      <c r="B1368" s="11" t="s">
        <v>522</v>
      </c>
      <c r="C1368" s="5" t="s">
        <v>131</v>
      </c>
      <c r="D1368">
        <v>200</v>
      </c>
      <c r="E1368">
        <v>6</v>
      </c>
      <c r="F1368">
        <v>15</v>
      </c>
      <c r="G1368" s="11">
        <v>3</v>
      </c>
      <c r="H1368" s="5">
        <v>5.3999999999999999E-2</v>
      </c>
      <c r="I1368" s="11">
        <v>388800</v>
      </c>
      <c r="J1368" s="20">
        <v>1166400</v>
      </c>
      <c r="K13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69" spans="1:11" hidden="1" x14ac:dyDescent="0.25">
      <c r="A1369" s="11"/>
      <c r="B1369" s="11"/>
      <c r="C1369" s="5"/>
      <c r="G1369" s="11"/>
      <c r="H1369" s="5"/>
      <c r="I1369" s="11"/>
      <c r="J1369" s="20"/>
      <c r="K13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0" spans="1:11" hidden="1" x14ac:dyDescent="0.25">
      <c r="A1370" s="11"/>
      <c r="B1370" s="11"/>
      <c r="C1370" s="5"/>
      <c r="G1370" s="11"/>
      <c r="H1370" s="5"/>
      <c r="I1370" s="11"/>
      <c r="J1370" s="20"/>
      <c r="K13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1" spans="1:11" x14ac:dyDescent="0.25">
      <c r="A1371" s="11" t="s">
        <v>216</v>
      </c>
      <c r="B1371" s="11" t="s">
        <v>434</v>
      </c>
      <c r="C1371" s="5" t="s">
        <v>10</v>
      </c>
      <c r="D1371">
        <v>400</v>
      </c>
      <c r="E1371">
        <v>4</v>
      </c>
      <c r="F1371">
        <v>30</v>
      </c>
      <c r="G1371" s="11">
        <v>6</v>
      </c>
      <c r="H1371" s="5">
        <v>0.28799999999999998</v>
      </c>
      <c r="I1371" s="11">
        <v>456000</v>
      </c>
      <c r="J1371" s="20">
        <v>2736000</v>
      </c>
      <c r="K13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2" spans="1:11" hidden="1" x14ac:dyDescent="0.25">
      <c r="A1372" s="11"/>
      <c r="B1372" s="11"/>
      <c r="C1372" s="5"/>
      <c r="G1372" s="11"/>
      <c r="H1372" s="5"/>
      <c r="I1372" s="11"/>
      <c r="J1372" s="20"/>
      <c r="K13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3" spans="1:11" hidden="1" x14ac:dyDescent="0.25">
      <c r="A1373" s="11"/>
      <c r="B1373" s="11"/>
      <c r="C1373" s="5"/>
      <c r="G1373" s="11"/>
      <c r="H1373" s="5"/>
      <c r="I1373" s="11"/>
      <c r="J1373" s="20"/>
      <c r="K13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4" spans="1:11" x14ac:dyDescent="0.25">
      <c r="A1374" s="11" t="s">
        <v>217</v>
      </c>
      <c r="B1374" s="11" t="s">
        <v>436</v>
      </c>
      <c r="C1374" s="5" t="s">
        <v>12</v>
      </c>
      <c r="D1374">
        <v>400</v>
      </c>
      <c r="E1374">
        <v>6</v>
      </c>
      <c r="F1374">
        <v>17</v>
      </c>
      <c r="G1374" s="11">
        <v>1</v>
      </c>
      <c r="H1374" s="5">
        <v>4.0800000000000003E-2</v>
      </c>
      <c r="I1374" s="11">
        <v>371280</v>
      </c>
      <c r="J1374" s="20">
        <v>371280</v>
      </c>
      <c r="K13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75" spans="1:11" hidden="1" x14ac:dyDescent="0.25">
      <c r="A1375" s="11"/>
      <c r="B1375" s="11"/>
      <c r="C1375" s="5"/>
      <c r="G1375" s="11"/>
      <c r="H1375" s="5"/>
      <c r="I1375" s="11"/>
      <c r="J1375" s="20"/>
      <c r="K13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6" spans="1:11" x14ac:dyDescent="0.25">
      <c r="A1376" s="11"/>
      <c r="B1376" s="11" t="s">
        <v>452</v>
      </c>
      <c r="C1376" s="5" t="s">
        <v>32</v>
      </c>
      <c r="D1376">
        <v>500</v>
      </c>
      <c r="E1376">
        <v>6</v>
      </c>
      <c r="F1376">
        <v>17</v>
      </c>
      <c r="G1376" s="11">
        <v>4</v>
      </c>
      <c r="H1376" s="5">
        <v>0.20399999999999999</v>
      </c>
      <c r="I1376" s="11">
        <v>489600</v>
      </c>
      <c r="J1376" s="20">
        <v>1958400</v>
      </c>
      <c r="K13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77" spans="1:11" hidden="1" x14ac:dyDescent="0.25">
      <c r="A1377" s="11"/>
      <c r="B1377" s="11"/>
      <c r="C1377" s="5"/>
      <c r="G1377" s="11"/>
      <c r="H1377" s="5"/>
      <c r="I1377" s="11"/>
      <c r="J1377" s="20"/>
      <c r="K13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8" spans="1:11" hidden="1" x14ac:dyDescent="0.25">
      <c r="A1378" s="11"/>
      <c r="B1378" s="11"/>
      <c r="C1378" s="5"/>
      <c r="G1378" s="11"/>
      <c r="H1378" s="5"/>
      <c r="I1378" s="11"/>
      <c r="J1378" s="20"/>
      <c r="K13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79" spans="1:11" x14ac:dyDescent="0.25">
      <c r="A1379" s="11" t="s">
        <v>217</v>
      </c>
      <c r="B1379" s="11" t="s">
        <v>438</v>
      </c>
      <c r="C1379" s="5" t="s">
        <v>15</v>
      </c>
      <c r="D1379">
        <v>400</v>
      </c>
      <c r="E1379">
        <v>3</v>
      </c>
      <c r="F1379">
        <v>25</v>
      </c>
      <c r="G1379" s="11">
        <v>6</v>
      </c>
      <c r="H1379" s="5">
        <v>0.18</v>
      </c>
      <c r="I1379" s="11">
        <v>279000</v>
      </c>
      <c r="J1379" s="20">
        <v>1674000</v>
      </c>
      <c r="K13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0" spans="1:11" hidden="1" x14ac:dyDescent="0.25">
      <c r="A1380" s="11"/>
      <c r="B1380" s="11"/>
      <c r="C1380" s="5"/>
      <c r="G1380" s="11"/>
      <c r="H1380" s="5"/>
      <c r="I1380" s="11"/>
      <c r="J1380" s="20"/>
      <c r="K13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1" spans="1:11" x14ac:dyDescent="0.25">
      <c r="A1381" s="11"/>
      <c r="B1381" s="11" t="s">
        <v>443</v>
      </c>
      <c r="C1381" s="5" t="s">
        <v>21</v>
      </c>
      <c r="D1381">
        <v>400</v>
      </c>
      <c r="E1381">
        <v>4</v>
      </c>
      <c r="F1381">
        <v>25</v>
      </c>
      <c r="G1381" s="11">
        <v>3</v>
      </c>
      <c r="H1381" s="5">
        <v>0.12</v>
      </c>
      <c r="I1381" s="11">
        <v>372000</v>
      </c>
      <c r="J1381" s="20">
        <v>1116000</v>
      </c>
      <c r="K13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2" spans="1:11" hidden="1" x14ac:dyDescent="0.25">
      <c r="A1382" s="11"/>
      <c r="B1382" s="11"/>
      <c r="C1382" s="5"/>
      <c r="G1382" s="11"/>
      <c r="H1382" s="5"/>
      <c r="I1382" s="11"/>
      <c r="J1382" s="20"/>
      <c r="K13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3" spans="1:11" x14ac:dyDescent="0.25">
      <c r="A1383" s="11"/>
      <c r="B1383" s="11" t="s">
        <v>528</v>
      </c>
      <c r="C1383" s="5" t="s">
        <v>145</v>
      </c>
      <c r="D1383">
        <v>500</v>
      </c>
      <c r="E1383">
        <v>8</v>
      </c>
      <c r="F1383">
        <v>15</v>
      </c>
      <c r="G1383" s="11">
        <v>1</v>
      </c>
      <c r="H1383" s="5">
        <v>0.06</v>
      </c>
      <c r="I1383" s="11">
        <v>576000</v>
      </c>
      <c r="J1383" s="20">
        <v>576000</v>
      </c>
      <c r="K13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384" spans="1:11" hidden="1" x14ac:dyDescent="0.25">
      <c r="A1384" s="11"/>
      <c r="B1384" s="11"/>
      <c r="C1384" s="5"/>
      <c r="G1384" s="11"/>
      <c r="H1384" s="5"/>
      <c r="I1384" s="11"/>
      <c r="J1384" s="20"/>
      <c r="K13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5" spans="1:11" hidden="1" x14ac:dyDescent="0.25">
      <c r="A1385" s="11"/>
      <c r="B1385" s="11"/>
      <c r="C1385" s="5"/>
      <c r="G1385" s="11"/>
      <c r="H1385" s="5"/>
      <c r="I1385" s="11"/>
      <c r="J1385" s="20"/>
      <c r="K13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6" spans="1:11" x14ac:dyDescent="0.25">
      <c r="A1386" s="11" t="s">
        <v>217</v>
      </c>
      <c r="B1386" s="11" t="s">
        <v>435</v>
      </c>
      <c r="C1386" s="5" t="s">
        <v>11</v>
      </c>
      <c r="D1386">
        <v>400</v>
      </c>
      <c r="E1386">
        <v>6</v>
      </c>
      <c r="F1386">
        <v>12</v>
      </c>
      <c r="G1386" s="11">
        <v>1</v>
      </c>
      <c r="H1386" s="5">
        <v>2.8799999999999999E-2</v>
      </c>
      <c r="I1386" s="11">
        <v>250560</v>
      </c>
      <c r="J1386" s="20">
        <v>250560</v>
      </c>
      <c r="K13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87" spans="1:11" hidden="1" x14ac:dyDescent="0.25">
      <c r="A1387" s="11"/>
      <c r="B1387" s="11"/>
      <c r="C1387" s="5"/>
      <c r="G1387" s="11"/>
      <c r="H1387" s="5"/>
      <c r="I1387" s="11"/>
      <c r="J1387" s="20"/>
      <c r="K13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8" spans="1:11" hidden="1" x14ac:dyDescent="0.25">
      <c r="A1388" s="11"/>
      <c r="B1388" s="11"/>
      <c r="C1388" s="5"/>
      <c r="G1388" s="11"/>
      <c r="H1388" s="5"/>
      <c r="I1388" s="11"/>
      <c r="J1388" s="20"/>
      <c r="K13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89" spans="1:11" x14ac:dyDescent="0.25">
      <c r="A1389" s="11" t="s">
        <v>218</v>
      </c>
      <c r="B1389" s="11" t="s">
        <v>438</v>
      </c>
      <c r="C1389" s="5" t="s">
        <v>15</v>
      </c>
      <c r="D1389">
        <v>400</v>
      </c>
      <c r="E1389">
        <v>3</v>
      </c>
      <c r="F1389">
        <v>25</v>
      </c>
      <c r="G1389" s="11">
        <v>3</v>
      </c>
      <c r="H1389" s="5">
        <v>0.09</v>
      </c>
      <c r="I1389" s="11">
        <v>279000</v>
      </c>
      <c r="J1389" s="20">
        <v>837000</v>
      </c>
      <c r="K13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0" spans="1:11" hidden="1" x14ac:dyDescent="0.25">
      <c r="A1390" s="11"/>
      <c r="B1390" s="11"/>
      <c r="C1390" s="5"/>
      <c r="G1390" s="11"/>
      <c r="H1390" s="5"/>
      <c r="I1390" s="11"/>
      <c r="J1390" s="20"/>
      <c r="K13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1" spans="1:11" x14ac:dyDescent="0.25">
      <c r="A1391" s="11"/>
      <c r="B1391" s="11" t="s">
        <v>439</v>
      </c>
      <c r="C1391" s="5" t="s">
        <v>16</v>
      </c>
      <c r="D1391">
        <v>400</v>
      </c>
      <c r="E1391">
        <v>3</v>
      </c>
      <c r="F1391">
        <v>30</v>
      </c>
      <c r="G1391" s="11">
        <v>2</v>
      </c>
      <c r="H1391" s="5">
        <v>7.1999999999999995E-2</v>
      </c>
      <c r="I1391" s="11">
        <v>342000</v>
      </c>
      <c r="J1391" s="20">
        <v>684000</v>
      </c>
      <c r="K13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2" spans="1:11" hidden="1" x14ac:dyDescent="0.25">
      <c r="A1392" s="11"/>
      <c r="B1392" s="11"/>
      <c r="C1392" s="5"/>
      <c r="G1392" s="11"/>
      <c r="H1392" s="5"/>
      <c r="I1392" s="11"/>
      <c r="J1392" s="20"/>
      <c r="K13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3" spans="1:11" x14ac:dyDescent="0.25">
      <c r="A1393" s="11"/>
      <c r="B1393" s="11" t="s">
        <v>433</v>
      </c>
      <c r="C1393" s="5" t="s">
        <v>9</v>
      </c>
      <c r="D1393">
        <v>400</v>
      </c>
      <c r="E1393">
        <v>4</v>
      </c>
      <c r="F1393">
        <v>20</v>
      </c>
      <c r="G1393" s="11">
        <v>5</v>
      </c>
      <c r="H1393" s="5">
        <v>0.16</v>
      </c>
      <c r="I1393" s="11">
        <v>294400</v>
      </c>
      <c r="J1393" s="20">
        <v>1472000</v>
      </c>
      <c r="K13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4" spans="1:11" hidden="1" x14ac:dyDescent="0.25">
      <c r="A1394" s="11"/>
      <c r="B1394" s="11"/>
      <c r="C1394" s="5"/>
      <c r="G1394" s="11"/>
      <c r="H1394" s="5"/>
      <c r="I1394" s="11"/>
      <c r="J1394" s="20"/>
      <c r="K13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5" spans="1:11" x14ac:dyDescent="0.25">
      <c r="A1395" s="11"/>
      <c r="B1395" s="11" t="s">
        <v>481</v>
      </c>
      <c r="C1395" s="5" t="s">
        <v>68</v>
      </c>
      <c r="D1395">
        <v>400</v>
      </c>
      <c r="E1395">
        <v>6</v>
      </c>
      <c r="F1395">
        <v>15</v>
      </c>
      <c r="G1395" s="11">
        <v>18</v>
      </c>
      <c r="H1395" s="5">
        <v>0.64800000000000002</v>
      </c>
      <c r="I1395" s="11">
        <v>313200</v>
      </c>
      <c r="J1395" s="20">
        <v>5637600</v>
      </c>
      <c r="K13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396" spans="1:11" hidden="1" x14ac:dyDescent="0.25">
      <c r="A1396" s="11"/>
      <c r="B1396" s="11"/>
      <c r="C1396" s="5"/>
      <c r="G1396" s="11"/>
      <c r="H1396" s="5"/>
      <c r="I1396" s="11"/>
      <c r="J1396" s="20"/>
      <c r="K13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7" spans="1:11" x14ac:dyDescent="0.25">
      <c r="A1397" s="11"/>
      <c r="B1397" s="11" t="s">
        <v>440</v>
      </c>
      <c r="C1397" s="5" t="s">
        <v>17</v>
      </c>
      <c r="D1397">
        <v>500</v>
      </c>
      <c r="E1397">
        <v>4</v>
      </c>
      <c r="F1397">
        <v>25</v>
      </c>
      <c r="G1397" s="11">
        <v>5</v>
      </c>
      <c r="H1397" s="5">
        <v>0.25</v>
      </c>
      <c r="I1397" s="11">
        <v>465000</v>
      </c>
      <c r="J1397" s="20">
        <v>2325000</v>
      </c>
      <c r="K13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8" spans="1:11" hidden="1" x14ac:dyDescent="0.25">
      <c r="A1398" s="11"/>
      <c r="B1398" s="11"/>
      <c r="C1398" s="5"/>
      <c r="G1398" s="11"/>
      <c r="H1398" s="5"/>
      <c r="I1398" s="11"/>
      <c r="J1398" s="20"/>
      <c r="K13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399" spans="1:11" hidden="1" x14ac:dyDescent="0.25">
      <c r="A1399" s="11"/>
      <c r="B1399" s="11"/>
      <c r="C1399" s="5"/>
      <c r="G1399" s="11"/>
      <c r="H1399" s="5"/>
      <c r="I1399" s="11"/>
      <c r="J1399" s="20"/>
      <c r="K13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00" spans="1:11" x14ac:dyDescent="0.25">
      <c r="A1400" s="11" t="s">
        <v>218</v>
      </c>
      <c r="B1400" s="11" t="s">
        <v>502</v>
      </c>
      <c r="C1400" s="5" t="s">
        <v>98</v>
      </c>
      <c r="D1400">
        <v>400</v>
      </c>
      <c r="E1400">
        <v>5</v>
      </c>
      <c r="F1400">
        <v>15</v>
      </c>
      <c r="G1400" s="11">
        <v>5</v>
      </c>
      <c r="H1400" s="5">
        <v>0.15</v>
      </c>
      <c r="I1400" s="11">
        <v>273000</v>
      </c>
      <c r="J1400" s="20">
        <v>1365000</v>
      </c>
      <c r="K14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01" spans="1:11" hidden="1" x14ac:dyDescent="0.25">
      <c r="A1401" s="11"/>
      <c r="B1401" s="11"/>
      <c r="C1401" s="5"/>
      <c r="G1401" s="11"/>
      <c r="H1401" s="5"/>
      <c r="I1401" s="11"/>
      <c r="J1401" s="20"/>
      <c r="K14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02" spans="1:11" x14ac:dyDescent="0.25">
      <c r="A1402" s="11"/>
      <c r="B1402" s="11" t="s">
        <v>471</v>
      </c>
      <c r="C1402" s="5" t="s">
        <v>56</v>
      </c>
      <c r="D1402">
        <v>500</v>
      </c>
      <c r="E1402">
        <v>5</v>
      </c>
      <c r="F1402">
        <v>15</v>
      </c>
      <c r="G1402" s="11">
        <v>16</v>
      </c>
      <c r="H1402" s="5">
        <v>0.6</v>
      </c>
      <c r="I1402" s="11">
        <v>360000</v>
      </c>
      <c r="J1402" s="20">
        <v>5760000</v>
      </c>
      <c r="K14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03" spans="1:11" hidden="1" x14ac:dyDescent="0.25">
      <c r="A1403" s="11"/>
      <c r="B1403" s="11"/>
      <c r="C1403" s="5"/>
      <c r="G1403" s="11"/>
      <c r="H1403" s="5"/>
      <c r="I1403" s="11"/>
      <c r="J1403" s="20"/>
      <c r="K14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04" spans="1:11" hidden="1" x14ac:dyDescent="0.25">
      <c r="A1404" s="11"/>
      <c r="B1404" s="11"/>
      <c r="C1404" s="5"/>
      <c r="G1404" s="11"/>
      <c r="H1404" s="5"/>
      <c r="I1404" s="11"/>
      <c r="J1404" s="20"/>
      <c r="K14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05" spans="1:11" x14ac:dyDescent="0.25">
      <c r="A1405" s="11" t="s">
        <v>219</v>
      </c>
      <c r="B1405" s="11" t="s">
        <v>550</v>
      </c>
      <c r="C1405" s="5" t="s">
        <v>186</v>
      </c>
      <c r="D1405">
        <v>500</v>
      </c>
      <c r="E1405">
        <v>5</v>
      </c>
      <c r="F1405">
        <v>25</v>
      </c>
      <c r="G1405" s="11">
        <v>3</v>
      </c>
      <c r="H1405" s="5">
        <v>0.1875</v>
      </c>
      <c r="I1405" s="11">
        <v>612500</v>
      </c>
      <c r="J1405" s="20">
        <v>1837500</v>
      </c>
      <c r="K14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406" spans="1:11" hidden="1" x14ac:dyDescent="0.25">
      <c r="A1406" s="11"/>
      <c r="B1406" s="11"/>
      <c r="C1406" s="5"/>
      <c r="G1406" s="11"/>
      <c r="H1406" s="5"/>
      <c r="I1406" s="11"/>
      <c r="J1406" s="20"/>
      <c r="K14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07" spans="1:11" hidden="1" x14ac:dyDescent="0.25">
      <c r="A1407" s="11"/>
      <c r="B1407" s="11"/>
      <c r="C1407" s="5"/>
      <c r="G1407" s="11"/>
      <c r="H1407" s="5"/>
      <c r="I1407" s="11"/>
      <c r="J1407" s="20"/>
      <c r="K14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08" spans="1:11" x14ac:dyDescent="0.25">
      <c r="A1408" s="11" t="s">
        <v>219</v>
      </c>
      <c r="B1408" s="11" t="s">
        <v>485</v>
      </c>
      <c r="C1408" s="5" t="s">
        <v>74</v>
      </c>
      <c r="D1408">
        <v>150</v>
      </c>
      <c r="E1408">
        <v>6</v>
      </c>
      <c r="F1408">
        <v>15</v>
      </c>
      <c r="G1408" s="11">
        <v>1</v>
      </c>
      <c r="H1408" s="5">
        <v>1.35E-2</v>
      </c>
      <c r="I1408" s="11">
        <v>272700</v>
      </c>
      <c r="J1408" s="20">
        <v>272700</v>
      </c>
      <c r="K14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09" spans="1:11" hidden="1" x14ac:dyDescent="0.25">
      <c r="A1409" s="11"/>
      <c r="B1409" s="11"/>
      <c r="C1409" s="5"/>
      <c r="G1409" s="11"/>
      <c r="H1409" s="5"/>
      <c r="I1409" s="11"/>
      <c r="J1409" s="20"/>
      <c r="K14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0" spans="1:11" x14ac:dyDescent="0.25">
      <c r="A1410" s="11"/>
      <c r="B1410" s="11" t="s">
        <v>441</v>
      </c>
      <c r="C1410" s="5" t="s">
        <v>19</v>
      </c>
      <c r="D1410">
        <v>230</v>
      </c>
      <c r="E1410">
        <v>6</v>
      </c>
      <c r="F1410">
        <v>15</v>
      </c>
      <c r="G1410" s="11">
        <v>2</v>
      </c>
      <c r="H1410" s="5">
        <v>4.1399999999999999E-2</v>
      </c>
      <c r="I1410" s="11">
        <v>447120</v>
      </c>
      <c r="J1410" s="20">
        <v>894240</v>
      </c>
      <c r="K14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11" spans="1:11" hidden="1" x14ac:dyDescent="0.25">
      <c r="A1411" s="11"/>
      <c r="B1411" s="11"/>
      <c r="C1411" s="5"/>
      <c r="G1411" s="11"/>
      <c r="H1411" s="5"/>
      <c r="I1411" s="11"/>
      <c r="J1411" s="20"/>
      <c r="K14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2" spans="1:11" hidden="1" x14ac:dyDescent="0.25">
      <c r="A1412" s="11"/>
      <c r="B1412" s="11"/>
      <c r="C1412" s="5"/>
      <c r="G1412" s="11"/>
      <c r="H1412" s="5"/>
      <c r="I1412" s="11"/>
      <c r="J1412" s="20"/>
      <c r="K14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3" spans="1:11" x14ac:dyDescent="0.25">
      <c r="A1413" s="11" t="s">
        <v>219</v>
      </c>
      <c r="B1413" s="11" t="s">
        <v>434</v>
      </c>
      <c r="C1413" s="5" t="s">
        <v>10</v>
      </c>
      <c r="D1413">
        <v>400</v>
      </c>
      <c r="E1413">
        <v>4</v>
      </c>
      <c r="F1413">
        <v>30</v>
      </c>
      <c r="G1413" s="11">
        <v>1</v>
      </c>
      <c r="H1413" s="5">
        <v>4.8000000000000001E-2</v>
      </c>
      <c r="I1413" s="11">
        <v>456000</v>
      </c>
      <c r="J1413" s="20">
        <v>456000</v>
      </c>
      <c r="K14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4" spans="1:11" hidden="1" x14ac:dyDescent="0.25">
      <c r="A1414" s="11"/>
      <c r="B1414" s="11"/>
      <c r="C1414" s="5"/>
      <c r="G1414" s="11"/>
      <c r="H1414" s="5"/>
      <c r="I1414" s="11"/>
      <c r="J1414" s="20"/>
      <c r="K14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5" spans="1:11" hidden="1" x14ac:dyDescent="0.25">
      <c r="A1415" s="11"/>
      <c r="B1415" s="11"/>
      <c r="C1415" s="5"/>
      <c r="G1415" s="11"/>
      <c r="H1415" s="5"/>
      <c r="I1415" s="11"/>
      <c r="J1415" s="20"/>
      <c r="K14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6" spans="1:11" x14ac:dyDescent="0.25">
      <c r="A1416" s="11" t="s">
        <v>220</v>
      </c>
      <c r="B1416" s="11" t="s">
        <v>439</v>
      </c>
      <c r="C1416" s="5" t="s">
        <v>16</v>
      </c>
      <c r="D1416">
        <v>400</v>
      </c>
      <c r="E1416">
        <v>3</v>
      </c>
      <c r="F1416">
        <v>30</v>
      </c>
      <c r="G1416" s="11">
        <v>4</v>
      </c>
      <c r="H1416" s="5">
        <v>0.14399999999999999</v>
      </c>
      <c r="I1416" s="11">
        <v>342000</v>
      </c>
      <c r="J1416" s="20">
        <v>1368000</v>
      </c>
      <c r="K14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7" spans="1:11" hidden="1" x14ac:dyDescent="0.25">
      <c r="A1417" s="11"/>
      <c r="B1417" s="11"/>
      <c r="C1417" s="5"/>
      <c r="G1417" s="11"/>
      <c r="H1417" s="5"/>
      <c r="I1417" s="11"/>
      <c r="J1417" s="20"/>
      <c r="K14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8" spans="1:11" x14ac:dyDescent="0.25">
      <c r="A1418" s="11"/>
      <c r="B1418" s="11" t="s">
        <v>434</v>
      </c>
      <c r="C1418" s="5" t="s">
        <v>10</v>
      </c>
      <c r="D1418">
        <v>400</v>
      </c>
      <c r="E1418">
        <v>4</v>
      </c>
      <c r="F1418">
        <v>30</v>
      </c>
      <c r="G1418" s="11">
        <v>2</v>
      </c>
      <c r="H1418" s="5">
        <v>9.6000000000000002E-2</v>
      </c>
      <c r="I1418" s="11">
        <v>456000</v>
      </c>
      <c r="J1418" s="20">
        <v>912000</v>
      </c>
      <c r="K14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19" spans="1:11" hidden="1" x14ac:dyDescent="0.25">
      <c r="A1419" s="11"/>
      <c r="B1419" s="11"/>
      <c r="C1419" s="5"/>
      <c r="G1419" s="11"/>
      <c r="H1419" s="5"/>
      <c r="I1419" s="11"/>
      <c r="J1419" s="20"/>
      <c r="K14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0" spans="1:11" x14ac:dyDescent="0.25">
      <c r="A1420" s="11"/>
      <c r="B1420" s="11" t="s">
        <v>436</v>
      </c>
      <c r="C1420" s="5" t="s">
        <v>12</v>
      </c>
      <c r="D1420">
        <v>400</v>
      </c>
      <c r="E1420">
        <v>6</v>
      </c>
      <c r="F1420">
        <v>17</v>
      </c>
      <c r="G1420" s="11">
        <v>1</v>
      </c>
      <c r="H1420" s="5">
        <v>4.0800000000000003E-2</v>
      </c>
      <c r="I1420" s="11">
        <v>371280</v>
      </c>
      <c r="J1420" s="20">
        <v>371280</v>
      </c>
      <c r="K14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21" spans="1:11" hidden="1" x14ac:dyDescent="0.25">
      <c r="A1421" s="11"/>
      <c r="B1421" s="11"/>
      <c r="C1421" s="5"/>
      <c r="G1421" s="11"/>
      <c r="H1421" s="5"/>
      <c r="I1421" s="11"/>
      <c r="J1421" s="20"/>
      <c r="K14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2" spans="1:11" hidden="1" x14ac:dyDescent="0.25">
      <c r="A1422" s="11"/>
      <c r="B1422" s="11"/>
      <c r="C1422" s="5"/>
      <c r="G1422" s="11"/>
      <c r="H1422" s="5"/>
      <c r="I1422" s="11"/>
      <c r="J1422" s="20"/>
      <c r="K14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3" spans="1:11" x14ac:dyDescent="0.25">
      <c r="A1423" s="11" t="s">
        <v>220</v>
      </c>
      <c r="B1423" s="11" t="s">
        <v>527</v>
      </c>
      <c r="C1423" s="5" t="s">
        <v>143</v>
      </c>
      <c r="D1423">
        <v>400</v>
      </c>
      <c r="E1423">
        <v>4</v>
      </c>
      <c r="F1423">
        <v>20</v>
      </c>
      <c r="G1423" s="11">
        <v>1</v>
      </c>
      <c r="H1423" s="5">
        <v>3.2000000000000001E-2</v>
      </c>
      <c r="I1423" s="11">
        <v>761600</v>
      </c>
      <c r="J1423" s="20">
        <v>761600</v>
      </c>
      <c r="K14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4" spans="1:11" hidden="1" x14ac:dyDescent="0.25">
      <c r="A1424" s="11"/>
      <c r="B1424" s="11"/>
      <c r="C1424" s="5"/>
      <c r="G1424" s="11"/>
      <c r="H1424" s="5"/>
      <c r="I1424" s="11"/>
      <c r="J1424" s="20"/>
      <c r="K14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5" spans="1:11" x14ac:dyDescent="0.25">
      <c r="A1425" s="11"/>
      <c r="B1425" s="11" t="s">
        <v>446</v>
      </c>
      <c r="C1425" s="5" t="s">
        <v>25</v>
      </c>
      <c r="D1425">
        <v>400</v>
      </c>
      <c r="E1425">
        <v>4</v>
      </c>
      <c r="F1425">
        <v>15</v>
      </c>
      <c r="G1425" s="11">
        <v>2</v>
      </c>
      <c r="H1425" s="5">
        <v>4.8000000000000001E-2</v>
      </c>
      <c r="I1425" s="11">
        <v>554400</v>
      </c>
      <c r="J1425" s="20">
        <v>1108800</v>
      </c>
      <c r="K14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6" spans="1:11" hidden="1" x14ac:dyDescent="0.25">
      <c r="A1426" s="11"/>
      <c r="B1426" s="11"/>
      <c r="C1426" s="5"/>
      <c r="G1426" s="11"/>
      <c r="H1426" s="5"/>
      <c r="I1426" s="11"/>
      <c r="J1426" s="20"/>
      <c r="K14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7" spans="1:11" x14ac:dyDescent="0.25">
      <c r="A1427" s="11"/>
      <c r="B1427" s="11" t="s">
        <v>477</v>
      </c>
      <c r="C1427" s="5" t="s">
        <v>63</v>
      </c>
      <c r="D1427">
        <v>100</v>
      </c>
      <c r="E1427">
        <v>6</v>
      </c>
      <c r="F1427">
        <v>15</v>
      </c>
      <c r="G1427" s="11">
        <v>3</v>
      </c>
      <c r="H1427" s="5">
        <v>2.7E-2</v>
      </c>
      <c r="I1427" s="11">
        <v>181800</v>
      </c>
      <c r="J1427" s="20">
        <v>545400</v>
      </c>
      <c r="K14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28" spans="1:11" hidden="1" x14ac:dyDescent="0.25">
      <c r="A1428" s="11"/>
      <c r="B1428" s="11"/>
      <c r="C1428" s="5"/>
      <c r="G1428" s="11"/>
      <c r="H1428" s="5"/>
      <c r="I1428" s="11"/>
      <c r="J1428" s="20"/>
      <c r="K14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29" spans="1:11" x14ac:dyDescent="0.25">
      <c r="A1429" s="11"/>
      <c r="B1429" s="11" t="s">
        <v>541</v>
      </c>
      <c r="C1429" s="5" t="s">
        <v>167</v>
      </c>
      <c r="D1429">
        <v>110</v>
      </c>
      <c r="E1429">
        <v>6</v>
      </c>
      <c r="F1429">
        <v>15</v>
      </c>
      <c r="G1429" s="11">
        <v>2</v>
      </c>
      <c r="H1429" s="5">
        <v>1.9800000000000002E-2</v>
      </c>
      <c r="I1429" s="11">
        <v>199980</v>
      </c>
      <c r="J1429" s="20">
        <v>399960</v>
      </c>
      <c r="K14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30" spans="1:11" hidden="1" x14ac:dyDescent="0.25">
      <c r="A1430" s="11"/>
      <c r="B1430" s="11"/>
      <c r="C1430" s="5"/>
      <c r="G1430" s="11"/>
      <c r="H1430" s="5"/>
      <c r="I1430" s="11"/>
      <c r="J1430" s="20"/>
      <c r="K14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31" spans="1:11" x14ac:dyDescent="0.25">
      <c r="A1431" s="11"/>
      <c r="B1431" s="11" t="s">
        <v>561</v>
      </c>
      <c r="C1431" s="5" t="s">
        <v>221</v>
      </c>
      <c r="D1431">
        <v>500</v>
      </c>
      <c r="E1431">
        <v>4</v>
      </c>
      <c r="F1431">
        <v>20</v>
      </c>
      <c r="G1431" s="11">
        <v>1</v>
      </c>
      <c r="H1431" s="5">
        <v>0.04</v>
      </c>
      <c r="I1431" s="11">
        <v>956000</v>
      </c>
      <c r="J1431" s="20">
        <v>956000</v>
      </c>
      <c r="K14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32" spans="1:11" hidden="1" x14ac:dyDescent="0.25">
      <c r="A1432" s="11"/>
      <c r="B1432" s="11"/>
      <c r="C1432" s="5"/>
      <c r="G1432" s="11"/>
      <c r="H1432" s="5"/>
      <c r="I1432" s="11"/>
      <c r="J1432" s="20"/>
      <c r="K14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33" spans="1:11" hidden="1" x14ac:dyDescent="0.25">
      <c r="A1433" s="11"/>
      <c r="B1433" s="11"/>
      <c r="C1433" s="5"/>
      <c r="G1433" s="11"/>
      <c r="H1433" s="5"/>
      <c r="I1433" s="11"/>
      <c r="J1433" s="20"/>
      <c r="K14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34" spans="1:11" x14ac:dyDescent="0.25">
      <c r="A1434" s="11" t="s">
        <v>220</v>
      </c>
      <c r="B1434" s="11" t="s">
        <v>547</v>
      </c>
      <c r="C1434" s="5" t="s">
        <v>182</v>
      </c>
      <c r="D1434">
        <v>120</v>
      </c>
      <c r="E1434">
        <v>6</v>
      </c>
      <c r="F1434">
        <v>15</v>
      </c>
      <c r="G1434" s="11">
        <v>3</v>
      </c>
      <c r="H1434" s="5">
        <v>3.2399999999999998E-2</v>
      </c>
      <c r="I1434" s="11">
        <v>218160</v>
      </c>
      <c r="J1434" s="20">
        <v>654480</v>
      </c>
      <c r="K14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35" spans="1:11" hidden="1" x14ac:dyDescent="0.25">
      <c r="A1435" s="11"/>
      <c r="B1435" s="11"/>
      <c r="C1435" s="5"/>
      <c r="G1435" s="11"/>
      <c r="H1435" s="5"/>
      <c r="I1435" s="11"/>
      <c r="J1435" s="20"/>
      <c r="K14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36" spans="1:11" x14ac:dyDescent="0.25">
      <c r="A1436" s="11"/>
      <c r="B1436" s="11" t="s">
        <v>485</v>
      </c>
      <c r="C1436" s="5" t="s">
        <v>74</v>
      </c>
      <c r="D1436">
        <v>150</v>
      </c>
      <c r="E1436">
        <v>6</v>
      </c>
      <c r="F1436">
        <v>15</v>
      </c>
      <c r="G1436" s="11">
        <v>2</v>
      </c>
      <c r="H1436" s="5">
        <v>2.7E-2</v>
      </c>
      <c r="I1436" s="11">
        <v>272700</v>
      </c>
      <c r="J1436" s="20">
        <v>545400</v>
      </c>
      <c r="K14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37" spans="1:11" hidden="1" x14ac:dyDescent="0.25">
      <c r="A1437" s="11"/>
      <c r="B1437" s="11"/>
      <c r="C1437" s="5"/>
      <c r="G1437" s="11"/>
      <c r="H1437" s="5"/>
      <c r="I1437" s="11"/>
      <c r="J1437" s="20"/>
      <c r="K14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38" spans="1:11" x14ac:dyDescent="0.25">
      <c r="A1438" s="11"/>
      <c r="B1438" s="11" t="s">
        <v>536</v>
      </c>
      <c r="C1438" s="5" t="s">
        <v>155</v>
      </c>
      <c r="D1438">
        <v>170</v>
      </c>
      <c r="E1438">
        <v>6</v>
      </c>
      <c r="F1438">
        <v>15</v>
      </c>
      <c r="G1438" s="11">
        <v>9</v>
      </c>
      <c r="H1438" s="5">
        <v>0.13769999999999999</v>
      </c>
      <c r="I1438" s="11">
        <v>309060</v>
      </c>
      <c r="J1438" s="20">
        <v>2781540</v>
      </c>
      <c r="K14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39" spans="1:11" hidden="1" x14ac:dyDescent="0.25">
      <c r="A1439" s="11"/>
      <c r="B1439" s="11"/>
      <c r="C1439" s="5"/>
      <c r="G1439" s="11"/>
      <c r="H1439" s="5"/>
      <c r="I1439" s="11"/>
      <c r="J1439" s="20"/>
      <c r="K14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40" spans="1:11" x14ac:dyDescent="0.25">
      <c r="A1440" s="11"/>
      <c r="B1440" s="11" t="s">
        <v>522</v>
      </c>
      <c r="C1440" s="5" t="s">
        <v>131</v>
      </c>
      <c r="D1440">
        <v>200</v>
      </c>
      <c r="E1440">
        <v>6</v>
      </c>
      <c r="F1440">
        <v>15</v>
      </c>
      <c r="G1440" s="11">
        <v>9</v>
      </c>
      <c r="H1440" s="5">
        <v>0.16200000000000001</v>
      </c>
      <c r="I1440" s="11">
        <v>388800</v>
      </c>
      <c r="J1440" s="20">
        <v>3499200</v>
      </c>
      <c r="K14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41" spans="1:11" hidden="1" x14ac:dyDescent="0.25">
      <c r="A1441" s="11"/>
      <c r="B1441" s="11"/>
      <c r="C1441" s="5"/>
      <c r="G1441" s="11"/>
      <c r="H1441" s="5"/>
      <c r="I1441" s="11"/>
      <c r="J1441" s="20"/>
      <c r="K14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42" spans="1:11" hidden="1" x14ac:dyDescent="0.25">
      <c r="A1442" s="11"/>
      <c r="B1442" s="11"/>
      <c r="C1442" s="5"/>
      <c r="G1442" s="11"/>
      <c r="H1442" s="5"/>
      <c r="I1442" s="11"/>
      <c r="J1442" s="20"/>
      <c r="K14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43" spans="1:11" x14ac:dyDescent="0.25">
      <c r="A1443" s="11" t="s">
        <v>220</v>
      </c>
      <c r="B1443" s="11" t="s">
        <v>562</v>
      </c>
      <c r="C1443" s="5" t="s">
        <v>222</v>
      </c>
      <c r="D1443">
        <v>400</v>
      </c>
      <c r="E1443">
        <v>6</v>
      </c>
      <c r="F1443">
        <v>30</v>
      </c>
      <c r="G1443" s="11">
        <v>3</v>
      </c>
      <c r="H1443" s="5">
        <v>0.216</v>
      </c>
      <c r="I1443" s="11">
        <v>1756800</v>
      </c>
      <c r="J1443" s="20">
        <v>5270400</v>
      </c>
      <c r="K14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444" spans="1:11" hidden="1" x14ac:dyDescent="0.25">
      <c r="A1444" s="11"/>
      <c r="B1444" s="11"/>
      <c r="C1444" s="5"/>
      <c r="G1444" s="11"/>
      <c r="H1444" s="5"/>
      <c r="I1444" s="11"/>
      <c r="J1444" s="20"/>
      <c r="K14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45" spans="1:11" hidden="1" x14ac:dyDescent="0.25">
      <c r="A1445" s="11"/>
      <c r="B1445" s="11"/>
      <c r="C1445" s="5"/>
      <c r="G1445" s="11"/>
      <c r="H1445" s="5"/>
      <c r="I1445" s="11"/>
      <c r="J1445" s="20"/>
      <c r="K14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46" spans="1:11" x14ac:dyDescent="0.25">
      <c r="A1446" s="11" t="s">
        <v>220</v>
      </c>
      <c r="B1446" s="11" t="s">
        <v>555</v>
      </c>
      <c r="C1446" s="5" t="s">
        <v>201</v>
      </c>
      <c r="D1446">
        <v>400</v>
      </c>
      <c r="E1446">
        <v>6</v>
      </c>
      <c r="F1446">
        <v>17</v>
      </c>
      <c r="G1446" s="11">
        <v>14</v>
      </c>
      <c r="H1446" s="5">
        <v>0.57120000000000004</v>
      </c>
      <c r="I1446" s="11">
        <v>922080</v>
      </c>
      <c r="J1446" s="20">
        <v>12909120</v>
      </c>
      <c r="K14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47" spans="1:11" hidden="1" x14ac:dyDescent="0.25">
      <c r="A1447" s="11"/>
      <c r="B1447" s="11"/>
      <c r="C1447" s="5"/>
      <c r="G1447" s="11"/>
      <c r="H1447" s="5"/>
      <c r="I1447" s="11"/>
      <c r="J1447" s="20"/>
      <c r="K14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48" spans="1:11" x14ac:dyDescent="0.25">
      <c r="A1448" s="11"/>
      <c r="B1448" s="11" t="s">
        <v>530</v>
      </c>
      <c r="C1448" s="5" t="s">
        <v>148</v>
      </c>
      <c r="D1448">
        <v>500</v>
      </c>
      <c r="E1448">
        <v>6</v>
      </c>
      <c r="F1448">
        <v>17</v>
      </c>
      <c r="G1448" s="11">
        <v>12</v>
      </c>
      <c r="H1448" s="5">
        <v>0.61199999999999999</v>
      </c>
      <c r="I1448" s="11">
        <v>1178100</v>
      </c>
      <c r="J1448" s="20">
        <v>14137200</v>
      </c>
      <c r="K14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49" spans="1:11" hidden="1" x14ac:dyDescent="0.25">
      <c r="A1449" s="11"/>
      <c r="B1449" s="11"/>
      <c r="C1449" s="5"/>
      <c r="G1449" s="11"/>
      <c r="H1449" s="5"/>
      <c r="I1449" s="11"/>
      <c r="J1449" s="20"/>
      <c r="K14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0" spans="1:11" hidden="1" x14ac:dyDescent="0.25">
      <c r="A1450" s="11"/>
      <c r="B1450" s="11"/>
      <c r="C1450" s="5"/>
      <c r="G1450" s="11"/>
      <c r="H1450" s="5"/>
      <c r="I1450" s="11"/>
      <c r="J1450" s="20"/>
      <c r="K14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1" spans="1:11" x14ac:dyDescent="0.25">
      <c r="A1451" s="11" t="s">
        <v>220</v>
      </c>
      <c r="B1451" s="11" t="s">
        <v>543</v>
      </c>
      <c r="C1451" s="5" t="s">
        <v>174</v>
      </c>
      <c r="D1451">
        <v>300</v>
      </c>
      <c r="E1451">
        <v>6</v>
      </c>
      <c r="F1451">
        <v>17</v>
      </c>
      <c r="G1451" s="11">
        <v>1</v>
      </c>
      <c r="H1451" s="5">
        <v>3.0599999999999999E-2</v>
      </c>
      <c r="I1451" s="11">
        <v>706860</v>
      </c>
      <c r="J1451" s="20">
        <v>706860</v>
      </c>
      <c r="K14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52" spans="1:11" hidden="1" x14ac:dyDescent="0.25">
      <c r="A1452" s="11"/>
      <c r="B1452" s="11"/>
      <c r="C1452" s="5"/>
      <c r="G1452" s="11"/>
      <c r="H1452" s="5"/>
      <c r="I1452" s="11"/>
      <c r="J1452" s="20"/>
      <c r="K14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3" spans="1:11" hidden="1" x14ac:dyDescent="0.25">
      <c r="A1453" s="11"/>
      <c r="B1453" s="11"/>
      <c r="C1453" s="5"/>
      <c r="G1453" s="11"/>
      <c r="H1453" s="5"/>
      <c r="I1453" s="11"/>
      <c r="J1453" s="20"/>
      <c r="K14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4" spans="1:11" x14ac:dyDescent="0.25">
      <c r="A1454" s="11" t="s">
        <v>223</v>
      </c>
      <c r="B1454" s="11" t="s">
        <v>553</v>
      </c>
      <c r="C1454" s="5" t="s">
        <v>194</v>
      </c>
      <c r="D1454">
        <v>400</v>
      </c>
      <c r="E1454">
        <v>3</v>
      </c>
      <c r="F1454">
        <v>30</v>
      </c>
      <c r="G1454" s="11">
        <v>3</v>
      </c>
      <c r="H1454" s="5">
        <v>0.108</v>
      </c>
      <c r="I1454" s="11">
        <v>298800</v>
      </c>
      <c r="J1454" s="20">
        <v>896400</v>
      </c>
      <c r="K14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5" spans="1:11" hidden="1" x14ac:dyDescent="0.25">
      <c r="A1455" s="11"/>
      <c r="B1455" s="11"/>
      <c r="C1455" s="5"/>
      <c r="G1455" s="11"/>
      <c r="H1455" s="5"/>
      <c r="I1455" s="11"/>
      <c r="J1455" s="20"/>
      <c r="K14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6" spans="1:11" hidden="1" x14ac:dyDescent="0.25">
      <c r="A1456" s="11"/>
      <c r="B1456" s="11"/>
      <c r="C1456" s="5"/>
      <c r="G1456" s="11"/>
      <c r="H1456" s="5"/>
      <c r="I1456" s="11"/>
      <c r="J1456" s="20"/>
      <c r="K14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7" spans="1:11" x14ac:dyDescent="0.25">
      <c r="A1457" s="11" t="s">
        <v>224</v>
      </c>
      <c r="B1457" s="11" t="s">
        <v>439</v>
      </c>
      <c r="C1457" s="5" t="s">
        <v>16</v>
      </c>
      <c r="D1457">
        <v>400</v>
      </c>
      <c r="E1457">
        <v>3</v>
      </c>
      <c r="F1457">
        <v>30</v>
      </c>
      <c r="G1457" s="11">
        <v>1</v>
      </c>
      <c r="H1457" s="5">
        <v>3.5999999999999997E-2</v>
      </c>
      <c r="I1457" s="11">
        <v>342000</v>
      </c>
      <c r="J1457" s="20">
        <v>342000</v>
      </c>
      <c r="K14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8" spans="1:11" hidden="1" x14ac:dyDescent="0.25">
      <c r="A1458" s="11"/>
      <c r="B1458" s="11"/>
      <c r="C1458" s="5"/>
      <c r="G1458" s="11"/>
      <c r="H1458" s="5"/>
      <c r="I1458" s="11"/>
      <c r="J1458" s="20"/>
      <c r="K14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59" spans="1:11" x14ac:dyDescent="0.25">
      <c r="A1459" s="11"/>
      <c r="B1459" s="11" t="s">
        <v>434</v>
      </c>
      <c r="C1459" s="5" t="s">
        <v>10</v>
      </c>
      <c r="D1459">
        <v>400</v>
      </c>
      <c r="E1459">
        <v>4</v>
      </c>
      <c r="F1459">
        <v>30</v>
      </c>
      <c r="G1459" s="11">
        <v>1</v>
      </c>
      <c r="H1459" s="5">
        <v>4.8000000000000001E-2</v>
      </c>
      <c r="I1459" s="11">
        <v>456000</v>
      </c>
      <c r="J1459" s="20">
        <v>456000</v>
      </c>
      <c r="K14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0" spans="1:11" hidden="1" x14ac:dyDescent="0.25">
      <c r="A1460" s="11"/>
      <c r="B1460" s="11"/>
      <c r="C1460" s="5"/>
      <c r="G1460" s="11"/>
      <c r="H1460" s="5"/>
      <c r="I1460" s="11"/>
      <c r="J1460" s="20"/>
      <c r="K14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1" spans="1:11" x14ac:dyDescent="0.25">
      <c r="A1461" s="11"/>
      <c r="B1461" s="11" t="s">
        <v>502</v>
      </c>
      <c r="C1461" s="5" t="s">
        <v>98</v>
      </c>
      <c r="D1461">
        <v>400</v>
      </c>
      <c r="E1461">
        <v>5</v>
      </c>
      <c r="F1461">
        <v>15</v>
      </c>
      <c r="G1461" s="11">
        <v>1</v>
      </c>
      <c r="H1461" s="5">
        <v>0.03</v>
      </c>
      <c r="I1461" s="11">
        <v>273000</v>
      </c>
      <c r="J1461" s="20">
        <v>273000</v>
      </c>
      <c r="K14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62" spans="1:11" hidden="1" x14ac:dyDescent="0.25">
      <c r="A1462" s="11"/>
      <c r="B1462" s="11"/>
      <c r="C1462" s="5"/>
      <c r="G1462" s="11"/>
      <c r="H1462" s="5"/>
      <c r="I1462" s="11"/>
      <c r="J1462" s="20"/>
      <c r="K14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3" spans="1:11" x14ac:dyDescent="0.25">
      <c r="A1463" s="11"/>
      <c r="B1463" s="11" t="s">
        <v>471</v>
      </c>
      <c r="C1463" s="5" t="s">
        <v>56</v>
      </c>
      <c r="D1463">
        <v>500</v>
      </c>
      <c r="E1463">
        <v>5</v>
      </c>
      <c r="F1463">
        <v>15</v>
      </c>
      <c r="G1463" s="11">
        <v>1</v>
      </c>
      <c r="H1463" s="5">
        <v>3.7499999999999999E-2</v>
      </c>
      <c r="I1463" s="11">
        <v>360000</v>
      </c>
      <c r="J1463" s="20">
        <v>360000</v>
      </c>
      <c r="K14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64" spans="1:11" hidden="1" x14ac:dyDescent="0.25">
      <c r="A1464" s="11"/>
      <c r="B1464" s="11"/>
      <c r="C1464" s="5"/>
      <c r="G1464" s="11"/>
      <c r="H1464" s="5"/>
      <c r="I1464" s="11"/>
      <c r="J1464" s="20"/>
      <c r="K14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5" spans="1:11" hidden="1" x14ac:dyDescent="0.25">
      <c r="A1465" s="11"/>
      <c r="B1465" s="11"/>
      <c r="C1465" s="5"/>
      <c r="G1465" s="11"/>
      <c r="H1465" s="5"/>
      <c r="I1465" s="11"/>
      <c r="J1465" s="20"/>
      <c r="K14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6" spans="1:11" x14ac:dyDescent="0.25">
      <c r="A1466" s="11" t="s">
        <v>224</v>
      </c>
      <c r="B1466" s="11" t="s">
        <v>539</v>
      </c>
      <c r="C1466" s="5" t="s">
        <v>163</v>
      </c>
      <c r="D1466">
        <v>400</v>
      </c>
      <c r="E1466">
        <v>5</v>
      </c>
      <c r="F1466">
        <v>7</v>
      </c>
      <c r="G1466" s="11">
        <v>4</v>
      </c>
      <c r="H1466" s="5">
        <v>5.6000000000000001E-2</v>
      </c>
      <c r="I1466" s="11">
        <v>116200</v>
      </c>
      <c r="J1466" s="20">
        <v>464800</v>
      </c>
      <c r="K14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467" spans="1:11" hidden="1" x14ac:dyDescent="0.25">
      <c r="A1467" s="11"/>
      <c r="B1467" s="11"/>
      <c r="C1467" s="5"/>
      <c r="G1467" s="11"/>
      <c r="H1467" s="5"/>
      <c r="I1467" s="11"/>
      <c r="J1467" s="20"/>
      <c r="K14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8" spans="1:11" x14ac:dyDescent="0.25">
      <c r="A1468" s="11"/>
      <c r="B1468" s="11" t="s">
        <v>439</v>
      </c>
      <c r="C1468" s="5" t="s">
        <v>16</v>
      </c>
      <c r="D1468">
        <v>400</v>
      </c>
      <c r="E1468">
        <v>3</v>
      </c>
      <c r="F1468">
        <v>30</v>
      </c>
      <c r="G1468" s="11">
        <v>5</v>
      </c>
      <c r="H1468" s="5">
        <v>0.18</v>
      </c>
      <c r="I1468" s="11">
        <v>342000</v>
      </c>
      <c r="J1468" s="20">
        <v>1710000</v>
      </c>
      <c r="K14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69" spans="1:11" hidden="1" x14ac:dyDescent="0.25">
      <c r="A1469" s="11"/>
      <c r="B1469" s="11"/>
      <c r="C1469" s="5"/>
      <c r="G1469" s="11"/>
      <c r="H1469" s="5"/>
      <c r="I1469" s="11"/>
      <c r="J1469" s="20"/>
      <c r="K14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0" spans="1:11" x14ac:dyDescent="0.25">
      <c r="A1470" s="11"/>
      <c r="B1470" s="11" t="s">
        <v>443</v>
      </c>
      <c r="C1470" s="5" t="s">
        <v>21</v>
      </c>
      <c r="D1470">
        <v>400</v>
      </c>
      <c r="E1470">
        <v>4</v>
      </c>
      <c r="F1470">
        <v>25</v>
      </c>
      <c r="G1470" s="11">
        <v>5</v>
      </c>
      <c r="H1470" s="5">
        <v>0.2</v>
      </c>
      <c r="I1470" s="11">
        <v>372000</v>
      </c>
      <c r="J1470" s="20">
        <v>1860000</v>
      </c>
      <c r="K14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1" spans="1:11" hidden="1" x14ac:dyDescent="0.25">
      <c r="A1471" s="11"/>
      <c r="B1471" s="11"/>
      <c r="C1471" s="5"/>
      <c r="G1471" s="11"/>
      <c r="H1471" s="5"/>
      <c r="I1471" s="11"/>
      <c r="J1471" s="20"/>
      <c r="K14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2" spans="1:11" hidden="1" x14ac:dyDescent="0.25">
      <c r="A1472" s="11"/>
      <c r="B1472" s="11"/>
      <c r="C1472" s="5"/>
      <c r="G1472" s="11"/>
      <c r="H1472" s="5"/>
      <c r="I1472" s="11"/>
      <c r="J1472" s="20"/>
      <c r="K14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3" spans="1:11" x14ac:dyDescent="0.25">
      <c r="A1473" s="11" t="s">
        <v>224</v>
      </c>
      <c r="B1473" s="11" t="s">
        <v>562</v>
      </c>
      <c r="C1473" s="5" t="s">
        <v>222</v>
      </c>
      <c r="D1473">
        <v>400</v>
      </c>
      <c r="E1473">
        <v>6</v>
      </c>
      <c r="F1473">
        <v>30</v>
      </c>
      <c r="G1473" s="11">
        <v>1</v>
      </c>
      <c r="H1473" s="5">
        <v>7.1999999999999995E-2</v>
      </c>
      <c r="I1473" s="11">
        <v>1756800</v>
      </c>
      <c r="J1473" s="20">
        <v>1756800</v>
      </c>
      <c r="K14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474" spans="1:11" hidden="1" x14ac:dyDescent="0.25">
      <c r="A1474" s="11"/>
      <c r="B1474" s="11"/>
      <c r="C1474" s="5"/>
      <c r="G1474" s="11"/>
      <c r="H1474" s="5"/>
      <c r="I1474" s="11"/>
      <c r="J1474" s="20"/>
      <c r="K14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5" spans="1:11" hidden="1" x14ac:dyDescent="0.25">
      <c r="A1475" s="11"/>
      <c r="B1475" s="11"/>
      <c r="C1475" s="5"/>
      <c r="G1475" s="11"/>
      <c r="H1475" s="5"/>
      <c r="I1475" s="11"/>
      <c r="J1475" s="20"/>
      <c r="K14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6" spans="1:11" x14ac:dyDescent="0.25">
      <c r="A1476" s="11" t="s">
        <v>224</v>
      </c>
      <c r="B1476" s="11" t="s">
        <v>485</v>
      </c>
      <c r="C1476" s="5" t="s">
        <v>74</v>
      </c>
      <c r="D1476">
        <v>150</v>
      </c>
      <c r="E1476">
        <v>6</v>
      </c>
      <c r="F1476">
        <v>15</v>
      </c>
      <c r="G1476" s="11">
        <v>8</v>
      </c>
      <c r="H1476" s="5">
        <v>0.108</v>
      </c>
      <c r="I1476" s="11">
        <v>272700</v>
      </c>
      <c r="J1476" s="20">
        <v>2181600</v>
      </c>
      <c r="K14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77" spans="1:11" hidden="1" x14ac:dyDescent="0.25">
      <c r="A1477" s="11"/>
      <c r="B1477" s="11"/>
      <c r="C1477" s="5"/>
      <c r="G1477" s="11"/>
      <c r="H1477" s="5"/>
      <c r="I1477" s="11"/>
      <c r="J1477" s="20"/>
      <c r="K14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78" spans="1:11" x14ac:dyDescent="0.25">
      <c r="A1478" s="11"/>
      <c r="B1478" s="11" t="s">
        <v>522</v>
      </c>
      <c r="C1478" s="5" t="s">
        <v>131</v>
      </c>
      <c r="D1478">
        <v>200</v>
      </c>
      <c r="E1478">
        <v>6</v>
      </c>
      <c r="F1478">
        <v>15</v>
      </c>
      <c r="G1478" s="11">
        <v>16</v>
      </c>
      <c r="H1478" s="5">
        <v>0.28799999999999998</v>
      </c>
      <c r="I1478" s="11">
        <v>388800</v>
      </c>
      <c r="J1478" s="20">
        <v>6220800</v>
      </c>
      <c r="K14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79" spans="1:11" hidden="1" x14ac:dyDescent="0.25">
      <c r="A1479" s="11"/>
      <c r="B1479" s="11"/>
      <c r="C1479" s="5"/>
      <c r="G1479" s="11"/>
      <c r="H1479" s="5"/>
      <c r="I1479" s="11"/>
      <c r="J1479" s="20"/>
      <c r="K14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0" spans="1:11" hidden="1" x14ac:dyDescent="0.25">
      <c r="A1480" s="11"/>
      <c r="B1480" s="11"/>
      <c r="C1480" s="5"/>
      <c r="G1480" s="11"/>
      <c r="H1480" s="5"/>
      <c r="I1480" s="11"/>
      <c r="J1480" s="20"/>
      <c r="K14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1" spans="1:11" x14ac:dyDescent="0.25">
      <c r="A1481" s="11" t="s">
        <v>224</v>
      </c>
      <c r="B1481" s="11" t="s">
        <v>439</v>
      </c>
      <c r="C1481" s="5" t="s">
        <v>16</v>
      </c>
      <c r="D1481">
        <v>400</v>
      </c>
      <c r="E1481">
        <v>3</v>
      </c>
      <c r="F1481">
        <v>30</v>
      </c>
      <c r="G1481" s="11">
        <v>1</v>
      </c>
      <c r="H1481" s="5">
        <v>3.5999999999999997E-2</v>
      </c>
      <c r="I1481" s="11">
        <v>342000</v>
      </c>
      <c r="J1481" s="20">
        <v>342000</v>
      </c>
      <c r="K14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2" spans="1:11" hidden="1" x14ac:dyDescent="0.25">
      <c r="A1482" s="11"/>
      <c r="B1482" s="11"/>
      <c r="C1482" s="5"/>
      <c r="G1482" s="11"/>
      <c r="H1482" s="5"/>
      <c r="I1482" s="11"/>
      <c r="J1482" s="20"/>
      <c r="K14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3" spans="1:11" hidden="1" x14ac:dyDescent="0.25">
      <c r="A1483" s="11"/>
      <c r="B1483" s="11"/>
      <c r="C1483" s="5"/>
      <c r="G1483" s="11"/>
      <c r="H1483" s="5"/>
      <c r="I1483" s="11"/>
      <c r="J1483" s="20"/>
      <c r="K14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4" spans="1:11" x14ac:dyDescent="0.25">
      <c r="A1484" s="11" t="s">
        <v>224</v>
      </c>
      <c r="B1484" s="11" t="s">
        <v>440</v>
      </c>
      <c r="C1484" s="5" t="s">
        <v>17</v>
      </c>
      <c r="D1484">
        <v>500</v>
      </c>
      <c r="E1484">
        <v>4</v>
      </c>
      <c r="F1484">
        <v>25</v>
      </c>
      <c r="G1484" s="11">
        <v>1</v>
      </c>
      <c r="H1484" s="5">
        <v>0.05</v>
      </c>
      <c r="I1484" s="11">
        <v>465000</v>
      </c>
      <c r="J1484" s="20">
        <v>465000</v>
      </c>
      <c r="K14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5" spans="1:11" hidden="1" x14ac:dyDescent="0.25">
      <c r="A1485" s="11"/>
      <c r="B1485" s="11"/>
      <c r="C1485" s="5"/>
      <c r="G1485" s="11"/>
      <c r="H1485" s="5"/>
      <c r="I1485" s="11"/>
      <c r="J1485" s="20"/>
      <c r="K14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6" spans="1:11" hidden="1" x14ac:dyDescent="0.25">
      <c r="A1486" s="11"/>
      <c r="B1486" s="11"/>
      <c r="C1486" s="5"/>
      <c r="G1486" s="11"/>
      <c r="H1486" s="5"/>
      <c r="I1486" s="11"/>
      <c r="J1486" s="20"/>
      <c r="K14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7" spans="1:11" x14ac:dyDescent="0.25">
      <c r="A1487" s="11" t="s">
        <v>225</v>
      </c>
      <c r="B1487" s="11" t="s">
        <v>439</v>
      </c>
      <c r="C1487" s="5" t="s">
        <v>16</v>
      </c>
      <c r="D1487">
        <v>400</v>
      </c>
      <c r="E1487">
        <v>3</v>
      </c>
      <c r="F1487">
        <v>30</v>
      </c>
      <c r="G1487" s="11">
        <v>3</v>
      </c>
      <c r="H1487" s="5">
        <v>0.108</v>
      </c>
      <c r="I1487" s="11">
        <v>342000</v>
      </c>
      <c r="J1487" s="20">
        <v>1026000</v>
      </c>
      <c r="K14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8" spans="1:11" hidden="1" x14ac:dyDescent="0.25">
      <c r="A1488" s="11"/>
      <c r="B1488" s="11"/>
      <c r="C1488" s="5"/>
      <c r="G1488" s="11"/>
      <c r="H1488" s="5"/>
      <c r="I1488" s="11"/>
      <c r="J1488" s="20"/>
      <c r="K14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89" spans="1:11" x14ac:dyDescent="0.25">
      <c r="A1489" s="11"/>
      <c r="B1489" s="11" t="s">
        <v>433</v>
      </c>
      <c r="C1489" s="5" t="s">
        <v>9</v>
      </c>
      <c r="D1489">
        <v>400</v>
      </c>
      <c r="E1489">
        <v>4</v>
      </c>
      <c r="F1489">
        <v>20</v>
      </c>
      <c r="G1489" s="11">
        <v>1</v>
      </c>
      <c r="H1489" s="5">
        <v>3.2000000000000001E-2</v>
      </c>
      <c r="I1489" s="11">
        <v>294400</v>
      </c>
      <c r="J1489" s="20">
        <v>294400</v>
      </c>
      <c r="K14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0" spans="1:11" hidden="1" x14ac:dyDescent="0.25">
      <c r="A1490" s="11"/>
      <c r="B1490" s="11"/>
      <c r="C1490" s="5"/>
      <c r="G1490" s="11"/>
      <c r="H1490" s="5"/>
      <c r="I1490" s="11"/>
      <c r="J1490" s="20"/>
      <c r="K14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1" spans="1:11" x14ac:dyDescent="0.25">
      <c r="A1491" s="11"/>
      <c r="B1491" s="11" t="s">
        <v>434</v>
      </c>
      <c r="C1491" s="5" t="s">
        <v>10</v>
      </c>
      <c r="D1491">
        <v>400</v>
      </c>
      <c r="E1491">
        <v>4</v>
      </c>
      <c r="F1491">
        <v>30</v>
      </c>
      <c r="G1491" s="11">
        <v>3</v>
      </c>
      <c r="H1491" s="5">
        <v>0.14399999999999999</v>
      </c>
      <c r="I1491" s="11">
        <v>456000</v>
      </c>
      <c r="J1491" s="20">
        <v>1368000</v>
      </c>
      <c r="K14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2" spans="1:11" hidden="1" x14ac:dyDescent="0.25">
      <c r="A1492" s="11"/>
      <c r="B1492" s="11"/>
      <c r="C1492" s="5"/>
      <c r="G1492" s="11"/>
      <c r="H1492" s="5"/>
      <c r="I1492" s="11"/>
      <c r="J1492" s="20"/>
      <c r="K14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3" spans="1:11" x14ac:dyDescent="0.25">
      <c r="A1493" s="11"/>
      <c r="B1493" s="11" t="s">
        <v>481</v>
      </c>
      <c r="C1493" s="5" t="s">
        <v>68</v>
      </c>
      <c r="D1493">
        <v>400</v>
      </c>
      <c r="E1493">
        <v>6</v>
      </c>
      <c r="F1493">
        <v>15</v>
      </c>
      <c r="G1493" s="11">
        <v>1</v>
      </c>
      <c r="H1493" s="5">
        <v>3.5999999999999997E-2</v>
      </c>
      <c r="I1493" s="11">
        <v>313200</v>
      </c>
      <c r="J1493" s="20">
        <v>313200</v>
      </c>
      <c r="K14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94" spans="1:11" hidden="1" x14ac:dyDescent="0.25">
      <c r="A1494" s="11"/>
      <c r="B1494" s="11"/>
      <c r="C1494" s="5"/>
      <c r="G1494" s="11"/>
      <c r="H1494" s="5"/>
      <c r="I1494" s="11"/>
      <c r="J1494" s="20"/>
      <c r="K14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5" spans="1:11" hidden="1" x14ac:dyDescent="0.25">
      <c r="A1495" s="11"/>
      <c r="B1495" s="11"/>
      <c r="C1495" s="5"/>
      <c r="G1495" s="11"/>
      <c r="H1495" s="5"/>
      <c r="I1495" s="11"/>
      <c r="J1495" s="20"/>
      <c r="K14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6" spans="1:11" x14ac:dyDescent="0.25">
      <c r="A1496" s="11" t="s">
        <v>225</v>
      </c>
      <c r="B1496" s="11" t="s">
        <v>456</v>
      </c>
      <c r="C1496" s="5" t="s">
        <v>37</v>
      </c>
      <c r="D1496">
        <v>250</v>
      </c>
      <c r="E1496">
        <v>4</v>
      </c>
      <c r="F1496">
        <v>25</v>
      </c>
      <c r="G1496" s="11">
        <v>7</v>
      </c>
      <c r="H1496" s="5">
        <v>0.17499999999999999</v>
      </c>
      <c r="I1496" s="11">
        <v>597500</v>
      </c>
      <c r="J1496" s="20">
        <v>4182500</v>
      </c>
      <c r="K14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7" spans="1:11" hidden="1" x14ac:dyDescent="0.25">
      <c r="A1497" s="11"/>
      <c r="B1497" s="11"/>
      <c r="C1497" s="5"/>
      <c r="G1497" s="11"/>
      <c r="H1497" s="5"/>
      <c r="I1497" s="11"/>
      <c r="J1497" s="20"/>
      <c r="K14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498" spans="1:11" x14ac:dyDescent="0.25">
      <c r="A1498" s="11"/>
      <c r="B1498" s="11" t="s">
        <v>468</v>
      </c>
      <c r="C1498" s="5" t="s">
        <v>51</v>
      </c>
      <c r="D1498">
        <v>500</v>
      </c>
      <c r="E1498">
        <v>6</v>
      </c>
      <c r="F1498">
        <v>15</v>
      </c>
      <c r="G1498" s="11">
        <v>1</v>
      </c>
      <c r="H1498" s="5">
        <v>4.4999999999999998E-2</v>
      </c>
      <c r="I1498" s="11">
        <v>1017000</v>
      </c>
      <c r="J1498" s="20">
        <v>1017000</v>
      </c>
      <c r="K14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499" spans="1:11" hidden="1" x14ac:dyDescent="0.25">
      <c r="A1499" s="11"/>
      <c r="B1499" s="11"/>
      <c r="C1499" s="5"/>
      <c r="G1499" s="11"/>
      <c r="H1499" s="5"/>
      <c r="I1499" s="11"/>
      <c r="J1499" s="20"/>
      <c r="K14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0" spans="1:11" hidden="1" x14ac:dyDescent="0.25">
      <c r="A1500" s="11"/>
      <c r="B1500" s="11"/>
      <c r="C1500" s="5"/>
      <c r="G1500" s="11"/>
      <c r="H1500" s="5"/>
      <c r="I1500" s="11"/>
      <c r="J1500" s="20"/>
      <c r="K15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1" spans="1:11" x14ac:dyDescent="0.25">
      <c r="A1501" s="11" t="s">
        <v>225</v>
      </c>
      <c r="B1501" s="11" t="s">
        <v>433</v>
      </c>
      <c r="C1501" s="5" t="s">
        <v>9</v>
      </c>
      <c r="D1501">
        <v>400</v>
      </c>
      <c r="E1501">
        <v>4</v>
      </c>
      <c r="F1501">
        <v>20</v>
      </c>
      <c r="G1501" s="11">
        <v>5</v>
      </c>
      <c r="H1501" s="5">
        <v>0.16</v>
      </c>
      <c r="I1501" s="11">
        <v>294400</v>
      </c>
      <c r="J1501" s="20">
        <v>1472000</v>
      </c>
      <c r="K15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2" spans="1:11" hidden="1" x14ac:dyDescent="0.25">
      <c r="A1502" s="11"/>
      <c r="B1502" s="11"/>
      <c r="C1502" s="5"/>
      <c r="G1502" s="11"/>
      <c r="H1502" s="5"/>
      <c r="I1502" s="11"/>
      <c r="J1502" s="20"/>
      <c r="K15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3" spans="1:11" x14ac:dyDescent="0.25">
      <c r="A1503" s="11"/>
      <c r="B1503" s="11" t="s">
        <v>434</v>
      </c>
      <c r="C1503" s="5" t="s">
        <v>10</v>
      </c>
      <c r="D1503">
        <v>400</v>
      </c>
      <c r="E1503">
        <v>4</v>
      </c>
      <c r="F1503">
        <v>30</v>
      </c>
      <c r="G1503" s="11">
        <v>2</v>
      </c>
      <c r="H1503" s="5">
        <v>9.6000000000000002E-2</v>
      </c>
      <c r="I1503" s="11">
        <v>456000</v>
      </c>
      <c r="J1503" s="20">
        <v>912000</v>
      </c>
      <c r="K15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4" spans="1:11" hidden="1" x14ac:dyDescent="0.25">
      <c r="A1504" s="11"/>
      <c r="B1504" s="11"/>
      <c r="C1504" s="5"/>
      <c r="G1504" s="11"/>
      <c r="H1504" s="5"/>
      <c r="I1504" s="11"/>
      <c r="J1504" s="20"/>
      <c r="K15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5" spans="1:11" x14ac:dyDescent="0.25">
      <c r="A1505" s="11"/>
      <c r="B1505" s="11" t="s">
        <v>435</v>
      </c>
      <c r="C1505" s="5" t="s">
        <v>11</v>
      </c>
      <c r="D1505">
        <v>400</v>
      </c>
      <c r="E1505">
        <v>6</v>
      </c>
      <c r="F1505">
        <v>12</v>
      </c>
      <c r="G1505" s="11">
        <v>10</v>
      </c>
      <c r="H1505" s="5">
        <v>0.28799999999999998</v>
      </c>
      <c r="I1505" s="11">
        <v>250560</v>
      </c>
      <c r="J1505" s="20">
        <v>2505600</v>
      </c>
      <c r="K15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06" spans="1:11" hidden="1" x14ac:dyDescent="0.25">
      <c r="A1506" s="11"/>
      <c r="B1506" s="11"/>
      <c r="C1506" s="5"/>
      <c r="G1506" s="11"/>
      <c r="H1506" s="5"/>
      <c r="I1506" s="11"/>
      <c r="J1506" s="20"/>
      <c r="K15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7" spans="1:11" x14ac:dyDescent="0.25">
      <c r="A1507" s="11"/>
      <c r="B1507" s="11" t="s">
        <v>440</v>
      </c>
      <c r="C1507" s="5" t="s">
        <v>17</v>
      </c>
      <c r="D1507">
        <v>500</v>
      </c>
      <c r="E1507">
        <v>4</v>
      </c>
      <c r="F1507">
        <v>25</v>
      </c>
      <c r="G1507" s="11">
        <v>5</v>
      </c>
      <c r="H1507" s="5">
        <v>0.25</v>
      </c>
      <c r="I1507" s="11">
        <v>465000</v>
      </c>
      <c r="J1507" s="20">
        <v>2325000</v>
      </c>
      <c r="K15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8" spans="1:11" hidden="1" x14ac:dyDescent="0.25">
      <c r="A1508" s="11"/>
      <c r="B1508" s="11"/>
      <c r="C1508" s="5"/>
      <c r="G1508" s="11"/>
      <c r="H1508" s="5"/>
      <c r="I1508" s="11"/>
      <c r="J1508" s="20"/>
      <c r="K15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09" spans="1:11" x14ac:dyDescent="0.25">
      <c r="A1509" s="11"/>
      <c r="B1509" s="11" t="s">
        <v>520</v>
      </c>
      <c r="C1509" s="5" t="s">
        <v>126</v>
      </c>
      <c r="D1509">
        <v>500</v>
      </c>
      <c r="E1509">
        <v>6</v>
      </c>
      <c r="F1509">
        <v>12</v>
      </c>
      <c r="G1509" s="11">
        <v>5</v>
      </c>
      <c r="H1509" s="5">
        <v>0.18</v>
      </c>
      <c r="I1509" s="11">
        <v>331200</v>
      </c>
      <c r="J1509" s="20">
        <v>1656000</v>
      </c>
      <c r="K15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10" spans="1:11" hidden="1" x14ac:dyDescent="0.25">
      <c r="A1510" s="11"/>
      <c r="B1510" s="11"/>
      <c r="C1510" s="5"/>
      <c r="G1510" s="11"/>
      <c r="H1510" s="5"/>
      <c r="I1510" s="11"/>
      <c r="J1510" s="20"/>
      <c r="K15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1" spans="1:11" hidden="1" x14ac:dyDescent="0.25">
      <c r="A1511" s="11"/>
      <c r="B1511" s="11"/>
      <c r="C1511" s="5"/>
      <c r="G1511" s="11"/>
      <c r="H1511" s="5"/>
      <c r="I1511" s="11"/>
      <c r="J1511" s="20"/>
      <c r="K15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2" spans="1:11" x14ac:dyDescent="0.25">
      <c r="A1512" s="11" t="s">
        <v>225</v>
      </c>
      <c r="B1512" s="11" t="s">
        <v>506</v>
      </c>
      <c r="C1512" s="5" t="s">
        <v>103</v>
      </c>
      <c r="D1512">
        <v>400</v>
      </c>
      <c r="E1512">
        <v>3</v>
      </c>
      <c r="F1512">
        <v>30</v>
      </c>
      <c r="G1512" s="11">
        <v>1</v>
      </c>
      <c r="H1512" s="5">
        <v>3.5999999999999997E-2</v>
      </c>
      <c r="I1512" s="11">
        <v>878400</v>
      </c>
      <c r="J1512" s="20">
        <v>878400</v>
      </c>
      <c r="K15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3" spans="1:11" hidden="1" x14ac:dyDescent="0.25">
      <c r="A1513" s="11"/>
      <c r="B1513" s="11"/>
      <c r="C1513" s="5"/>
      <c r="G1513" s="11"/>
      <c r="H1513" s="5"/>
      <c r="I1513" s="11"/>
      <c r="J1513" s="20"/>
      <c r="K15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4" spans="1:11" x14ac:dyDescent="0.25">
      <c r="A1514" s="11"/>
      <c r="B1514" s="11" t="s">
        <v>468</v>
      </c>
      <c r="C1514" s="5" t="s">
        <v>51</v>
      </c>
      <c r="D1514">
        <v>500</v>
      </c>
      <c r="E1514">
        <v>6</v>
      </c>
      <c r="F1514">
        <v>15</v>
      </c>
      <c r="G1514" s="11">
        <v>1</v>
      </c>
      <c r="H1514" s="5">
        <v>4.4999999999999998E-2</v>
      </c>
      <c r="I1514" s="11">
        <v>1017000</v>
      </c>
      <c r="J1514" s="20">
        <v>1017000</v>
      </c>
      <c r="K15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15" spans="1:11" hidden="1" x14ac:dyDescent="0.25">
      <c r="A1515" s="11"/>
      <c r="B1515" s="11"/>
      <c r="C1515" s="5"/>
      <c r="G1515" s="11"/>
      <c r="H1515" s="5"/>
      <c r="I1515" s="11"/>
      <c r="J1515" s="20"/>
      <c r="K15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6" spans="1:11" x14ac:dyDescent="0.25">
      <c r="A1516" s="11"/>
      <c r="B1516" s="11" t="s">
        <v>446</v>
      </c>
      <c r="C1516" s="5" t="s">
        <v>25</v>
      </c>
      <c r="D1516">
        <v>400</v>
      </c>
      <c r="E1516">
        <v>4</v>
      </c>
      <c r="F1516">
        <v>15</v>
      </c>
      <c r="G1516" s="11">
        <v>2</v>
      </c>
      <c r="H1516" s="5">
        <v>4.8000000000000001E-2</v>
      </c>
      <c r="I1516" s="11">
        <v>554400</v>
      </c>
      <c r="J1516" s="20">
        <v>1108800</v>
      </c>
      <c r="K15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7" spans="1:11" hidden="1" x14ac:dyDescent="0.25">
      <c r="A1517" s="11"/>
      <c r="B1517" s="11"/>
      <c r="C1517" s="5"/>
      <c r="G1517" s="11"/>
      <c r="H1517" s="5"/>
      <c r="I1517" s="11"/>
      <c r="J1517" s="20"/>
      <c r="K15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8" spans="1:11" x14ac:dyDescent="0.25">
      <c r="A1518" s="11"/>
      <c r="B1518" s="11" t="s">
        <v>455</v>
      </c>
      <c r="C1518" s="5" t="s">
        <v>36</v>
      </c>
      <c r="D1518">
        <v>400</v>
      </c>
      <c r="E1518">
        <v>3</v>
      </c>
      <c r="F1518">
        <v>20</v>
      </c>
      <c r="G1518" s="11">
        <v>1</v>
      </c>
      <c r="H1518" s="5">
        <v>2.4E-2</v>
      </c>
      <c r="I1518" s="11">
        <v>220800</v>
      </c>
      <c r="J1518" s="20">
        <v>220800</v>
      </c>
      <c r="K15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19" spans="1:11" hidden="1" x14ac:dyDescent="0.25">
      <c r="A1519" s="11"/>
      <c r="B1519" s="11"/>
      <c r="C1519" s="5"/>
      <c r="G1519" s="11"/>
      <c r="H1519" s="5"/>
      <c r="I1519" s="11"/>
      <c r="J1519" s="20"/>
      <c r="K15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0" spans="1:11" x14ac:dyDescent="0.25">
      <c r="A1520" s="11"/>
      <c r="B1520" s="11" t="s">
        <v>438</v>
      </c>
      <c r="C1520" s="5" t="s">
        <v>15</v>
      </c>
      <c r="D1520">
        <v>400</v>
      </c>
      <c r="E1520">
        <v>3</v>
      </c>
      <c r="F1520">
        <v>25</v>
      </c>
      <c r="G1520" s="11">
        <v>1</v>
      </c>
      <c r="H1520" s="5">
        <v>0.03</v>
      </c>
      <c r="I1520" s="11">
        <v>279000</v>
      </c>
      <c r="J1520" s="20">
        <v>279000</v>
      </c>
      <c r="K15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1" spans="1:11" hidden="1" x14ac:dyDescent="0.25">
      <c r="A1521" s="11"/>
      <c r="B1521" s="11"/>
      <c r="C1521" s="5"/>
      <c r="G1521" s="11"/>
      <c r="H1521" s="5"/>
      <c r="I1521" s="11"/>
      <c r="J1521" s="20"/>
      <c r="K15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2" spans="1:11" x14ac:dyDescent="0.25">
      <c r="A1522" s="11"/>
      <c r="B1522" s="11" t="s">
        <v>439</v>
      </c>
      <c r="C1522" s="5" t="s">
        <v>16</v>
      </c>
      <c r="D1522">
        <v>400</v>
      </c>
      <c r="E1522">
        <v>3</v>
      </c>
      <c r="F1522">
        <v>30</v>
      </c>
      <c r="G1522" s="11">
        <v>3</v>
      </c>
      <c r="H1522" s="5">
        <v>0.108</v>
      </c>
      <c r="I1522" s="11">
        <v>342000</v>
      </c>
      <c r="J1522" s="20">
        <v>1026000</v>
      </c>
      <c r="K15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3" spans="1:11" hidden="1" x14ac:dyDescent="0.25">
      <c r="A1523" s="11"/>
      <c r="B1523" s="11"/>
      <c r="C1523" s="5"/>
      <c r="G1523" s="11"/>
      <c r="H1523" s="5"/>
      <c r="I1523" s="11"/>
      <c r="J1523" s="20"/>
      <c r="K15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4" spans="1:11" hidden="1" x14ac:dyDescent="0.25">
      <c r="A1524" s="11"/>
      <c r="B1524" s="11"/>
      <c r="C1524" s="5"/>
      <c r="G1524" s="11"/>
      <c r="H1524" s="5"/>
      <c r="I1524" s="11"/>
      <c r="J1524" s="20"/>
      <c r="K15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5" spans="1:11" x14ac:dyDescent="0.25">
      <c r="A1525" s="11" t="s">
        <v>226</v>
      </c>
      <c r="B1525" s="11" t="s">
        <v>493</v>
      </c>
      <c r="C1525" s="5" t="s">
        <v>86</v>
      </c>
      <c r="D1525">
        <v>300</v>
      </c>
      <c r="E1525">
        <v>4</v>
      </c>
      <c r="F1525">
        <v>25</v>
      </c>
      <c r="G1525" s="11">
        <v>3</v>
      </c>
      <c r="H1525" s="5">
        <v>0.09</v>
      </c>
      <c r="I1525" s="11">
        <v>279000</v>
      </c>
      <c r="J1525" s="20">
        <v>837000</v>
      </c>
      <c r="K15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6" spans="1:11" hidden="1" x14ac:dyDescent="0.25">
      <c r="A1526" s="11"/>
      <c r="B1526" s="11"/>
      <c r="C1526" s="5"/>
      <c r="G1526" s="11"/>
      <c r="H1526" s="5"/>
      <c r="I1526" s="11"/>
      <c r="J1526" s="20"/>
      <c r="K15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7" spans="1:11" x14ac:dyDescent="0.25">
      <c r="A1527" s="11"/>
      <c r="B1527" s="11" t="s">
        <v>439</v>
      </c>
      <c r="C1527" s="5" t="s">
        <v>16</v>
      </c>
      <c r="D1527">
        <v>400</v>
      </c>
      <c r="E1527">
        <v>3</v>
      </c>
      <c r="F1527">
        <v>30</v>
      </c>
      <c r="G1527" s="11">
        <v>2</v>
      </c>
      <c r="H1527" s="5">
        <v>7.1999999999999995E-2</v>
      </c>
      <c r="I1527" s="11">
        <v>342000</v>
      </c>
      <c r="J1527" s="20">
        <v>684000</v>
      </c>
      <c r="K15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8" spans="1:11" hidden="1" x14ac:dyDescent="0.25">
      <c r="A1528" s="11"/>
      <c r="B1528" s="11"/>
      <c r="C1528" s="5"/>
      <c r="G1528" s="11"/>
      <c r="H1528" s="5"/>
      <c r="I1528" s="11"/>
      <c r="J1528" s="20"/>
      <c r="K15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29" spans="1:11" x14ac:dyDescent="0.25">
      <c r="A1529" s="11"/>
      <c r="B1529" s="11" t="s">
        <v>433</v>
      </c>
      <c r="C1529" s="5" t="s">
        <v>9</v>
      </c>
      <c r="D1529">
        <v>400</v>
      </c>
      <c r="E1529">
        <v>4</v>
      </c>
      <c r="F1529">
        <v>20</v>
      </c>
      <c r="G1529" s="11">
        <v>3</v>
      </c>
      <c r="H1529" s="5">
        <v>9.6000000000000002E-2</v>
      </c>
      <c r="I1529" s="11">
        <v>294400</v>
      </c>
      <c r="J1529" s="20">
        <v>883200</v>
      </c>
      <c r="K15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0" spans="1:11" hidden="1" x14ac:dyDescent="0.25">
      <c r="A1530" s="11"/>
      <c r="B1530" s="11"/>
      <c r="C1530" s="5"/>
      <c r="G1530" s="11"/>
      <c r="H1530" s="5"/>
      <c r="I1530" s="11"/>
      <c r="J1530" s="20"/>
      <c r="K15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1" spans="1:11" x14ac:dyDescent="0.25">
      <c r="A1531" s="11"/>
      <c r="B1531" s="11" t="s">
        <v>481</v>
      </c>
      <c r="C1531" s="5" t="s">
        <v>68</v>
      </c>
      <c r="D1531">
        <v>400</v>
      </c>
      <c r="E1531">
        <v>6</v>
      </c>
      <c r="F1531">
        <v>15</v>
      </c>
      <c r="G1531" s="11">
        <v>4</v>
      </c>
      <c r="H1531" s="5">
        <v>0.14399999999999999</v>
      </c>
      <c r="I1531" s="11">
        <v>313200</v>
      </c>
      <c r="J1531" s="20">
        <v>1252800</v>
      </c>
      <c r="K15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32" spans="1:11" hidden="1" x14ac:dyDescent="0.25">
      <c r="A1532" s="11"/>
      <c r="B1532" s="11"/>
      <c r="C1532" s="5"/>
      <c r="G1532" s="11"/>
      <c r="H1532" s="5"/>
      <c r="I1532" s="11"/>
      <c r="J1532" s="20"/>
      <c r="K15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3" spans="1:11" hidden="1" x14ac:dyDescent="0.25">
      <c r="A1533" s="11"/>
      <c r="B1533" s="11"/>
      <c r="C1533" s="5"/>
      <c r="G1533" s="11"/>
      <c r="H1533" s="5"/>
      <c r="I1533" s="11"/>
      <c r="J1533" s="20"/>
      <c r="K15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4" spans="1:11" x14ac:dyDescent="0.25">
      <c r="A1534" s="11" t="s">
        <v>227</v>
      </c>
      <c r="B1534" s="11" t="s">
        <v>438</v>
      </c>
      <c r="C1534" s="5" t="s">
        <v>15</v>
      </c>
      <c r="D1534">
        <v>400</v>
      </c>
      <c r="E1534">
        <v>3</v>
      </c>
      <c r="F1534">
        <v>25</v>
      </c>
      <c r="G1534" s="11">
        <v>1</v>
      </c>
      <c r="H1534" s="5">
        <v>0.03</v>
      </c>
      <c r="I1534" s="11">
        <v>279000</v>
      </c>
      <c r="J1534" s="20">
        <v>279000</v>
      </c>
      <c r="K15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5" spans="1:11" hidden="1" x14ac:dyDescent="0.25">
      <c r="A1535" s="11"/>
      <c r="B1535" s="11"/>
      <c r="C1535" s="5"/>
      <c r="G1535" s="11"/>
      <c r="H1535" s="5"/>
      <c r="I1535" s="11"/>
      <c r="J1535" s="20"/>
      <c r="K15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6" spans="1:11" x14ac:dyDescent="0.25">
      <c r="A1536" s="11"/>
      <c r="B1536" s="11" t="s">
        <v>439</v>
      </c>
      <c r="C1536" s="5" t="s">
        <v>16</v>
      </c>
      <c r="D1536">
        <v>400</v>
      </c>
      <c r="E1536">
        <v>3</v>
      </c>
      <c r="F1536">
        <v>30</v>
      </c>
      <c r="G1536" s="11">
        <v>1</v>
      </c>
      <c r="H1536" s="5">
        <v>3.5999999999999997E-2</v>
      </c>
      <c r="I1536" s="11">
        <v>342000</v>
      </c>
      <c r="J1536" s="20">
        <v>342000</v>
      </c>
      <c r="K15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7" spans="1:11" hidden="1" x14ac:dyDescent="0.25">
      <c r="A1537" s="11"/>
      <c r="B1537" s="11"/>
      <c r="C1537" s="5"/>
      <c r="G1537" s="11"/>
      <c r="H1537" s="5"/>
      <c r="I1537" s="11"/>
      <c r="J1537" s="20"/>
      <c r="K15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8" spans="1:11" x14ac:dyDescent="0.25">
      <c r="A1538" s="11"/>
      <c r="B1538" s="11" t="s">
        <v>443</v>
      </c>
      <c r="C1538" s="5" t="s">
        <v>21</v>
      </c>
      <c r="D1538">
        <v>400</v>
      </c>
      <c r="E1538">
        <v>4</v>
      </c>
      <c r="F1538">
        <v>25</v>
      </c>
      <c r="G1538" s="11">
        <v>2</v>
      </c>
      <c r="H1538" s="5">
        <v>0.08</v>
      </c>
      <c r="I1538" s="11">
        <v>372000</v>
      </c>
      <c r="J1538" s="20">
        <v>744000</v>
      </c>
      <c r="K15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39" spans="1:11" hidden="1" x14ac:dyDescent="0.25">
      <c r="A1539" s="11"/>
      <c r="B1539" s="11"/>
      <c r="C1539" s="5"/>
      <c r="G1539" s="11"/>
      <c r="H1539" s="5"/>
      <c r="I1539" s="11"/>
      <c r="J1539" s="20"/>
      <c r="K15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0" spans="1:11" x14ac:dyDescent="0.25">
      <c r="A1540" s="11"/>
      <c r="B1540" s="11" t="s">
        <v>481</v>
      </c>
      <c r="C1540" s="5" t="s">
        <v>68</v>
      </c>
      <c r="D1540">
        <v>400</v>
      </c>
      <c r="E1540">
        <v>6</v>
      </c>
      <c r="F1540">
        <v>15</v>
      </c>
      <c r="G1540" s="11">
        <v>5</v>
      </c>
      <c r="H1540" s="5">
        <v>0.18</v>
      </c>
      <c r="I1540" s="11">
        <v>313200</v>
      </c>
      <c r="J1540" s="20">
        <v>1566000</v>
      </c>
      <c r="K15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41" spans="1:11" hidden="1" x14ac:dyDescent="0.25">
      <c r="A1541" s="11"/>
      <c r="B1541" s="11"/>
      <c r="C1541" s="5"/>
      <c r="G1541" s="11"/>
      <c r="H1541" s="5"/>
      <c r="I1541" s="11"/>
      <c r="J1541" s="20"/>
      <c r="K15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2" spans="1:11" hidden="1" x14ac:dyDescent="0.25">
      <c r="A1542" s="11"/>
      <c r="B1542" s="11"/>
      <c r="C1542" s="5"/>
      <c r="G1542" s="11"/>
      <c r="H1542" s="5"/>
      <c r="I1542" s="11"/>
      <c r="J1542" s="20"/>
      <c r="K15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3" spans="1:11" x14ac:dyDescent="0.25">
      <c r="A1543" s="11" t="s">
        <v>228</v>
      </c>
      <c r="B1543" s="11" t="s">
        <v>438</v>
      </c>
      <c r="C1543" s="5" t="s">
        <v>15</v>
      </c>
      <c r="D1543">
        <v>400</v>
      </c>
      <c r="E1543">
        <v>3</v>
      </c>
      <c r="F1543">
        <v>25</v>
      </c>
      <c r="G1543" s="11">
        <v>2</v>
      </c>
      <c r="H1543" s="5">
        <v>0.06</v>
      </c>
      <c r="I1543" s="11">
        <v>279000</v>
      </c>
      <c r="J1543" s="20">
        <v>558000</v>
      </c>
      <c r="K15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4" spans="1:11" hidden="1" x14ac:dyDescent="0.25">
      <c r="A1544" s="11"/>
      <c r="B1544" s="11"/>
      <c r="C1544" s="5"/>
      <c r="G1544" s="11"/>
      <c r="H1544" s="5"/>
      <c r="I1544" s="11"/>
      <c r="J1544" s="20"/>
      <c r="K15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5" spans="1:11" x14ac:dyDescent="0.25">
      <c r="A1545" s="11"/>
      <c r="B1545" s="11" t="s">
        <v>439</v>
      </c>
      <c r="C1545" s="5" t="s">
        <v>16</v>
      </c>
      <c r="D1545">
        <v>400</v>
      </c>
      <c r="E1545">
        <v>3</v>
      </c>
      <c r="F1545">
        <v>30</v>
      </c>
      <c r="G1545" s="11">
        <v>3</v>
      </c>
      <c r="H1545" s="5">
        <v>0.108</v>
      </c>
      <c r="I1545" s="11">
        <v>342000</v>
      </c>
      <c r="J1545" s="20">
        <v>1026000</v>
      </c>
      <c r="K15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6" spans="1:11" hidden="1" x14ac:dyDescent="0.25">
      <c r="A1546" s="11"/>
      <c r="B1546" s="11"/>
      <c r="C1546" s="5"/>
      <c r="G1546" s="11"/>
      <c r="H1546" s="5"/>
      <c r="I1546" s="11"/>
      <c r="J1546" s="20"/>
      <c r="K15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7" spans="1:11" x14ac:dyDescent="0.25">
      <c r="A1547" s="11"/>
      <c r="B1547" s="11" t="s">
        <v>433</v>
      </c>
      <c r="C1547" s="5" t="s">
        <v>9</v>
      </c>
      <c r="D1547">
        <v>400</v>
      </c>
      <c r="E1547">
        <v>4</v>
      </c>
      <c r="F1547">
        <v>20</v>
      </c>
      <c r="G1547" s="11">
        <v>2</v>
      </c>
      <c r="H1547" s="5">
        <v>6.4000000000000001E-2</v>
      </c>
      <c r="I1547" s="11">
        <v>294400</v>
      </c>
      <c r="J1547" s="20">
        <v>588800</v>
      </c>
      <c r="K15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8" spans="1:11" hidden="1" x14ac:dyDescent="0.25">
      <c r="A1548" s="11"/>
      <c r="B1548" s="11"/>
      <c r="C1548" s="5"/>
      <c r="G1548" s="11"/>
      <c r="H1548" s="5"/>
      <c r="I1548" s="11"/>
      <c r="J1548" s="20"/>
      <c r="K15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49" spans="1:11" x14ac:dyDescent="0.25">
      <c r="A1549" s="11"/>
      <c r="B1549" s="11" t="s">
        <v>435</v>
      </c>
      <c r="C1549" s="5" t="s">
        <v>11</v>
      </c>
      <c r="D1549">
        <v>400</v>
      </c>
      <c r="E1549">
        <v>6</v>
      </c>
      <c r="F1549">
        <v>12</v>
      </c>
      <c r="G1549" s="11">
        <v>1</v>
      </c>
      <c r="H1549" s="5">
        <v>2.8799999999999999E-2</v>
      </c>
      <c r="I1549" s="11">
        <v>250560</v>
      </c>
      <c r="J1549" s="20">
        <v>250560</v>
      </c>
      <c r="K15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50" spans="1:11" hidden="1" x14ac:dyDescent="0.25">
      <c r="A1550" s="11"/>
      <c r="B1550" s="11"/>
      <c r="C1550" s="5"/>
      <c r="G1550" s="11"/>
      <c r="H1550" s="5"/>
      <c r="I1550" s="11"/>
      <c r="J1550" s="20"/>
      <c r="K15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1" spans="1:11" x14ac:dyDescent="0.25">
      <c r="A1551" s="11"/>
      <c r="B1551" s="11" t="s">
        <v>481</v>
      </c>
      <c r="C1551" s="5" t="s">
        <v>68</v>
      </c>
      <c r="D1551">
        <v>400</v>
      </c>
      <c r="E1551">
        <v>6</v>
      </c>
      <c r="F1551">
        <v>15</v>
      </c>
      <c r="G1551" s="11">
        <v>6</v>
      </c>
      <c r="H1551" s="5">
        <v>0.216</v>
      </c>
      <c r="I1551" s="11">
        <v>313200</v>
      </c>
      <c r="J1551" s="20">
        <v>1879200</v>
      </c>
      <c r="K15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52" spans="1:11" hidden="1" x14ac:dyDescent="0.25">
      <c r="A1552" s="11"/>
      <c r="B1552" s="11"/>
      <c r="C1552" s="5"/>
      <c r="G1552" s="11"/>
      <c r="H1552" s="5"/>
      <c r="I1552" s="11"/>
      <c r="J1552" s="20"/>
      <c r="K15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3" spans="1:11" x14ac:dyDescent="0.25">
      <c r="A1553" s="11"/>
      <c r="B1553" s="11" t="s">
        <v>440</v>
      </c>
      <c r="C1553" s="5" t="s">
        <v>17</v>
      </c>
      <c r="D1553">
        <v>500</v>
      </c>
      <c r="E1553">
        <v>4</v>
      </c>
      <c r="F1553">
        <v>25</v>
      </c>
      <c r="G1553" s="11">
        <v>1</v>
      </c>
      <c r="H1553" s="5">
        <v>0.05</v>
      </c>
      <c r="I1553" s="11">
        <v>465000</v>
      </c>
      <c r="J1553" s="20">
        <v>465000</v>
      </c>
      <c r="K15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4" spans="1:11" hidden="1" x14ac:dyDescent="0.25">
      <c r="A1554" s="11"/>
      <c r="B1554" s="11"/>
      <c r="C1554" s="5"/>
      <c r="G1554" s="11"/>
      <c r="H1554" s="5"/>
      <c r="I1554" s="11"/>
      <c r="J1554" s="20"/>
      <c r="K15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5" spans="1:11" x14ac:dyDescent="0.25">
      <c r="A1555" s="11"/>
      <c r="B1555" s="11" t="s">
        <v>463</v>
      </c>
      <c r="C1555" s="5" t="s">
        <v>45</v>
      </c>
      <c r="D1555">
        <v>500</v>
      </c>
      <c r="E1555">
        <v>4</v>
      </c>
      <c r="F1555">
        <v>30</v>
      </c>
      <c r="G1555" s="11">
        <v>2</v>
      </c>
      <c r="H1555" s="5">
        <v>0.12</v>
      </c>
      <c r="I1555" s="11">
        <v>570000</v>
      </c>
      <c r="J1555" s="20">
        <v>1140000</v>
      </c>
      <c r="K15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6" spans="1:11" hidden="1" x14ac:dyDescent="0.25">
      <c r="A1556" s="11"/>
      <c r="B1556" s="11"/>
      <c r="C1556" s="5"/>
      <c r="G1556" s="11"/>
      <c r="H1556" s="5"/>
      <c r="I1556" s="11"/>
      <c r="J1556" s="20"/>
      <c r="K15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7" spans="1:11" hidden="1" x14ac:dyDescent="0.25">
      <c r="A1557" s="11"/>
      <c r="B1557" s="11"/>
      <c r="C1557" s="5"/>
      <c r="G1557" s="11"/>
      <c r="H1557" s="5"/>
      <c r="I1557" s="11"/>
      <c r="J1557" s="20"/>
      <c r="K15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8" spans="1:11" x14ac:dyDescent="0.25">
      <c r="A1558" s="11" t="s">
        <v>228</v>
      </c>
      <c r="B1558" s="11" t="s">
        <v>493</v>
      </c>
      <c r="C1558" s="5" t="s">
        <v>86</v>
      </c>
      <c r="D1558">
        <v>300</v>
      </c>
      <c r="E1558">
        <v>4</v>
      </c>
      <c r="F1558">
        <v>25</v>
      </c>
      <c r="G1558" s="11">
        <v>12</v>
      </c>
      <c r="H1558" s="5">
        <v>0.36</v>
      </c>
      <c r="I1558" s="11">
        <v>279000</v>
      </c>
      <c r="J1558" s="20">
        <v>3348000</v>
      </c>
      <c r="K15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59" spans="1:11" hidden="1" x14ac:dyDescent="0.25">
      <c r="A1559" s="11"/>
      <c r="B1559" s="11"/>
      <c r="C1559" s="5"/>
      <c r="G1559" s="11"/>
      <c r="H1559" s="5"/>
      <c r="I1559" s="11"/>
      <c r="J1559" s="20"/>
      <c r="K15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0" spans="1:11" x14ac:dyDescent="0.25">
      <c r="A1560" s="11"/>
      <c r="B1560" s="11" t="s">
        <v>502</v>
      </c>
      <c r="C1560" s="5" t="s">
        <v>98</v>
      </c>
      <c r="D1560">
        <v>400</v>
      </c>
      <c r="E1560">
        <v>5</v>
      </c>
      <c r="F1560">
        <v>15</v>
      </c>
      <c r="G1560" s="11">
        <v>10</v>
      </c>
      <c r="H1560" s="5">
        <v>0.3</v>
      </c>
      <c r="I1560" s="11">
        <v>273000</v>
      </c>
      <c r="J1560" s="20">
        <v>2730000</v>
      </c>
      <c r="K15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61" spans="1:11" hidden="1" x14ac:dyDescent="0.25">
      <c r="A1561" s="11"/>
      <c r="B1561" s="11"/>
      <c r="C1561" s="5"/>
      <c r="G1561" s="11"/>
      <c r="H1561" s="5"/>
      <c r="I1561" s="11"/>
      <c r="J1561" s="20"/>
      <c r="K15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2" spans="1:11" x14ac:dyDescent="0.25">
      <c r="A1562" s="11"/>
      <c r="B1562" s="11" t="s">
        <v>471</v>
      </c>
      <c r="C1562" s="5" t="s">
        <v>56</v>
      </c>
      <c r="D1562">
        <v>500</v>
      </c>
      <c r="E1562">
        <v>5</v>
      </c>
      <c r="F1562">
        <v>15</v>
      </c>
      <c r="G1562" s="11">
        <v>6</v>
      </c>
      <c r="H1562" s="5">
        <v>0.22500000000000001</v>
      </c>
      <c r="I1562" s="11">
        <v>360000</v>
      </c>
      <c r="J1562" s="20">
        <v>2160000</v>
      </c>
      <c r="K15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63" spans="1:11" hidden="1" x14ac:dyDescent="0.25">
      <c r="A1563" s="11"/>
      <c r="B1563" s="11"/>
      <c r="C1563" s="5"/>
      <c r="G1563" s="11"/>
      <c r="H1563" s="5"/>
      <c r="I1563" s="11"/>
      <c r="J1563" s="20"/>
      <c r="K15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4" spans="1:11" hidden="1" x14ac:dyDescent="0.25">
      <c r="A1564" s="11"/>
      <c r="B1564" s="11"/>
      <c r="C1564" s="5"/>
      <c r="G1564" s="11"/>
      <c r="H1564" s="5"/>
      <c r="I1564" s="11"/>
      <c r="J1564" s="20"/>
      <c r="K15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5" spans="1:11" x14ac:dyDescent="0.25">
      <c r="A1565" s="11" t="s">
        <v>229</v>
      </c>
      <c r="B1565" s="11" t="s">
        <v>462</v>
      </c>
      <c r="C1565" s="5" t="s">
        <v>44</v>
      </c>
      <c r="D1565">
        <v>400</v>
      </c>
      <c r="E1565">
        <v>6</v>
      </c>
      <c r="F1565">
        <v>15</v>
      </c>
      <c r="G1565" s="11">
        <v>12</v>
      </c>
      <c r="H1565" s="5">
        <v>0.432</v>
      </c>
      <c r="I1565" s="11">
        <v>253800</v>
      </c>
      <c r="J1565" s="20">
        <v>3045600</v>
      </c>
      <c r="K15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66" spans="1:11" hidden="1" x14ac:dyDescent="0.25">
      <c r="A1566" s="11"/>
      <c r="B1566" s="11"/>
      <c r="C1566" s="5"/>
      <c r="G1566" s="11"/>
      <c r="H1566" s="5"/>
      <c r="I1566" s="11"/>
      <c r="J1566" s="20"/>
      <c r="K15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7" spans="1:11" hidden="1" x14ac:dyDescent="0.25">
      <c r="A1567" s="11"/>
      <c r="B1567" s="11"/>
      <c r="C1567" s="5"/>
      <c r="G1567" s="11"/>
      <c r="H1567" s="5"/>
      <c r="I1567" s="11"/>
      <c r="J1567" s="20"/>
      <c r="K15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8" spans="1:11" x14ac:dyDescent="0.25">
      <c r="A1568" s="11" t="s">
        <v>230</v>
      </c>
      <c r="B1568" s="11" t="s">
        <v>439</v>
      </c>
      <c r="C1568" s="5" t="s">
        <v>16</v>
      </c>
      <c r="D1568">
        <v>400</v>
      </c>
      <c r="E1568">
        <v>3</v>
      </c>
      <c r="F1568">
        <v>30</v>
      </c>
      <c r="G1568" s="11">
        <v>3</v>
      </c>
      <c r="H1568" s="5">
        <v>0.108</v>
      </c>
      <c r="I1568" s="11">
        <v>342000</v>
      </c>
      <c r="J1568" s="20">
        <v>1026000</v>
      </c>
      <c r="K15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69" spans="1:11" hidden="1" x14ac:dyDescent="0.25">
      <c r="A1569" s="11"/>
      <c r="B1569" s="11"/>
      <c r="C1569" s="5"/>
      <c r="G1569" s="11"/>
      <c r="H1569" s="5"/>
      <c r="I1569" s="11"/>
      <c r="J1569" s="20"/>
      <c r="K15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0" spans="1:11" x14ac:dyDescent="0.25">
      <c r="A1570" s="11"/>
      <c r="B1570" s="11" t="s">
        <v>433</v>
      </c>
      <c r="C1570" s="5" t="s">
        <v>9</v>
      </c>
      <c r="D1570">
        <v>400</v>
      </c>
      <c r="E1570">
        <v>4</v>
      </c>
      <c r="F1570">
        <v>20</v>
      </c>
      <c r="G1570" s="11">
        <v>2</v>
      </c>
      <c r="H1570" s="5">
        <v>6.4000000000000001E-2</v>
      </c>
      <c r="I1570" s="11">
        <v>294400</v>
      </c>
      <c r="J1570" s="20">
        <v>588800</v>
      </c>
      <c r="K15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1" spans="1:11" hidden="1" x14ac:dyDescent="0.25">
      <c r="A1571" s="11"/>
      <c r="B1571" s="11"/>
      <c r="C1571" s="5"/>
      <c r="G1571" s="11"/>
      <c r="H1571" s="5"/>
      <c r="I1571" s="11"/>
      <c r="J1571" s="20"/>
      <c r="K15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2" spans="1:11" x14ac:dyDescent="0.25">
      <c r="A1572" s="11"/>
      <c r="B1572" s="11" t="s">
        <v>443</v>
      </c>
      <c r="C1572" s="5" t="s">
        <v>21</v>
      </c>
      <c r="D1572">
        <v>400</v>
      </c>
      <c r="E1572">
        <v>4</v>
      </c>
      <c r="F1572">
        <v>25</v>
      </c>
      <c r="G1572" s="11">
        <v>4</v>
      </c>
      <c r="H1572" s="5">
        <v>0.16</v>
      </c>
      <c r="I1572" s="11">
        <v>372000</v>
      </c>
      <c r="J1572" s="20">
        <v>1488000</v>
      </c>
      <c r="K15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3" spans="1:11" hidden="1" x14ac:dyDescent="0.25">
      <c r="A1573" s="11"/>
      <c r="B1573" s="11"/>
      <c r="C1573" s="5"/>
      <c r="G1573" s="11"/>
      <c r="H1573" s="5"/>
      <c r="I1573" s="11"/>
      <c r="J1573" s="20"/>
      <c r="K15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4" spans="1:11" hidden="1" x14ac:dyDescent="0.25">
      <c r="A1574" s="11"/>
      <c r="B1574" s="11"/>
      <c r="C1574" s="5"/>
      <c r="G1574" s="11"/>
      <c r="H1574" s="5"/>
      <c r="I1574" s="11"/>
      <c r="J1574" s="20"/>
      <c r="K15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5" spans="1:11" x14ac:dyDescent="0.25">
      <c r="A1575" s="11" t="s">
        <v>230</v>
      </c>
      <c r="B1575" s="11" t="s">
        <v>435</v>
      </c>
      <c r="C1575" s="5" t="s">
        <v>11</v>
      </c>
      <c r="D1575">
        <v>400</v>
      </c>
      <c r="E1575">
        <v>6</v>
      </c>
      <c r="F1575">
        <v>12</v>
      </c>
      <c r="G1575" s="11">
        <v>51</v>
      </c>
      <c r="H1575" s="5">
        <v>1.4688000000000001</v>
      </c>
      <c r="I1575" s="11">
        <v>250560</v>
      </c>
      <c r="J1575" s="20">
        <v>12778560</v>
      </c>
      <c r="K15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76" spans="1:11" hidden="1" x14ac:dyDescent="0.25">
      <c r="A1576" s="11"/>
      <c r="B1576" s="11"/>
      <c r="C1576" s="5"/>
      <c r="G1576" s="11"/>
      <c r="H1576" s="5"/>
      <c r="I1576" s="11"/>
      <c r="J1576" s="20"/>
      <c r="K15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7" spans="1:11" hidden="1" x14ac:dyDescent="0.25">
      <c r="A1577" s="11"/>
      <c r="B1577" s="11"/>
      <c r="C1577" s="5"/>
      <c r="G1577" s="11"/>
      <c r="H1577" s="5"/>
      <c r="I1577" s="11"/>
      <c r="J1577" s="20"/>
      <c r="K15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78" spans="1:11" x14ac:dyDescent="0.25">
      <c r="A1578" s="11" t="s">
        <v>230</v>
      </c>
      <c r="B1578" s="11" t="s">
        <v>563</v>
      </c>
      <c r="C1578" s="5" t="s">
        <v>231</v>
      </c>
      <c r="D1578">
        <v>400</v>
      </c>
      <c r="E1578">
        <v>15</v>
      </c>
      <c r="F1578">
        <v>15</v>
      </c>
      <c r="G1578" s="11">
        <v>2</v>
      </c>
      <c r="H1578" s="5">
        <v>0.18</v>
      </c>
      <c r="I1578" s="11">
        <v>2250000</v>
      </c>
      <c r="J1578" s="20">
        <v>4500000</v>
      </c>
      <c r="K15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579" spans="1:11" hidden="1" x14ac:dyDescent="0.25">
      <c r="A1579" s="11"/>
      <c r="B1579" s="11"/>
      <c r="C1579" s="5"/>
      <c r="G1579" s="11"/>
      <c r="H1579" s="5"/>
      <c r="I1579" s="11"/>
      <c r="J1579" s="20"/>
      <c r="K15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0" spans="1:11" x14ac:dyDescent="0.25">
      <c r="A1580" s="11"/>
      <c r="B1580" s="11" t="s">
        <v>438</v>
      </c>
      <c r="C1580" s="5" t="s">
        <v>15</v>
      </c>
      <c r="D1580">
        <v>400</v>
      </c>
      <c r="E1580">
        <v>3</v>
      </c>
      <c r="F1580">
        <v>25</v>
      </c>
      <c r="G1580" s="11">
        <v>1</v>
      </c>
      <c r="H1580" s="5">
        <v>0.03</v>
      </c>
      <c r="I1580" s="11">
        <v>279000</v>
      </c>
      <c r="J1580" s="20">
        <v>279000</v>
      </c>
      <c r="K15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1" spans="1:11" hidden="1" x14ac:dyDescent="0.25">
      <c r="A1581" s="11"/>
      <c r="B1581" s="11"/>
      <c r="C1581" s="5"/>
      <c r="G1581" s="11"/>
      <c r="H1581" s="5"/>
      <c r="I1581" s="11"/>
      <c r="J1581" s="20"/>
      <c r="K15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2" spans="1:11" x14ac:dyDescent="0.25">
      <c r="A1582" s="11"/>
      <c r="B1582" s="11" t="s">
        <v>443</v>
      </c>
      <c r="C1582" s="5" t="s">
        <v>21</v>
      </c>
      <c r="D1582">
        <v>400</v>
      </c>
      <c r="E1582">
        <v>4</v>
      </c>
      <c r="F1582">
        <v>25</v>
      </c>
      <c r="G1582" s="11">
        <v>1</v>
      </c>
      <c r="H1582" s="5">
        <v>0.04</v>
      </c>
      <c r="I1582" s="11">
        <v>372000</v>
      </c>
      <c r="J1582" s="20">
        <v>372000</v>
      </c>
      <c r="K15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3" spans="1:11" hidden="1" x14ac:dyDescent="0.25">
      <c r="A1583" s="11"/>
      <c r="B1583" s="11"/>
      <c r="C1583" s="5"/>
      <c r="G1583" s="11"/>
      <c r="H1583" s="5"/>
      <c r="I1583" s="11"/>
      <c r="J1583" s="20"/>
      <c r="K15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4" spans="1:11" x14ac:dyDescent="0.25">
      <c r="A1584" s="11"/>
      <c r="B1584" s="11" t="s">
        <v>435</v>
      </c>
      <c r="C1584" s="5" t="s">
        <v>11</v>
      </c>
      <c r="D1584">
        <v>400</v>
      </c>
      <c r="E1584">
        <v>6</v>
      </c>
      <c r="F1584">
        <v>12</v>
      </c>
      <c r="G1584" s="11">
        <v>2</v>
      </c>
      <c r="H1584" s="5">
        <v>5.7599999999999998E-2</v>
      </c>
      <c r="I1584" s="11">
        <v>250560</v>
      </c>
      <c r="J1584" s="20">
        <v>501120</v>
      </c>
      <c r="K15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85" spans="1:11" hidden="1" x14ac:dyDescent="0.25">
      <c r="A1585" s="11"/>
      <c r="B1585" s="11"/>
      <c r="C1585" s="5"/>
      <c r="G1585" s="11"/>
      <c r="H1585" s="5"/>
      <c r="I1585" s="11"/>
      <c r="J1585" s="20"/>
      <c r="K15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6" spans="1:11" x14ac:dyDescent="0.25">
      <c r="A1586" s="11"/>
      <c r="B1586" s="11" t="s">
        <v>520</v>
      </c>
      <c r="C1586" s="5" t="s">
        <v>126</v>
      </c>
      <c r="D1586">
        <v>500</v>
      </c>
      <c r="E1586">
        <v>6</v>
      </c>
      <c r="F1586">
        <v>12</v>
      </c>
      <c r="G1586" s="11">
        <v>1</v>
      </c>
      <c r="H1586" s="5">
        <v>3.5999999999999997E-2</v>
      </c>
      <c r="I1586" s="11">
        <v>331200</v>
      </c>
      <c r="J1586" s="20">
        <v>331200</v>
      </c>
      <c r="K15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87" spans="1:11" hidden="1" x14ac:dyDescent="0.25">
      <c r="A1587" s="11"/>
      <c r="B1587" s="11"/>
      <c r="C1587" s="5"/>
      <c r="G1587" s="11"/>
      <c r="H1587" s="5"/>
      <c r="I1587" s="11"/>
      <c r="J1587" s="20"/>
      <c r="K15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8" spans="1:11" hidden="1" x14ac:dyDescent="0.25">
      <c r="A1588" s="11"/>
      <c r="B1588" s="11"/>
      <c r="C1588" s="5"/>
      <c r="G1588" s="11"/>
      <c r="H1588" s="5"/>
      <c r="I1588" s="11"/>
      <c r="J1588" s="20"/>
      <c r="K15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89" spans="1:11" x14ac:dyDescent="0.25">
      <c r="A1589" s="11" t="s">
        <v>230</v>
      </c>
      <c r="B1589" s="11" t="s">
        <v>455</v>
      </c>
      <c r="C1589" s="5" t="s">
        <v>36</v>
      </c>
      <c r="D1589">
        <v>400</v>
      </c>
      <c r="E1589">
        <v>3</v>
      </c>
      <c r="F1589">
        <v>20</v>
      </c>
      <c r="G1589" s="11">
        <v>1</v>
      </c>
      <c r="H1589" s="5">
        <v>2.4E-2</v>
      </c>
      <c r="I1589" s="11">
        <v>220800</v>
      </c>
      <c r="J1589" s="20">
        <v>220800</v>
      </c>
      <c r="K15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0" spans="1:11" hidden="1" x14ac:dyDescent="0.25">
      <c r="A1590" s="11"/>
      <c r="B1590" s="11"/>
      <c r="C1590" s="5"/>
      <c r="G1590" s="11"/>
      <c r="H1590" s="5"/>
      <c r="I1590" s="11"/>
      <c r="J1590" s="20"/>
      <c r="K15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1" spans="1:11" x14ac:dyDescent="0.25">
      <c r="A1591" s="11"/>
      <c r="B1591" s="11" t="s">
        <v>491</v>
      </c>
      <c r="C1591" s="5" t="s">
        <v>83</v>
      </c>
      <c r="D1591">
        <v>450</v>
      </c>
      <c r="E1591">
        <v>6</v>
      </c>
      <c r="F1591">
        <v>15</v>
      </c>
      <c r="G1591" s="11">
        <v>2</v>
      </c>
      <c r="H1591" s="5">
        <v>8.1000000000000003E-2</v>
      </c>
      <c r="I1591" s="11">
        <v>372600</v>
      </c>
      <c r="J1591" s="20">
        <v>745200</v>
      </c>
      <c r="K15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92" spans="1:11" hidden="1" x14ac:dyDescent="0.25">
      <c r="A1592" s="11"/>
      <c r="B1592" s="11"/>
      <c r="C1592" s="5"/>
      <c r="G1592" s="11"/>
      <c r="H1592" s="5"/>
      <c r="I1592" s="11"/>
      <c r="J1592" s="20"/>
      <c r="K15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3" spans="1:11" hidden="1" x14ac:dyDescent="0.25">
      <c r="A1593" s="11"/>
      <c r="B1593" s="11"/>
      <c r="C1593" s="5"/>
      <c r="G1593" s="11"/>
      <c r="H1593" s="5"/>
      <c r="I1593" s="11"/>
      <c r="J1593" s="20"/>
      <c r="K15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4" spans="1:11" x14ac:dyDescent="0.25">
      <c r="A1594" s="11" t="s">
        <v>230</v>
      </c>
      <c r="B1594" s="11" t="s">
        <v>481</v>
      </c>
      <c r="C1594" s="5" t="s">
        <v>68</v>
      </c>
      <c r="D1594">
        <v>400</v>
      </c>
      <c r="E1594">
        <v>6</v>
      </c>
      <c r="F1594">
        <v>15</v>
      </c>
      <c r="G1594" s="11">
        <v>23</v>
      </c>
      <c r="H1594" s="5">
        <v>0.82799999999999996</v>
      </c>
      <c r="I1594" s="11">
        <v>313200</v>
      </c>
      <c r="J1594" s="20">
        <v>7203600</v>
      </c>
      <c r="K15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595" spans="1:11" hidden="1" x14ac:dyDescent="0.25">
      <c r="A1595" s="11"/>
      <c r="B1595" s="11"/>
      <c r="C1595" s="5"/>
      <c r="G1595" s="11"/>
      <c r="H1595" s="5"/>
      <c r="I1595" s="11"/>
      <c r="J1595" s="20"/>
      <c r="K15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6" spans="1:11" hidden="1" x14ac:dyDescent="0.25">
      <c r="A1596" s="11"/>
      <c r="B1596" s="11"/>
      <c r="C1596" s="5"/>
      <c r="G1596" s="11"/>
      <c r="H1596" s="5"/>
      <c r="I1596" s="11"/>
      <c r="J1596" s="20"/>
      <c r="K15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7" spans="1:11" x14ac:dyDescent="0.25">
      <c r="A1597" s="11" t="s">
        <v>230</v>
      </c>
      <c r="B1597" s="11" t="s">
        <v>476</v>
      </c>
      <c r="C1597" s="5" t="s">
        <v>62</v>
      </c>
      <c r="D1597">
        <v>400</v>
      </c>
      <c r="E1597">
        <v>3</v>
      </c>
      <c r="F1597">
        <v>20</v>
      </c>
      <c r="G1597" s="11">
        <v>42</v>
      </c>
      <c r="H1597" s="5">
        <v>1.008</v>
      </c>
      <c r="I1597" s="11">
        <v>208800</v>
      </c>
      <c r="J1597" s="20">
        <v>8769600</v>
      </c>
      <c r="K15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8" spans="1:11" hidden="1" x14ac:dyDescent="0.25">
      <c r="A1598" s="11"/>
      <c r="B1598" s="11"/>
      <c r="C1598" s="5"/>
      <c r="G1598" s="11"/>
      <c r="H1598" s="5"/>
      <c r="I1598" s="11"/>
      <c r="J1598" s="20"/>
      <c r="K15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599" spans="1:11" x14ac:dyDescent="0.25">
      <c r="A1599" s="11"/>
      <c r="B1599" s="11" t="s">
        <v>440</v>
      </c>
      <c r="C1599" s="5" t="s">
        <v>17</v>
      </c>
      <c r="D1599">
        <v>500</v>
      </c>
      <c r="E1599">
        <v>4</v>
      </c>
      <c r="F1599">
        <v>25</v>
      </c>
      <c r="G1599" s="11">
        <v>20</v>
      </c>
      <c r="H1599" s="5">
        <v>1</v>
      </c>
      <c r="I1599" s="11">
        <v>465000</v>
      </c>
      <c r="J1599" s="20">
        <v>9300000</v>
      </c>
      <c r="K15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0" spans="1:11" hidden="1" x14ac:dyDescent="0.25">
      <c r="A1600" s="11"/>
      <c r="B1600" s="11"/>
      <c r="C1600" s="5"/>
      <c r="G1600" s="11"/>
      <c r="H1600" s="5"/>
      <c r="I1600" s="11"/>
      <c r="J1600" s="20"/>
      <c r="K16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1" spans="1:11" hidden="1" x14ac:dyDescent="0.25">
      <c r="A1601" s="11"/>
      <c r="B1601" s="11"/>
      <c r="C1601" s="5"/>
      <c r="G1601" s="11"/>
      <c r="H1601" s="5"/>
      <c r="I1601" s="11"/>
      <c r="J1601" s="20"/>
      <c r="K16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2" spans="1:11" x14ac:dyDescent="0.25">
      <c r="A1602" s="11" t="s">
        <v>230</v>
      </c>
      <c r="B1602" s="11" t="s">
        <v>481</v>
      </c>
      <c r="C1602" s="5" t="s">
        <v>68</v>
      </c>
      <c r="D1602">
        <v>400</v>
      </c>
      <c r="E1602">
        <v>6</v>
      </c>
      <c r="F1602">
        <v>15</v>
      </c>
      <c r="G1602" s="11">
        <v>1</v>
      </c>
      <c r="H1602" s="5">
        <v>3.5999999999999997E-2</v>
      </c>
      <c r="I1602" s="11">
        <v>313200</v>
      </c>
      <c r="J1602" s="20">
        <v>313200</v>
      </c>
      <c r="K16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03" spans="1:11" hidden="1" x14ac:dyDescent="0.25">
      <c r="A1603" s="11"/>
      <c r="B1603" s="11"/>
      <c r="C1603" s="5"/>
      <c r="G1603" s="11"/>
      <c r="H1603" s="5"/>
      <c r="I1603" s="11"/>
      <c r="J1603" s="20"/>
      <c r="K16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4" spans="1:11" hidden="1" x14ac:dyDescent="0.25">
      <c r="A1604" s="11"/>
      <c r="B1604" s="11"/>
      <c r="C1604" s="5"/>
      <c r="G1604" s="11"/>
      <c r="H1604" s="5"/>
      <c r="I1604" s="11"/>
      <c r="J1604" s="20"/>
      <c r="K16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5" spans="1:11" x14ac:dyDescent="0.25">
      <c r="A1605" s="11" t="s">
        <v>230</v>
      </c>
      <c r="B1605" s="11" t="s">
        <v>493</v>
      </c>
      <c r="C1605" s="5" t="s">
        <v>86</v>
      </c>
      <c r="D1605">
        <v>300</v>
      </c>
      <c r="E1605">
        <v>4</v>
      </c>
      <c r="F1605">
        <v>25</v>
      </c>
      <c r="G1605" s="11">
        <v>5</v>
      </c>
      <c r="H1605" s="5">
        <v>0.15</v>
      </c>
      <c r="I1605" s="11">
        <v>279000</v>
      </c>
      <c r="J1605" s="20">
        <v>1395000</v>
      </c>
      <c r="K16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6" spans="1:11" hidden="1" x14ac:dyDescent="0.25">
      <c r="A1606" s="11"/>
      <c r="B1606" s="11"/>
      <c r="C1606" s="5"/>
      <c r="G1606" s="11"/>
      <c r="H1606" s="5"/>
      <c r="I1606" s="11"/>
      <c r="J1606" s="20"/>
      <c r="K16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7" spans="1:11" x14ac:dyDescent="0.25">
      <c r="A1607" s="11"/>
      <c r="B1607" s="11" t="s">
        <v>520</v>
      </c>
      <c r="C1607" s="5" t="s">
        <v>126</v>
      </c>
      <c r="D1607">
        <v>500</v>
      </c>
      <c r="E1607">
        <v>6</v>
      </c>
      <c r="F1607">
        <v>12</v>
      </c>
      <c r="G1607" s="11">
        <v>5</v>
      </c>
      <c r="H1607" s="5">
        <v>0.18</v>
      </c>
      <c r="I1607" s="11">
        <v>331200</v>
      </c>
      <c r="J1607" s="20">
        <v>1656000</v>
      </c>
      <c r="K16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08" spans="1:11" hidden="1" x14ac:dyDescent="0.25">
      <c r="A1608" s="11"/>
      <c r="B1608" s="11"/>
      <c r="C1608" s="5"/>
      <c r="G1608" s="11"/>
      <c r="H1608" s="5"/>
      <c r="I1608" s="11"/>
      <c r="J1608" s="20"/>
      <c r="K16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09" spans="1:11" hidden="1" x14ac:dyDescent="0.25">
      <c r="A1609" s="11"/>
      <c r="B1609" s="11"/>
      <c r="C1609" s="5"/>
      <c r="G1609" s="11"/>
      <c r="H1609" s="5"/>
      <c r="I1609" s="11"/>
      <c r="J1609" s="20"/>
      <c r="K16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0" spans="1:11" x14ac:dyDescent="0.25">
      <c r="A1610" s="11" t="s">
        <v>230</v>
      </c>
      <c r="B1610" s="11" t="s">
        <v>491</v>
      </c>
      <c r="C1610" s="5" t="s">
        <v>83</v>
      </c>
      <c r="D1610">
        <v>450</v>
      </c>
      <c r="E1610">
        <v>6</v>
      </c>
      <c r="F1610">
        <v>15</v>
      </c>
      <c r="G1610" s="11">
        <v>21</v>
      </c>
      <c r="H1610" s="5">
        <v>0.85050000000000003</v>
      </c>
      <c r="I1610" s="11">
        <v>372600</v>
      </c>
      <c r="J1610" s="20">
        <v>7824600</v>
      </c>
      <c r="K16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11" spans="1:11" hidden="1" x14ac:dyDescent="0.25">
      <c r="A1611" s="11"/>
      <c r="B1611" s="11"/>
      <c r="C1611" s="5"/>
      <c r="G1611" s="11"/>
      <c r="H1611" s="5"/>
      <c r="I1611" s="11"/>
      <c r="J1611" s="20"/>
      <c r="K16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2" spans="1:11" hidden="1" x14ac:dyDescent="0.25">
      <c r="A1612" s="11"/>
      <c r="B1612" s="11"/>
      <c r="C1612" s="5"/>
      <c r="G1612" s="11"/>
      <c r="H1612" s="5"/>
      <c r="I1612" s="11"/>
      <c r="J1612" s="20"/>
      <c r="K16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3" spans="1:11" x14ac:dyDescent="0.25">
      <c r="A1613" s="11" t="s">
        <v>232</v>
      </c>
      <c r="B1613" s="11" t="s">
        <v>527</v>
      </c>
      <c r="C1613" s="5" t="s">
        <v>143</v>
      </c>
      <c r="D1613">
        <v>400</v>
      </c>
      <c r="E1613">
        <v>4</v>
      </c>
      <c r="F1613">
        <v>20</v>
      </c>
      <c r="G1613" s="11">
        <v>1</v>
      </c>
      <c r="H1613" s="5">
        <v>3.2000000000000001E-2</v>
      </c>
      <c r="I1613" s="11">
        <v>761600</v>
      </c>
      <c r="J1613" s="20">
        <v>761600</v>
      </c>
      <c r="K16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4" spans="1:11" hidden="1" x14ac:dyDescent="0.25">
      <c r="A1614" s="11"/>
      <c r="B1614" s="11"/>
      <c r="C1614" s="5"/>
      <c r="G1614" s="11"/>
      <c r="H1614" s="5"/>
      <c r="I1614" s="11"/>
      <c r="J1614" s="20"/>
      <c r="K16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5" spans="1:11" x14ac:dyDescent="0.25">
      <c r="A1615" s="11"/>
      <c r="B1615" s="11" t="s">
        <v>535</v>
      </c>
      <c r="C1615" s="5" t="s">
        <v>154</v>
      </c>
      <c r="D1615">
        <v>140</v>
      </c>
      <c r="E1615">
        <v>6</v>
      </c>
      <c r="F1615">
        <v>15</v>
      </c>
      <c r="G1615" s="11">
        <v>5</v>
      </c>
      <c r="H1615" s="5">
        <v>6.3E-2</v>
      </c>
      <c r="I1615" s="11">
        <v>254520</v>
      </c>
      <c r="J1615" s="20">
        <v>1272600</v>
      </c>
      <c r="K16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16" spans="1:11" hidden="1" x14ac:dyDescent="0.25">
      <c r="A1616" s="11"/>
      <c r="B1616" s="11"/>
      <c r="C1616" s="5"/>
      <c r="G1616" s="11"/>
      <c r="H1616" s="5"/>
      <c r="I1616" s="11"/>
      <c r="J1616" s="20"/>
      <c r="K16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7" spans="1:11" x14ac:dyDescent="0.25">
      <c r="A1617" s="11"/>
      <c r="B1617" s="11" t="s">
        <v>564</v>
      </c>
      <c r="C1617" s="5" t="s">
        <v>233</v>
      </c>
      <c r="D1617">
        <v>400</v>
      </c>
      <c r="E1617">
        <v>4</v>
      </c>
      <c r="F1617">
        <v>25</v>
      </c>
      <c r="G1617" s="11">
        <v>2</v>
      </c>
      <c r="H1617" s="5">
        <v>0.08</v>
      </c>
      <c r="I1617" s="11">
        <v>312000</v>
      </c>
      <c r="J1617" s="20">
        <v>624000</v>
      </c>
      <c r="K16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8" spans="1:11" hidden="1" x14ac:dyDescent="0.25">
      <c r="A1618" s="11"/>
      <c r="B1618" s="11"/>
      <c r="C1618" s="5"/>
      <c r="G1618" s="11"/>
      <c r="H1618" s="5"/>
      <c r="I1618" s="11"/>
      <c r="J1618" s="20"/>
      <c r="K16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19" spans="1:11" hidden="1" x14ac:dyDescent="0.25">
      <c r="A1619" s="11"/>
      <c r="B1619" s="11"/>
      <c r="C1619" s="5"/>
      <c r="G1619" s="11"/>
      <c r="H1619" s="5"/>
      <c r="I1619" s="11"/>
      <c r="J1619" s="20"/>
      <c r="K16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0" spans="1:11" x14ac:dyDescent="0.25">
      <c r="A1620" s="11" t="s">
        <v>234</v>
      </c>
      <c r="B1620" s="11" t="s">
        <v>439</v>
      </c>
      <c r="C1620" s="5" t="s">
        <v>16</v>
      </c>
      <c r="D1620">
        <v>400</v>
      </c>
      <c r="E1620">
        <v>3</v>
      </c>
      <c r="F1620">
        <v>30</v>
      </c>
      <c r="G1620" s="11">
        <v>8</v>
      </c>
      <c r="H1620" s="5">
        <v>0.28799999999999998</v>
      </c>
      <c r="I1620" s="11">
        <v>351000</v>
      </c>
      <c r="J1620" s="20">
        <v>2808000</v>
      </c>
      <c r="K16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1" spans="1:11" hidden="1" x14ac:dyDescent="0.25">
      <c r="A1621" s="11"/>
      <c r="B1621" s="11"/>
      <c r="C1621" s="5"/>
      <c r="G1621" s="11"/>
      <c r="H1621" s="5"/>
      <c r="I1621" s="11"/>
      <c r="J1621" s="20"/>
      <c r="K16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2" spans="1:11" hidden="1" x14ac:dyDescent="0.25">
      <c r="A1622" s="11"/>
      <c r="B1622" s="11"/>
      <c r="C1622" s="5"/>
      <c r="G1622" s="11"/>
      <c r="H1622" s="5"/>
      <c r="I1622" s="11"/>
      <c r="J1622" s="20"/>
      <c r="K16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3" spans="1:11" x14ac:dyDescent="0.25">
      <c r="A1623" s="11" t="s">
        <v>234</v>
      </c>
      <c r="B1623" s="11" t="s">
        <v>438</v>
      </c>
      <c r="C1623" s="5" t="s">
        <v>15</v>
      </c>
      <c r="D1623">
        <v>400</v>
      </c>
      <c r="E1623">
        <v>3</v>
      </c>
      <c r="F1623">
        <v>25</v>
      </c>
      <c r="G1623" s="11">
        <v>4</v>
      </c>
      <c r="H1623" s="5">
        <v>0.12</v>
      </c>
      <c r="I1623" s="11">
        <v>279000</v>
      </c>
      <c r="J1623" s="20">
        <v>1116000</v>
      </c>
      <c r="K16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4" spans="1:11" hidden="1" x14ac:dyDescent="0.25">
      <c r="A1624" s="11"/>
      <c r="B1624" s="11"/>
      <c r="C1624" s="5"/>
      <c r="G1624" s="11"/>
      <c r="H1624" s="5"/>
      <c r="I1624" s="11"/>
      <c r="J1624" s="20"/>
      <c r="K16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5" spans="1:11" hidden="1" x14ac:dyDescent="0.25">
      <c r="A1625" s="11"/>
      <c r="B1625" s="11"/>
      <c r="C1625" s="5"/>
      <c r="G1625" s="11"/>
      <c r="H1625" s="5"/>
      <c r="I1625" s="11"/>
      <c r="J1625" s="20"/>
      <c r="K16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6" spans="1:11" x14ac:dyDescent="0.25">
      <c r="A1626" s="11" t="s">
        <v>234</v>
      </c>
      <c r="B1626" s="11" t="s">
        <v>438</v>
      </c>
      <c r="C1626" s="5" t="s">
        <v>15</v>
      </c>
      <c r="D1626">
        <v>400</v>
      </c>
      <c r="E1626">
        <v>3</v>
      </c>
      <c r="F1626">
        <v>25</v>
      </c>
      <c r="G1626" s="11">
        <v>2</v>
      </c>
      <c r="H1626" s="5">
        <v>0.06</v>
      </c>
      <c r="I1626" s="11">
        <v>279000</v>
      </c>
      <c r="J1626" s="20">
        <v>558000</v>
      </c>
      <c r="K16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7" spans="1:11" hidden="1" x14ac:dyDescent="0.25">
      <c r="A1627" s="11"/>
      <c r="B1627" s="11"/>
      <c r="C1627" s="5"/>
      <c r="G1627" s="11"/>
      <c r="H1627" s="5"/>
      <c r="I1627" s="11"/>
      <c r="J1627" s="20"/>
      <c r="K16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8" spans="1:11" x14ac:dyDescent="0.25">
      <c r="A1628" s="11"/>
      <c r="B1628" s="11" t="s">
        <v>439</v>
      </c>
      <c r="C1628" s="5" t="s">
        <v>16</v>
      </c>
      <c r="D1628">
        <v>400</v>
      </c>
      <c r="E1628">
        <v>3</v>
      </c>
      <c r="F1628">
        <v>30</v>
      </c>
      <c r="G1628" s="11">
        <v>5</v>
      </c>
      <c r="H1628" s="5">
        <v>0.18</v>
      </c>
      <c r="I1628" s="11">
        <v>342000</v>
      </c>
      <c r="J1628" s="20">
        <v>1710000</v>
      </c>
      <c r="K16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29" spans="1:11" hidden="1" x14ac:dyDescent="0.25">
      <c r="A1629" s="11"/>
      <c r="B1629" s="11"/>
      <c r="C1629" s="5"/>
      <c r="G1629" s="11"/>
      <c r="H1629" s="5"/>
      <c r="I1629" s="11"/>
      <c r="J1629" s="20"/>
      <c r="K16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30" spans="1:11" x14ac:dyDescent="0.25">
      <c r="A1630" s="11"/>
      <c r="B1630" s="11" t="s">
        <v>435</v>
      </c>
      <c r="C1630" s="5" t="s">
        <v>11</v>
      </c>
      <c r="D1630">
        <v>400</v>
      </c>
      <c r="E1630">
        <v>6</v>
      </c>
      <c r="F1630">
        <v>12</v>
      </c>
      <c r="G1630" s="11">
        <v>1</v>
      </c>
      <c r="H1630" s="5">
        <v>2.8799999999999999E-2</v>
      </c>
      <c r="I1630" s="11">
        <v>250560</v>
      </c>
      <c r="J1630" s="20">
        <v>250560</v>
      </c>
      <c r="K16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31" spans="1:11" hidden="1" x14ac:dyDescent="0.25">
      <c r="A1631" s="11"/>
      <c r="B1631" s="11"/>
      <c r="C1631" s="5"/>
      <c r="G1631" s="11"/>
      <c r="H1631" s="5"/>
      <c r="I1631" s="11"/>
      <c r="J1631" s="20"/>
      <c r="K16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32" spans="1:11" x14ac:dyDescent="0.25">
      <c r="A1632" s="11"/>
      <c r="B1632" s="11" t="s">
        <v>520</v>
      </c>
      <c r="C1632" s="5" t="s">
        <v>126</v>
      </c>
      <c r="D1632">
        <v>500</v>
      </c>
      <c r="E1632">
        <v>6</v>
      </c>
      <c r="F1632">
        <v>12</v>
      </c>
      <c r="G1632" s="11">
        <v>2</v>
      </c>
      <c r="H1632" s="5">
        <v>7.1999999999999995E-2</v>
      </c>
      <c r="I1632" s="11">
        <v>331200</v>
      </c>
      <c r="J1632" s="20">
        <v>662400</v>
      </c>
      <c r="K16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33" spans="1:11" hidden="1" x14ac:dyDescent="0.25">
      <c r="A1633" s="11"/>
      <c r="B1633" s="11"/>
      <c r="C1633" s="5"/>
      <c r="G1633" s="11"/>
      <c r="H1633" s="5"/>
      <c r="I1633" s="11"/>
      <c r="J1633" s="20"/>
      <c r="K16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34" spans="1:11" hidden="1" x14ac:dyDescent="0.25">
      <c r="A1634" s="11"/>
      <c r="B1634" s="11"/>
      <c r="C1634" s="5"/>
      <c r="G1634" s="11"/>
      <c r="H1634" s="5"/>
      <c r="I1634" s="11"/>
      <c r="J1634" s="20"/>
      <c r="K16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35" spans="1:11" x14ac:dyDescent="0.25">
      <c r="A1635" s="11" t="s">
        <v>235</v>
      </c>
      <c r="B1635" s="11" t="s">
        <v>503</v>
      </c>
      <c r="C1635" s="5" t="s">
        <v>99</v>
      </c>
      <c r="D1635">
        <v>300</v>
      </c>
      <c r="E1635">
        <v>6</v>
      </c>
      <c r="F1635">
        <v>15</v>
      </c>
      <c r="G1635" s="11">
        <v>1</v>
      </c>
      <c r="H1635" s="5">
        <v>2.7E-2</v>
      </c>
      <c r="I1635" s="11">
        <v>234900</v>
      </c>
      <c r="J1635" s="20">
        <v>234900</v>
      </c>
      <c r="K16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36" spans="1:11" hidden="1" x14ac:dyDescent="0.25">
      <c r="A1636" s="11"/>
      <c r="B1636" s="11"/>
      <c r="C1636" s="5"/>
      <c r="G1636" s="11"/>
      <c r="H1636" s="5"/>
      <c r="I1636" s="11"/>
      <c r="J1636" s="20"/>
      <c r="K16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37" spans="1:11" x14ac:dyDescent="0.25">
      <c r="A1637" s="11"/>
      <c r="B1637" s="11" t="s">
        <v>481</v>
      </c>
      <c r="C1637" s="5" t="s">
        <v>68</v>
      </c>
      <c r="D1637">
        <v>400</v>
      </c>
      <c r="E1637">
        <v>6</v>
      </c>
      <c r="F1637">
        <v>15</v>
      </c>
      <c r="G1637" s="11">
        <v>1</v>
      </c>
      <c r="H1637" s="5">
        <v>3.5999999999999997E-2</v>
      </c>
      <c r="I1637" s="11">
        <v>313200</v>
      </c>
      <c r="J1637" s="20">
        <v>313200</v>
      </c>
      <c r="K16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38" spans="1:11" hidden="1" x14ac:dyDescent="0.25">
      <c r="A1638" s="11"/>
      <c r="B1638" s="11"/>
      <c r="C1638" s="5"/>
      <c r="G1638" s="11"/>
      <c r="H1638" s="5"/>
      <c r="I1638" s="11"/>
      <c r="J1638" s="20"/>
      <c r="K16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39" spans="1:11" x14ac:dyDescent="0.25">
      <c r="A1639" s="11"/>
      <c r="B1639" s="11" t="s">
        <v>491</v>
      </c>
      <c r="C1639" s="5" t="s">
        <v>83</v>
      </c>
      <c r="D1639">
        <v>450</v>
      </c>
      <c r="E1639">
        <v>6</v>
      </c>
      <c r="F1639">
        <v>15</v>
      </c>
      <c r="G1639" s="11">
        <v>1</v>
      </c>
      <c r="H1639" s="5">
        <v>4.0500000000000001E-2</v>
      </c>
      <c r="I1639" s="11">
        <v>372600</v>
      </c>
      <c r="J1639" s="20">
        <v>372600</v>
      </c>
      <c r="K16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40" spans="1:11" hidden="1" x14ac:dyDescent="0.25">
      <c r="A1640" s="11"/>
      <c r="B1640" s="11"/>
      <c r="C1640" s="5"/>
      <c r="G1640" s="11"/>
      <c r="H1640" s="5"/>
      <c r="I1640" s="11"/>
      <c r="J1640" s="20"/>
      <c r="K16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41" spans="1:11" x14ac:dyDescent="0.25">
      <c r="A1641" s="11"/>
      <c r="B1641" s="11" t="s">
        <v>498</v>
      </c>
      <c r="C1641" s="5" t="s">
        <v>92</v>
      </c>
      <c r="D1641">
        <v>500</v>
      </c>
      <c r="E1641">
        <v>6</v>
      </c>
      <c r="F1641">
        <v>15</v>
      </c>
      <c r="G1641" s="11">
        <v>1</v>
      </c>
      <c r="H1641" s="5">
        <v>4.4999999999999998E-2</v>
      </c>
      <c r="I1641" s="11">
        <v>414000</v>
      </c>
      <c r="J1641" s="20">
        <v>414000</v>
      </c>
      <c r="K16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42" spans="1:11" hidden="1" x14ac:dyDescent="0.25">
      <c r="A1642" s="11"/>
      <c r="B1642" s="11"/>
      <c r="C1642" s="5"/>
      <c r="G1642" s="11"/>
      <c r="H1642" s="5"/>
      <c r="I1642" s="11"/>
      <c r="J1642" s="20"/>
      <c r="K16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43" spans="1:11" hidden="1" x14ac:dyDescent="0.25">
      <c r="A1643" s="11"/>
      <c r="B1643" s="11"/>
      <c r="C1643" s="5"/>
      <c r="G1643" s="11"/>
      <c r="H1643" s="5"/>
      <c r="I1643" s="11"/>
      <c r="J1643" s="20"/>
      <c r="K16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44" spans="1:11" x14ac:dyDescent="0.25">
      <c r="A1644" s="11" t="s">
        <v>235</v>
      </c>
      <c r="B1644" s="11" t="s">
        <v>530</v>
      </c>
      <c r="C1644" s="5" t="s">
        <v>148</v>
      </c>
      <c r="D1644">
        <v>500</v>
      </c>
      <c r="E1644">
        <v>6</v>
      </c>
      <c r="F1644">
        <v>17</v>
      </c>
      <c r="G1644" s="11">
        <v>11</v>
      </c>
      <c r="H1644" s="5">
        <v>0.56100000000000005</v>
      </c>
      <c r="I1644" s="11">
        <v>1193400</v>
      </c>
      <c r="J1644" s="20">
        <v>13127400</v>
      </c>
      <c r="K16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45" spans="1:11" hidden="1" x14ac:dyDescent="0.25">
      <c r="A1645" s="11"/>
      <c r="B1645" s="11"/>
      <c r="C1645" s="5"/>
      <c r="G1645" s="11"/>
      <c r="H1645" s="5"/>
      <c r="I1645" s="11"/>
      <c r="J1645" s="20"/>
      <c r="K16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46" spans="1:11" x14ac:dyDescent="0.25">
      <c r="A1646" s="11"/>
      <c r="B1646" s="11" t="s">
        <v>556</v>
      </c>
      <c r="C1646" s="5" t="s">
        <v>202</v>
      </c>
      <c r="D1646">
        <v>250</v>
      </c>
      <c r="E1646">
        <v>6</v>
      </c>
      <c r="F1646">
        <v>17</v>
      </c>
      <c r="G1646" s="11">
        <v>23</v>
      </c>
      <c r="H1646" s="5">
        <v>0.58650000000000002</v>
      </c>
      <c r="I1646" s="11">
        <v>582675</v>
      </c>
      <c r="J1646" s="20">
        <v>13401525</v>
      </c>
      <c r="K16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47" spans="1:11" hidden="1" x14ac:dyDescent="0.25">
      <c r="A1647" s="11"/>
      <c r="B1647" s="11"/>
      <c r="C1647" s="5"/>
      <c r="G1647" s="11"/>
      <c r="H1647" s="5"/>
      <c r="I1647" s="11"/>
      <c r="J1647" s="20"/>
      <c r="K16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48" spans="1:11" hidden="1" x14ac:dyDescent="0.25">
      <c r="A1648" s="11"/>
      <c r="B1648" s="11"/>
      <c r="C1648" s="5"/>
      <c r="G1648" s="11"/>
      <c r="H1648" s="5"/>
      <c r="I1648" s="11"/>
      <c r="J1648" s="20"/>
      <c r="K16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49" spans="1:11" x14ac:dyDescent="0.25">
      <c r="A1649" s="11" t="s">
        <v>236</v>
      </c>
      <c r="B1649" s="11" t="s">
        <v>438</v>
      </c>
      <c r="C1649" s="5" t="s">
        <v>15</v>
      </c>
      <c r="D1649">
        <v>400</v>
      </c>
      <c r="E1649">
        <v>3</v>
      </c>
      <c r="F1649">
        <v>25</v>
      </c>
      <c r="G1649" s="11">
        <v>2</v>
      </c>
      <c r="H1649" s="5">
        <v>0.06</v>
      </c>
      <c r="I1649" s="11">
        <v>279000</v>
      </c>
      <c r="J1649" s="20">
        <v>558000</v>
      </c>
      <c r="K16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0" spans="1:11" hidden="1" x14ac:dyDescent="0.25">
      <c r="A1650" s="11"/>
      <c r="B1650" s="11"/>
      <c r="C1650" s="5"/>
      <c r="G1650" s="11"/>
      <c r="H1650" s="5"/>
      <c r="I1650" s="11"/>
      <c r="J1650" s="20"/>
      <c r="K16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1" spans="1:11" x14ac:dyDescent="0.25">
      <c r="A1651" s="11"/>
      <c r="B1651" s="11" t="s">
        <v>433</v>
      </c>
      <c r="C1651" s="5" t="s">
        <v>9</v>
      </c>
      <c r="D1651">
        <v>400</v>
      </c>
      <c r="E1651">
        <v>4</v>
      </c>
      <c r="F1651">
        <v>20</v>
      </c>
      <c r="G1651" s="11">
        <v>1</v>
      </c>
      <c r="H1651" s="5">
        <v>3.2000000000000001E-2</v>
      </c>
      <c r="I1651" s="11">
        <v>294400</v>
      </c>
      <c r="J1651" s="20">
        <v>294400</v>
      </c>
      <c r="K16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2" spans="1:11" hidden="1" x14ac:dyDescent="0.25">
      <c r="A1652" s="11"/>
      <c r="B1652" s="11"/>
      <c r="C1652" s="5"/>
      <c r="G1652" s="11"/>
      <c r="H1652" s="5"/>
      <c r="I1652" s="11"/>
      <c r="J1652" s="20"/>
      <c r="K16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3" spans="1:11" x14ac:dyDescent="0.25">
      <c r="A1653" s="11"/>
      <c r="B1653" s="11" t="s">
        <v>443</v>
      </c>
      <c r="C1653" s="5" t="s">
        <v>21</v>
      </c>
      <c r="D1653">
        <v>400</v>
      </c>
      <c r="E1653">
        <v>4</v>
      </c>
      <c r="F1653">
        <v>25</v>
      </c>
      <c r="G1653" s="11">
        <v>2</v>
      </c>
      <c r="H1653" s="5">
        <v>0.08</v>
      </c>
      <c r="I1653" s="11">
        <v>372000</v>
      </c>
      <c r="J1653" s="20">
        <v>744000</v>
      </c>
      <c r="K16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4" spans="1:11" hidden="1" x14ac:dyDescent="0.25">
      <c r="A1654" s="11"/>
      <c r="B1654" s="11"/>
      <c r="C1654" s="5"/>
      <c r="G1654" s="11"/>
      <c r="H1654" s="5"/>
      <c r="I1654" s="11"/>
      <c r="J1654" s="20"/>
      <c r="K16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5" spans="1:11" hidden="1" x14ac:dyDescent="0.25">
      <c r="A1655" s="11"/>
      <c r="B1655" s="11"/>
      <c r="C1655" s="5"/>
      <c r="G1655" s="11"/>
      <c r="H1655" s="5"/>
      <c r="I1655" s="11"/>
      <c r="J1655" s="20"/>
      <c r="K16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6" spans="1:11" x14ac:dyDescent="0.25">
      <c r="A1656" s="11" t="s">
        <v>236</v>
      </c>
      <c r="B1656" s="11" t="s">
        <v>439</v>
      </c>
      <c r="C1656" s="5" t="s">
        <v>16</v>
      </c>
      <c r="D1656">
        <v>400</v>
      </c>
      <c r="E1656">
        <v>3</v>
      </c>
      <c r="F1656">
        <v>30</v>
      </c>
      <c r="G1656" s="11">
        <v>1</v>
      </c>
      <c r="H1656" s="5">
        <v>3.5999999999999997E-2</v>
      </c>
      <c r="I1656" s="11">
        <v>342000</v>
      </c>
      <c r="J1656" s="20">
        <v>342000</v>
      </c>
      <c r="K16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7" spans="1:11" hidden="1" x14ac:dyDescent="0.25">
      <c r="A1657" s="11"/>
      <c r="B1657" s="11"/>
      <c r="C1657" s="5"/>
      <c r="G1657" s="11"/>
      <c r="H1657" s="5"/>
      <c r="I1657" s="11"/>
      <c r="J1657" s="20"/>
      <c r="K16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8" spans="1:11" x14ac:dyDescent="0.25">
      <c r="A1658" s="11"/>
      <c r="B1658" s="11" t="s">
        <v>434</v>
      </c>
      <c r="C1658" s="5" t="s">
        <v>10</v>
      </c>
      <c r="D1658">
        <v>400</v>
      </c>
      <c r="E1658">
        <v>4</v>
      </c>
      <c r="F1658">
        <v>30</v>
      </c>
      <c r="G1658" s="11">
        <v>1</v>
      </c>
      <c r="H1658" s="5">
        <v>4.8000000000000001E-2</v>
      </c>
      <c r="I1658" s="11">
        <v>456000</v>
      </c>
      <c r="J1658" s="20">
        <v>456000</v>
      </c>
      <c r="K16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59" spans="1:11" hidden="1" x14ac:dyDescent="0.25">
      <c r="A1659" s="11"/>
      <c r="B1659" s="11"/>
      <c r="C1659" s="5"/>
      <c r="G1659" s="11"/>
      <c r="H1659" s="5"/>
      <c r="I1659" s="11"/>
      <c r="J1659" s="20"/>
      <c r="K16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60" spans="1:11" x14ac:dyDescent="0.25">
      <c r="A1660" s="11"/>
      <c r="B1660" s="11" t="s">
        <v>481</v>
      </c>
      <c r="C1660" s="5" t="s">
        <v>68</v>
      </c>
      <c r="D1660">
        <v>400</v>
      </c>
      <c r="E1660">
        <v>6</v>
      </c>
      <c r="F1660">
        <v>15</v>
      </c>
      <c r="G1660" s="11">
        <v>1</v>
      </c>
      <c r="H1660" s="5">
        <v>3.5999999999999997E-2</v>
      </c>
      <c r="I1660" s="11">
        <v>313200</v>
      </c>
      <c r="J1660" s="20">
        <v>313200</v>
      </c>
      <c r="K16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61" spans="1:11" hidden="1" x14ac:dyDescent="0.25">
      <c r="A1661" s="11"/>
      <c r="B1661" s="11"/>
      <c r="C1661" s="5"/>
      <c r="G1661" s="11"/>
      <c r="H1661" s="5"/>
      <c r="I1661" s="11"/>
      <c r="J1661" s="20"/>
      <c r="K16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62" spans="1:11" hidden="1" x14ac:dyDescent="0.25">
      <c r="A1662" s="11"/>
      <c r="B1662" s="11"/>
      <c r="C1662" s="5"/>
      <c r="G1662" s="11"/>
      <c r="H1662" s="5"/>
      <c r="I1662" s="11"/>
      <c r="J1662" s="20"/>
      <c r="K16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63" spans="1:11" x14ac:dyDescent="0.25">
      <c r="A1663" s="11" t="s">
        <v>236</v>
      </c>
      <c r="B1663" s="11" t="s">
        <v>477</v>
      </c>
      <c r="C1663" s="5" t="s">
        <v>63</v>
      </c>
      <c r="D1663">
        <v>100</v>
      </c>
      <c r="E1663">
        <v>6</v>
      </c>
      <c r="F1663">
        <v>15</v>
      </c>
      <c r="G1663" s="11">
        <v>1</v>
      </c>
      <c r="H1663" s="5">
        <v>8.9999999999999993E-3</v>
      </c>
      <c r="I1663" s="11">
        <v>181800</v>
      </c>
      <c r="J1663" s="20">
        <v>181800</v>
      </c>
      <c r="K16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64" spans="1:11" hidden="1" x14ac:dyDescent="0.25">
      <c r="A1664" s="11"/>
      <c r="B1664" s="11"/>
      <c r="C1664" s="5"/>
      <c r="G1664" s="11"/>
      <c r="H1664" s="5"/>
      <c r="I1664" s="11"/>
      <c r="J1664" s="20"/>
      <c r="K16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65" spans="1:11" x14ac:dyDescent="0.25">
      <c r="A1665" s="11"/>
      <c r="B1665" s="11" t="s">
        <v>532</v>
      </c>
      <c r="C1665" s="5" t="s">
        <v>150</v>
      </c>
      <c r="D1665">
        <v>280</v>
      </c>
      <c r="E1665">
        <v>6</v>
      </c>
      <c r="F1665">
        <v>15</v>
      </c>
      <c r="G1665" s="11">
        <v>2</v>
      </c>
      <c r="H1665" s="5">
        <v>5.04E-2</v>
      </c>
      <c r="I1665" s="11">
        <v>544320</v>
      </c>
      <c r="J1665" s="20">
        <v>1088640</v>
      </c>
      <c r="K16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66" spans="1:11" hidden="1" x14ac:dyDescent="0.25">
      <c r="A1666" s="11"/>
      <c r="B1666" s="11"/>
      <c r="C1666" s="5"/>
      <c r="G1666" s="11"/>
      <c r="H1666" s="5"/>
      <c r="I1666" s="11"/>
      <c r="J1666" s="20"/>
      <c r="K16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67" spans="1:11" x14ac:dyDescent="0.25">
      <c r="A1667" s="11"/>
      <c r="B1667" s="11" t="s">
        <v>451</v>
      </c>
      <c r="C1667" s="5" t="s">
        <v>30</v>
      </c>
      <c r="D1667">
        <v>90</v>
      </c>
      <c r="E1667">
        <v>6</v>
      </c>
      <c r="F1667">
        <v>15</v>
      </c>
      <c r="G1667" s="11">
        <v>1</v>
      </c>
      <c r="H1667" s="5">
        <v>8.0999999999999996E-3</v>
      </c>
      <c r="I1667" s="11">
        <v>163620</v>
      </c>
      <c r="J1667" s="20">
        <v>163620</v>
      </c>
      <c r="K16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68" spans="1:11" hidden="1" x14ac:dyDescent="0.25">
      <c r="A1668" s="11"/>
      <c r="B1668" s="11"/>
      <c r="C1668" s="5"/>
      <c r="G1668" s="11"/>
      <c r="H1668" s="5"/>
      <c r="I1668" s="11"/>
      <c r="J1668" s="20"/>
      <c r="K16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69" spans="1:11" hidden="1" x14ac:dyDescent="0.25">
      <c r="A1669" s="11"/>
      <c r="B1669" s="11"/>
      <c r="C1669" s="5"/>
      <c r="G1669" s="11"/>
      <c r="H1669" s="5"/>
      <c r="I1669" s="11"/>
      <c r="J1669" s="20"/>
      <c r="K16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0" spans="1:11" x14ac:dyDescent="0.25">
      <c r="A1670" s="11" t="s">
        <v>236</v>
      </c>
      <c r="B1670" s="11" t="s">
        <v>438</v>
      </c>
      <c r="C1670" s="5" t="s">
        <v>15</v>
      </c>
      <c r="D1670">
        <v>400</v>
      </c>
      <c r="E1670">
        <v>3</v>
      </c>
      <c r="F1670">
        <v>25</v>
      </c>
      <c r="G1670" s="11">
        <v>6</v>
      </c>
      <c r="H1670" s="5">
        <v>0.18</v>
      </c>
      <c r="I1670" s="11">
        <v>279000</v>
      </c>
      <c r="J1670" s="20">
        <v>1674000</v>
      </c>
      <c r="K16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1" spans="1:11" hidden="1" x14ac:dyDescent="0.25">
      <c r="A1671" s="11"/>
      <c r="B1671" s="11"/>
      <c r="C1671" s="5"/>
      <c r="G1671" s="11"/>
      <c r="H1671" s="5"/>
      <c r="I1671" s="11"/>
      <c r="J1671" s="20"/>
      <c r="K16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2" spans="1:11" x14ac:dyDescent="0.25">
      <c r="A1672" s="11"/>
      <c r="B1672" s="11" t="s">
        <v>433</v>
      </c>
      <c r="C1672" s="5" t="s">
        <v>9</v>
      </c>
      <c r="D1672">
        <v>400</v>
      </c>
      <c r="E1672">
        <v>4</v>
      </c>
      <c r="F1672">
        <v>20</v>
      </c>
      <c r="G1672" s="11">
        <v>6</v>
      </c>
      <c r="H1672" s="5">
        <v>0.192</v>
      </c>
      <c r="I1672" s="11">
        <v>294400</v>
      </c>
      <c r="J1672" s="20">
        <v>1766400</v>
      </c>
      <c r="K16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3" spans="1:11" hidden="1" x14ac:dyDescent="0.25">
      <c r="A1673" s="11"/>
      <c r="B1673" s="11"/>
      <c r="C1673" s="5"/>
      <c r="G1673" s="11"/>
      <c r="H1673" s="5"/>
      <c r="I1673" s="11"/>
      <c r="J1673" s="20"/>
      <c r="K16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4" spans="1:11" x14ac:dyDescent="0.25">
      <c r="A1674" s="11"/>
      <c r="B1674" s="11" t="s">
        <v>443</v>
      </c>
      <c r="C1674" s="5" t="s">
        <v>21</v>
      </c>
      <c r="D1674">
        <v>400</v>
      </c>
      <c r="E1674">
        <v>4</v>
      </c>
      <c r="F1674">
        <v>25</v>
      </c>
      <c r="G1674" s="11">
        <v>6</v>
      </c>
      <c r="H1674" s="5">
        <v>0.24</v>
      </c>
      <c r="I1674" s="11">
        <v>372000</v>
      </c>
      <c r="J1674" s="20">
        <v>2232000</v>
      </c>
      <c r="K16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5" spans="1:11" hidden="1" x14ac:dyDescent="0.25">
      <c r="A1675" s="11"/>
      <c r="B1675" s="11"/>
      <c r="C1675" s="5"/>
      <c r="G1675" s="11"/>
      <c r="H1675" s="5"/>
      <c r="I1675" s="11"/>
      <c r="J1675" s="20"/>
      <c r="K16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6" spans="1:11" x14ac:dyDescent="0.25">
      <c r="A1676" s="11"/>
      <c r="B1676" s="11" t="s">
        <v>481</v>
      </c>
      <c r="C1676" s="5" t="s">
        <v>68</v>
      </c>
      <c r="D1676">
        <v>400</v>
      </c>
      <c r="E1676">
        <v>6</v>
      </c>
      <c r="F1676">
        <v>15</v>
      </c>
      <c r="G1676" s="11">
        <v>1</v>
      </c>
      <c r="H1676" s="5">
        <v>3.5999999999999997E-2</v>
      </c>
      <c r="I1676" s="11">
        <v>313200</v>
      </c>
      <c r="J1676" s="20">
        <v>313200</v>
      </c>
      <c r="K16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77" spans="1:11" hidden="1" x14ac:dyDescent="0.25">
      <c r="A1677" s="11"/>
      <c r="B1677" s="11"/>
      <c r="C1677" s="5"/>
      <c r="G1677" s="11"/>
      <c r="H1677" s="5"/>
      <c r="I1677" s="11"/>
      <c r="J1677" s="20"/>
      <c r="K16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8" spans="1:11" hidden="1" x14ac:dyDescent="0.25">
      <c r="A1678" s="11"/>
      <c r="B1678" s="11"/>
      <c r="C1678" s="5"/>
      <c r="G1678" s="11"/>
      <c r="H1678" s="5"/>
      <c r="I1678" s="11"/>
      <c r="J1678" s="20"/>
      <c r="K16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79" spans="1:11" x14ac:dyDescent="0.25">
      <c r="A1679" s="11" t="s">
        <v>237</v>
      </c>
      <c r="B1679" s="11" t="s">
        <v>435</v>
      </c>
      <c r="C1679" s="5" t="s">
        <v>11</v>
      </c>
      <c r="D1679">
        <v>400</v>
      </c>
      <c r="E1679">
        <v>6</v>
      </c>
      <c r="F1679">
        <v>12</v>
      </c>
      <c r="G1679" s="11">
        <v>1</v>
      </c>
      <c r="H1679" s="5">
        <v>2.8799999999999999E-2</v>
      </c>
      <c r="I1679" s="11">
        <v>250560</v>
      </c>
      <c r="J1679" s="20">
        <v>250560</v>
      </c>
      <c r="K16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80" spans="1:11" hidden="1" x14ac:dyDescent="0.25">
      <c r="A1680" s="11"/>
      <c r="B1680" s="11"/>
      <c r="C1680" s="5"/>
      <c r="G1680" s="11"/>
      <c r="H1680" s="5"/>
      <c r="I1680" s="11"/>
      <c r="J1680" s="20"/>
      <c r="K16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81" spans="1:11" x14ac:dyDescent="0.25">
      <c r="A1681" s="11"/>
      <c r="B1681" s="11" t="s">
        <v>520</v>
      </c>
      <c r="C1681" s="5" t="s">
        <v>126</v>
      </c>
      <c r="D1681">
        <v>500</v>
      </c>
      <c r="E1681">
        <v>6</v>
      </c>
      <c r="F1681">
        <v>12</v>
      </c>
      <c r="G1681" s="11">
        <v>2</v>
      </c>
      <c r="H1681" s="5">
        <v>7.1999999999999995E-2</v>
      </c>
      <c r="I1681" s="11">
        <v>331200</v>
      </c>
      <c r="J1681" s="20">
        <v>662400</v>
      </c>
      <c r="K16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82" spans="1:11" hidden="1" x14ac:dyDescent="0.25">
      <c r="A1682" s="11"/>
      <c r="B1682" s="11"/>
      <c r="C1682" s="5"/>
      <c r="G1682" s="11"/>
      <c r="H1682" s="5"/>
      <c r="I1682" s="11"/>
      <c r="J1682" s="20"/>
      <c r="K16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83" spans="1:11" hidden="1" x14ac:dyDescent="0.25">
      <c r="A1683" s="11"/>
      <c r="B1683" s="11"/>
      <c r="C1683" s="5"/>
      <c r="G1683" s="11"/>
      <c r="H1683" s="5"/>
      <c r="I1683" s="11"/>
      <c r="J1683" s="20"/>
      <c r="K16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84" spans="1:11" x14ac:dyDescent="0.25">
      <c r="A1684" s="11" t="s">
        <v>237</v>
      </c>
      <c r="B1684" s="11" t="s">
        <v>468</v>
      </c>
      <c r="C1684" s="5" t="s">
        <v>51</v>
      </c>
      <c r="D1684">
        <v>500</v>
      </c>
      <c r="E1684">
        <v>6</v>
      </c>
      <c r="F1684">
        <v>15</v>
      </c>
      <c r="G1684" s="11">
        <v>3</v>
      </c>
      <c r="H1684" s="5">
        <v>0.13500000000000001</v>
      </c>
      <c r="I1684" s="11">
        <v>1017000</v>
      </c>
      <c r="J1684" s="20">
        <v>3051000</v>
      </c>
      <c r="K16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85" spans="1:11" hidden="1" x14ac:dyDescent="0.25">
      <c r="A1685" s="11"/>
      <c r="B1685" s="11"/>
      <c r="C1685" s="5"/>
      <c r="G1685" s="11"/>
      <c r="H1685" s="5"/>
      <c r="I1685" s="11"/>
      <c r="J1685" s="20"/>
      <c r="K16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86" spans="1:11" x14ac:dyDescent="0.25">
      <c r="A1686" s="11"/>
      <c r="B1686" s="11" t="s">
        <v>478</v>
      </c>
      <c r="C1686" s="5" t="s">
        <v>64</v>
      </c>
      <c r="D1686">
        <v>180</v>
      </c>
      <c r="E1686">
        <v>6</v>
      </c>
      <c r="F1686">
        <v>15</v>
      </c>
      <c r="G1686" s="11">
        <v>1</v>
      </c>
      <c r="H1686" s="5">
        <v>1.6199999999999999E-2</v>
      </c>
      <c r="I1686" s="11">
        <v>327240</v>
      </c>
      <c r="J1686" s="20">
        <v>327240</v>
      </c>
      <c r="K16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87" spans="1:11" hidden="1" x14ac:dyDescent="0.25">
      <c r="A1687" s="11"/>
      <c r="B1687" s="11"/>
      <c r="C1687" s="5"/>
      <c r="G1687" s="11"/>
      <c r="H1687" s="5"/>
      <c r="I1687" s="11"/>
      <c r="J1687" s="20"/>
      <c r="K16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88" spans="1:11" hidden="1" x14ac:dyDescent="0.25">
      <c r="A1688" s="11"/>
      <c r="B1688" s="11"/>
      <c r="C1688" s="5"/>
      <c r="G1688" s="11"/>
      <c r="H1688" s="5"/>
      <c r="I1688" s="11"/>
      <c r="J1688" s="20"/>
      <c r="K16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89" spans="1:11" x14ac:dyDescent="0.25">
      <c r="A1689" s="11" t="s">
        <v>237</v>
      </c>
      <c r="B1689" s="11" t="s">
        <v>503</v>
      </c>
      <c r="C1689" s="5" t="s">
        <v>99</v>
      </c>
      <c r="D1689">
        <v>300</v>
      </c>
      <c r="E1689">
        <v>6</v>
      </c>
      <c r="F1689">
        <v>15</v>
      </c>
      <c r="G1689" s="11">
        <v>11</v>
      </c>
      <c r="H1689" s="5">
        <v>0.29699999999999999</v>
      </c>
      <c r="I1689" s="11">
        <v>234900</v>
      </c>
      <c r="J1689" s="20">
        <v>2583900</v>
      </c>
      <c r="K16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90" spans="1:11" hidden="1" x14ac:dyDescent="0.25">
      <c r="A1690" s="11"/>
      <c r="B1690" s="11"/>
      <c r="C1690" s="5"/>
      <c r="G1690" s="11"/>
      <c r="H1690" s="5"/>
      <c r="I1690" s="11"/>
      <c r="J1690" s="20"/>
      <c r="K16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91" spans="1:11" hidden="1" x14ac:dyDescent="0.25">
      <c r="A1691" s="11"/>
      <c r="B1691" s="11"/>
      <c r="C1691" s="5"/>
      <c r="G1691" s="11"/>
      <c r="H1691" s="5"/>
      <c r="I1691" s="11"/>
      <c r="J1691" s="20"/>
      <c r="K16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92" spans="1:11" x14ac:dyDescent="0.25">
      <c r="A1692" s="11" t="s">
        <v>237</v>
      </c>
      <c r="B1692" s="11" t="s">
        <v>477</v>
      </c>
      <c r="C1692" s="5" t="s">
        <v>63</v>
      </c>
      <c r="D1692">
        <v>100</v>
      </c>
      <c r="E1692">
        <v>6</v>
      </c>
      <c r="F1692">
        <v>15</v>
      </c>
      <c r="G1692" s="11">
        <v>3</v>
      </c>
      <c r="H1692" s="5">
        <v>2.7E-2</v>
      </c>
      <c r="I1692" s="11">
        <v>181800</v>
      </c>
      <c r="J1692" s="20">
        <v>545400</v>
      </c>
      <c r="K16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93" spans="1:11" hidden="1" x14ac:dyDescent="0.25">
      <c r="A1693" s="11"/>
      <c r="B1693" s="11"/>
      <c r="C1693" s="5"/>
      <c r="G1693" s="11"/>
      <c r="H1693" s="5"/>
      <c r="I1693" s="11"/>
      <c r="J1693" s="20"/>
      <c r="K16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94" spans="1:11" x14ac:dyDescent="0.25">
      <c r="A1694" s="11"/>
      <c r="B1694" s="11" t="s">
        <v>547</v>
      </c>
      <c r="C1694" s="5" t="s">
        <v>182</v>
      </c>
      <c r="D1694">
        <v>120</v>
      </c>
      <c r="E1694">
        <v>6</v>
      </c>
      <c r="F1694">
        <v>15</v>
      </c>
      <c r="G1694" s="11">
        <v>2</v>
      </c>
      <c r="H1694" s="5">
        <v>2.1600000000000001E-2</v>
      </c>
      <c r="I1694" s="11">
        <v>218160</v>
      </c>
      <c r="J1694" s="20">
        <v>436320</v>
      </c>
      <c r="K16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95" spans="1:11" hidden="1" x14ac:dyDescent="0.25">
      <c r="A1695" s="11"/>
      <c r="B1695" s="11"/>
      <c r="C1695" s="5"/>
      <c r="G1695" s="11"/>
      <c r="H1695" s="5"/>
      <c r="I1695" s="11"/>
      <c r="J1695" s="20"/>
      <c r="K16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96" spans="1:11" x14ac:dyDescent="0.25">
      <c r="A1696" s="11"/>
      <c r="B1696" s="11" t="s">
        <v>485</v>
      </c>
      <c r="C1696" s="5" t="s">
        <v>74</v>
      </c>
      <c r="D1696">
        <v>150</v>
      </c>
      <c r="E1696">
        <v>6</v>
      </c>
      <c r="F1696">
        <v>15</v>
      </c>
      <c r="G1696" s="11">
        <v>12</v>
      </c>
      <c r="H1696" s="5">
        <v>0.16200000000000001</v>
      </c>
      <c r="I1696" s="11">
        <v>272700</v>
      </c>
      <c r="J1696" s="20">
        <v>3272400</v>
      </c>
      <c r="K16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97" spans="1:11" hidden="1" x14ac:dyDescent="0.25">
      <c r="A1697" s="11"/>
      <c r="B1697" s="11"/>
      <c r="C1697" s="5"/>
      <c r="G1697" s="11"/>
      <c r="H1697" s="5"/>
      <c r="I1697" s="11"/>
      <c r="J1697" s="20"/>
      <c r="K16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698" spans="1:11" x14ac:dyDescent="0.25">
      <c r="A1698" s="11"/>
      <c r="B1698" s="11" t="s">
        <v>529</v>
      </c>
      <c r="C1698" s="5" t="s">
        <v>147</v>
      </c>
      <c r="D1698">
        <v>160</v>
      </c>
      <c r="E1698">
        <v>6</v>
      </c>
      <c r="F1698">
        <v>15</v>
      </c>
      <c r="G1698" s="11">
        <v>1</v>
      </c>
      <c r="H1698" s="5">
        <v>1.44E-2</v>
      </c>
      <c r="I1698" s="11">
        <v>290880</v>
      </c>
      <c r="J1698" s="20">
        <v>290880</v>
      </c>
      <c r="K16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699" spans="1:11" hidden="1" x14ac:dyDescent="0.25">
      <c r="A1699" s="11"/>
      <c r="B1699" s="11"/>
      <c r="C1699" s="5"/>
      <c r="G1699" s="11"/>
      <c r="H1699" s="5"/>
      <c r="I1699" s="11"/>
      <c r="J1699" s="20"/>
      <c r="K16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0" spans="1:11" x14ac:dyDescent="0.25">
      <c r="A1700" s="11"/>
      <c r="B1700" s="11" t="s">
        <v>441</v>
      </c>
      <c r="C1700" s="5" t="s">
        <v>19</v>
      </c>
      <c r="D1700">
        <v>230</v>
      </c>
      <c r="E1700">
        <v>6</v>
      </c>
      <c r="F1700">
        <v>15</v>
      </c>
      <c r="G1700" s="11">
        <v>4</v>
      </c>
      <c r="H1700" s="5">
        <v>8.2799999999999999E-2</v>
      </c>
      <c r="I1700" s="11">
        <v>447120</v>
      </c>
      <c r="J1700" s="20">
        <v>1788480</v>
      </c>
      <c r="K17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01" spans="1:11" hidden="1" x14ac:dyDescent="0.25">
      <c r="A1701" s="11"/>
      <c r="B1701" s="11"/>
      <c r="C1701" s="5"/>
      <c r="G1701" s="11"/>
      <c r="H1701" s="5"/>
      <c r="I1701" s="11"/>
      <c r="J1701" s="20"/>
      <c r="K17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2" spans="1:11" x14ac:dyDescent="0.25">
      <c r="A1702" s="11"/>
      <c r="B1702" s="11" t="s">
        <v>479</v>
      </c>
      <c r="C1702" s="5" t="s">
        <v>65</v>
      </c>
      <c r="D1702">
        <v>240</v>
      </c>
      <c r="E1702">
        <v>6</v>
      </c>
      <c r="F1702">
        <v>15</v>
      </c>
      <c r="G1702" s="11">
        <v>9</v>
      </c>
      <c r="H1702" s="5">
        <v>0.19439999999999999</v>
      </c>
      <c r="I1702" s="11">
        <v>466560</v>
      </c>
      <c r="J1702" s="20">
        <v>4199040</v>
      </c>
      <c r="K17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03" spans="1:11" hidden="1" x14ac:dyDescent="0.25">
      <c r="A1703" s="11"/>
      <c r="B1703" s="11"/>
      <c r="C1703" s="5"/>
      <c r="G1703" s="11"/>
      <c r="H1703" s="5"/>
      <c r="I1703" s="11"/>
      <c r="J1703" s="20"/>
      <c r="K17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4" spans="1:11" x14ac:dyDescent="0.25">
      <c r="A1704" s="11"/>
      <c r="B1704" s="11" t="s">
        <v>451</v>
      </c>
      <c r="C1704" s="5" t="s">
        <v>30</v>
      </c>
      <c r="D1704">
        <v>90</v>
      </c>
      <c r="E1704">
        <v>6</v>
      </c>
      <c r="F1704">
        <v>15</v>
      </c>
      <c r="G1704" s="11">
        <v>2</v>
      </c>
      <c r="H1704" s="5">
        <v>1.6199999999999999E-2</v>
      </c>
      <c r="I1704" s="11">
        <v>163620</v>
      </c>
      <c r="J1704" s="20">
        <v>327240</v>
      </c>
      <c r="K17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05" spans="1:11" hidden="1" x14ac:dyDescent="0.25">
      <c r="A1705" s="11"/>
      <c r="B1705" s="11"/>
      <c r="C1705" s="5"/>
      <c r="G1705" s="11"/>
      <c r="H1705" s="5"/>
      <c r="I1705" s="11"/>
      <c r="J1705" s="20"/>
      <c r="K17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6" spans="1:11" hidden="1" x14ac:dyDescent="0.25">
      <c r="A1706" s="11"/>
      <c r="B1706" s="11"/>
      <c r="C1706" s="5"/>
      <c r="G1706" s="11"/>
      <c r="H1706" s="5"/>
      <c r="I1706" s="11"/>
      <c r="J1706" s="20"/>
      <c r="K17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7" spans="1:11" x14ac:dyDescent="0.25">
      <c r="A1707" s="11" t="s">
        <v>238</v>
      </c>
      <c r="B1707" s="11" t="s">
        <v>433</v>
      </c>
      <c r="C1707" s="5" t="s">
        <v>9</v>
      </c>
      <c r="D1707">
        <v>400</v>
      </c>
      <c r="E1707">
        <v>4</v>
      </c>
      <c r="F1707">
        <v>20</v>
      </c>
      <c r="G1707" s="11">
        <v>1</v>
      </c>
      <c r="H1707" s="5">
        <v>3.2000000000000001E-2</v>
      </c>
      <c r="I1707" s="11">
        <v>294400</v>
      </c>
      <c r="J1707" s="20">
        <v>294400</v>
      </c>
      <c r="K17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8" spans="1:11" hidden="1" x14ac:dyDescent="0.25">
      <c r="A1708" s="11"/>
      <c r="B1708" s="11"/>
      <c r="C1708" s="5"/>
      <c r="G1708" s="11"/>
      <c r="H1708" s="5"/>
      <c r="I1708" s="11"/>
      <c r="J1708" s="20"/>
      <c r="K17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09" spans="1:11" x14ac:dyDescent="0.25">
      <c r="A1709" s="11"/>
      <c r="B1709" s="11" t="s">
        <v>481</v>
      </c>
      <c r="C1709" s="5" t="s">
        <v>68</v>
      </c>
      <c r="D1709">
        <v>400</v>
      </c>
      <c r="E1709">
        <v>6</v>
      </c>
      <c r="F1709">
        <v>15</v>
      </c>
      <c r="G1709" s="11">
        <v>3</v>
      </c>
      <c r="H1709" s="5">
        <v>0.108</v>
      </c>
      <c r="I1709" s="11">
        <v>313200</v>
      </c>
      <c r="J1709" s="20">
        <v>939600</v>
      </c>
      <c r="K17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10" spans="1:11" hidden="1" x14ac:dyDescent="0.25">
      <c r="A1710" s="11"/>
      <c r="B1710" s="11"/>
      <c r="C1710" s="5"/>
      <c r="G1710" s="11"/>
      <c r="H1710" s="5"/>
      <c r="I1710" s="11"/>
      <c r="J1710" s="20"/>
      <c r="K17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1" spans="1:11" hidden="1" x14ac:dyDescent="0.25">
      <c r="A1711" s="11"/>
      <c r="B1711" s="11"/>
      <c r="C1711" s="5"/>
      <c r="G1711" s="11"/>
      <c r="H1711" s="5"/>
      <c r="I1711" s="11"/>
      <c r="J1711" s="20"/>
      <c r="K17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2" spans="1:11" x14ac:dyDescent="0.25">
      <c r="A1712" s="11" t="s">
        <v>238</v>
      </c>
      <c r="B1712" s="11" t="s">
        <v>439</v>
      </c>
      <c r="C1712" s="5" t="s">
        <v>16</v>
      </c>
      <c r="D1712">
        <v>400</v>
      </c>
      <c r="E1712">
        <v>3</v>
      </c>
      <c r="F1712">
        <v>30</v>
      </c>
      <c r="G1712" s="11">
        <v>1</v>
      </c>
      <c r="H1712" s="5">
        <v>3.5999999999999997E-2</v>
      </c>
      <c r="I1712" s="11">
        <v>342000</v>
      </c>
      <c r="J1712" s="20">
        <v>342000</v>
      </c>
      <c r="K17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3" spans="1:11" hidden="1" x14ac:dyDescent="0.25">
      <c r="A1713" s="11"/>
      <c r="B1713" s="11"/>
      <c r="C1713" s="5"/>
      <c r="G1713" s="11"/>
      <c r="H1713" s="5"/>
      <c r="I1713" s="11"/>
      <c r="J1713" s="20"/>
      <c r="K17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4" spans="1:11" x14ac:dyDescent="0.25">
      <c r="A1714" s="11"/>
      <c r="B1714" s="11" t="s">
        <v>481</v>
      </c>
      <c r="C1714" s="5" t="s">
        <v>68</v>
      </c>
      <c r="D1714">
        <v>400</v>
      </c>
      <c r="E1714">
        <v>6</v>
      </c>
      <c r="F1714">
        <v>15</v>
      </c>
      <c r="G1714" s="11">
        <v>3</v>
      </c>
      <c r="H1714" s="5">
        <v>0.108</v>
      </c>
      <c r="I1714" s="11">
        <v>313200</v>
      </c>
      <c r="J1714" s="20">
        <v>939600</v>
      </c>
      <c r="K17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15" spans="1:11" hidden="1" x14ac:dyDescent="0.25">
      <c r="A1715" s="11"/>
      <c r="B1715" s="11"/>
      <c r="C1715" s="5"/>
      <c r="G1715" s="11"/>
      <c r="H1715" s="5"/>
      <c r="I1715" s="11"/>
      <c r="J1715" s="20"/>
      <c r="K17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6" spans="1:11" hidden="1" x14ac:dyDescent="0.25">
      <c r="A1716" s="11"/>
      <c r="B1716" s="11"/>
      <c r="C1716" s="5"/>
      <c r="G1716" s="11"/>
      <c r="H1716" s="5"/>
      <c r="I1716" s="11"/>
      <c r="J1716" s="20"/>
      <c r="K17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7" spans="1:11" x14ac:dyDescent="0.25">
      <c r="A1717" s="11" t="s">
        <v>238</v>
      </c>
      <c r="B1717" s="11" t="s">
        <v>526</v>
      </c>
      <c r="C1717" s="5" t="s">
        <v>139</v>
      </c>
      <c r="D1717">
        <v>300</v>
      </c>
      <c r="E1717">
        <v>6</v>
      </c>
      <c r="F1717">
        <v>15</v>
      </c>
      <c r="G1717" s="11">
        <v>5</v>
      </c>
      <c r="H1717" s="5">
        <v>0.13500000000000001</v>
      </c>
      <c r="I1717" s="11">
        <v>594000</v>
      </c>
      <c r="J1717" s="20">
        <v>2970000</v>
      </c>
      <c r="K17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18" spans="1:11" hidden="1" x14ac:dyDescent="0.25">
      <c r="A1718" s="11"/>
      <c r="B1718" s="11"/>
      <c r="C1718" s="5"/>
      <c r="G1718" s="11"/>
      <c r="H1718" s="5"/>
      <c r="I1718" s="11"/>
      <c r="J1718" s="20"/>
      <c r="K17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19" spans="1:11" x14ac:dyDescent="0.25">
      <c r="A1719" s="11"/>
      <c r="B1719" s="11" t="s">
        <v>543</v>
      </c>
      <c r="C1719" s="5" t="s">
        <v>174</v>
      </c>
      <c r="D1719">
        <v>300</v>
      </c>
      <c r="E1719">
        <v>6</v>
      </c>
      <c r="F1719">
        <v>17</v>
      </c>
      <c r="G1719" s="11">
        <v>6</v>
      </c>
      <c r="H1719" s="5">
        <v>0.18360000000000001</v>
      </c>
      <c r="I1719" s="11">
        <v>691560</v>
      </c>
      <c r="J1719" s="20">
        <v>4149360</v>
      </c>
      <c r="K17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20" spans="1:11" hidden="1" x14ac:dyDescent="0.25">
      <c r="A1720" s="11"/>
      <c r="B1720" s="11"/>
      <c r="C1720" s="5"/>
      <c r="G1720" s="11"/>
      <c r="H1720" s="5"/>
      <c r="I1720" s="11"/>
      <c r="J1720" s="20"/>
      <c r="K17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21" spans="1:11" x14ac:dyDescent="0.25">
      <c r="A1721" s="11"/>
      <c r="B1721" s="11" t="s">
        <v>555</v>
      </c>
      <c r="C1721" s="5" t="s">
        <v>201</v>
      </c>
      <c r="D1721">
        <v>400</v>
      </c>
      <c r="E1721">
        <v>6</v>
      </c>
      <c r="F1721">
        <v>17</v>
      </c>
      <c r="G1721" s="11">
        <v>3</v>
      </c>
      <c r="H1721" s="5">
        <v>0.12239999999999999</v>
      </c>
      <c r="I1721" s="11">
        <v>922080</v>
      </c>
      <c r="J1721" s="20">
        <v>2766240</v>
      </c>
      <c r="K17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22" spans="1:11" hidden="1" x14ac:dyDescent="0.25">
      <c r="A1722" s="11"/>
      <c r="B1722" s="11"/>
      <c r="C1722" s="5"/>
      <c r="G1722" s="11"/>
      <c r="H1722" s="5"/>
      <c r="I1722" s="11"/>
      <c r="J1722" s="20"/>
      <c r="K17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23" spans="1:11" x14ac:dyDescent="0.25">
      <c r="A1723" s="11"/>
      <c r="B1723" s="11" t="s">
        <v>556</v>
      </c>
      <c r="C1723" s="5" t="s">
        <v>202</v>
      </c>
      <c r="D1723">
        <v>250</v>
      </c>
      <c r="E1723">
        <v>6</v>
      </c>
      <c r="F1723">
        <v>17</v>
      </c>
      <c r="G1723" s="11">
        <v>2</v>
      </c>
      <c r="H1723" s="5">
        <v>5.0999999999999997E-2</v>
      </c>
      <c r="I1723" s="11">
        <v>576300</v>
      </c>
      <c r="J1723" s="20">
        <v>1152600</v>
      </c>
      <c r="K17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24" spans="1:11" hidden="1" x14ac:dyDescent="0.25">
      <c r="A1724" s="11"/>
      <c r="B1724" s="11"/>
      <c r="C1724" s="5"/>
      <c r="G1724" s="11"/>
      <c r="H1724" s="5"/>
      <c r="I1724" s="11"/>
      <c r="J1724" s="20"/>
      <c r="K17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25" spans="1:11" x14ac:dyDescent="0.25">
      <c r="A1725" s="11"/>
      <c r="B1725" s="11" t="s">
        <v>435</v>
      </c>
      <c r="C1725" s="5" t="s">
        <v>11</v>
      </c>
      <c r="D1725">
        <v>400</v>
      </c>
      <c r="E1725">
        <v>6</v>
      </c>
      <c r="F1725">
        <v>12</v>
      </c>
      <c r="G1725" s="11">
        <v>4</v>
      </c>
      <c r="H1725" s="5">
        <v>0.1152</v>
      </c>
      <c r="I1725" s="11">
        <v>250560</v>
      </c>
      <c r="J1725" s="20">
        <v>1002240</v>
      </c>
      <c r="K17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26" spans="1:11" hidden="1" x14ac:dyDescent="0.25">
      <c r="A1726" s="11"/>
      <c r="B1726" s="11"/>
      <c r="C1726" s="5"/>
      <c r="G1726" s="11"/>
      <c r="H1726" s="5"/>
      <c r="I1726" s="11"/>
      <c r="J1726" s="20"/>
      <c r="K17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27" spans="1:11" hidden="1" x14ac:dyDescent="0.25">
      <c r="A1727" s="11"/>
      <c r="B1727" s="11"/>
      <c r="C1727" s="5"/>
      <c r="G1727" s="11"/>
      <c r="H1727" s="5"/>
      <c r="I1727" s="11"/>
      <c r="J1727" s="20"/>
      <c r="K17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28" spans="1:11" x14ac:dyDescent="0.25">
      <c r="A1728" s="11" t="s">
        <v>239</v>
      </c>
      <c r="B1728" s="11" t="s">
        <v>481</v>
      </c>
      <c r="C1728" s="5" t="s">
        <v>68</v>
      </c>
      <c r="D1728">
        <v>400</v>
      </c>
      <c r="E1728">
        <v>6</v>
      </c>
      <c r="F1728">
        <v>15</v>
      </c>
      <c r="G1728" s="11">
        <v>2</v>
      </c>
      <c r="H1728" s="5">
        <v>7.1999999999999995E-2</v>
      </c>
      <c r="I1728" s="11">
        <v>313200</v>
      </c>
      <c r="J1728" s="20">
        <v>626400</v>
      </c>
      <c r="K17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29" spans="1:11" hidden="1" x14ac:dyDescent="0.25">
      <c r="A1729" s="11"/>
      <c r="B1729" s="11"/>
      <c r="C1729" s="5"/>
      <c r="G1729" s="11"/>
      <c r="H1729" s="5"/>
      <c r="I1729" s="11"/>
      <c r="J1729" s="20"/>
      <c r="K17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0" spans="1:11" hidden="1" x14ac:dyDescent="0.25">
      <c r="A1730" s="11"/>
      <c r="B1730" s="11"/>
      <c r="C1730" s="5"/>
      <c r="G1730" s="11"/>
      <c r="H1730" s="5"/>
      <c r="I1730" s="11"/>
      <c r="J1730" s="20"/>
      <c r="K17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1" spans="1:11" x14ac:dyDescent="0.25">
      <c r="A1731" s="11" t="s">
        <v>239</v>
      </c>
      <c r="B1731" s="11" t="s">
        <v>530</v>
      </c>
      <c r="C1731" s="5" t="s">
        <v>148</v>
      </c>
      <c r="D1731">
        <v>500</v>
      </c>
      <c r="E1731">
        <v>6</v>
      </c>
      <c r="F1731">
        <v>17</v>
      </c>
      <c r="G1731" s="11">
        <v>1</v>
      </c>
      <c r="H1731" s="5">
        <v>5.0999999999999997E-2</v>
      </c>
      <c r="I1731" s="11">
        <v>1178100</v>
      </c>
      <c r="J1731" s="20">
        <v>1178100</v>
      </c>
      <c r="K17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32" spans="1:11" hidden="1" x14ac:dyDescent="0.25">
      <c r="A1732" s="11"/>
      <c r="B1732" s="11"/>
      <c r="C1732" s="5"/>
      <c r="G1732" s="11"/>
      <c r="H1732" s="5"/>
      <c r="I1732" s="11"/>
      <c r="J1732" s="20"/>
      <c r="K17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3" spans="1:11" hidden="1" x14ac:dyDescent="0.25">
      <c r="A1733" s="11"/>
      <c r="B1733" s="11"/>
      <c r="C1733" s="5"/>
      <c r="G1733" s="11"/>
      <c r="H1733" s="5"/>
      <c r="I1733" s="11"/>
      <c r="J1733" s="20"/>
      <c r="K17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4" spans="1:11" x14ac:dyDescent="0.25">
      <c r="A1734" s="11" t="s">
        <v>239</v>
      </c>
      <c r="B1734" s="11" t="s">
        <v>501</v>
      </c>
      <c r="C1734" s="5" t="s">
        <v>96</v>
      </c>
      <c r="D1734">
        <v>250</v>
      </c>
      <c r="E1734">
        <v>6</v>
      </c>
      <c r="F1734">
        <v>15</v>
      </c>
      <c r="G1734" s="11">
        <v>1</v>
      </c>
      <c r="H1734" s="5">
        <v>2.2499999999999999E-2</v>
      </c>
      <c r="I1734" s="11">
        <v>499500</v>
      </c>
      <c r="J1734" s="20">
        <v>499500</v>
      </c>
      <c r="K17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35" spans="1:11" hidden="1" x14ac:dyDescent="0.25">
      <c r="A1735" s="11"/>
      <c r="B1735" s="11"/>
      <c r="C1735" s="5"/>
      <c r="G1735" s="11"/>
      <c r="H1735" s="5"/>
      <c r="I1735" s="11"/>
      <c r="J1735" s="20"/>
      <c r="K17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6" spans="1:11" x14ac:dyDescent="0.25">
      <c r="A1736" s="11"/>
      <c r="B1736" s="11" t="s">
        <v>490</v>
      </c>
      <c r="C1736" s="5" t="s">
        <v>82</v>
      </c>
      <c r="D1736">
        <v>250</v>
      </c>
      <c r="E1736">
        <v>6</v>
      </c>
      <c r="F1736">
        <v>15</v>
      </c>
      <c r="G1736" s="11">
        <v>2</v>
      </c>
      <c r="H1736" s="5">
        <v>4.4999999999999998E-2</v>
      </c>
      <c r="I1736" s="11">
        <v>207000</v>
      </c>
      <c r="J1736" s="20">
        <v>414000</v>
      </c>
      <c r="K17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37" spans="1:11" hidden="1" x14ac:dyDescent="0.25">
      <c r="A1737" s="11"/>
      <c r="B1737" s="11"/>
      <c r="C1737" s="5"/>
      <c r="G1737" s="11"/>
      <c r="H1737" s="5"/>
      <c r="I1737" s="11"/>
      <c r="J1737" s="20"/>
      <c r="K17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8" spans="1:11" hidden="1" x14ac:dyDescent="0.25">
      <c r="A1738" s="11"/>
      <c r="B1738" s="11"/>
      <c r="C1738" s="5"/>
      <c r="G1738" s="11"/>
      <c r="H1738" s="5"/>
      <c r="I1738" s="11"/>
      <c r="J1738" s="20"/>
      <c r="K17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39" spans="1:11" x14ac:dyDescent="0.25">
      <c r="A1739" s="11" t="s">
        <v>239</v>
      </c>
      <c r="B1739" s="11" t="s">
        <v>519</v>
      </c>
      <c r="C1739" s="5" t="s">
        <v>125</v>
      </c>
      <c r="D1739">
        <v>400</v>
      </c>
      <c r="E1739">
        <v>5</v>
      </c>
      <c r="F1739">
        <v>25</v>
      </c>
      <c r="G1739" s="11">
        <v>1</v>
      </c>
      <c r="H1739" s="5">
        <v>0.05</v>
      </c>
      <c r="I1739" s="11">
        <v>475000</v>
      </c>
      <c r="J1739" s="20">
        <v>475000</v>
      </c>
      <c r="K17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740" spans="1:11" hidden="1" x14ac:dyDescent="0.25">
      <c r="A1740" s="11"/>
      <c r="B1740" s="11"/>
      <c r="C1740" s="5"/>
      <c r="G1740" s="11"/>
      <c r="H1740" s="5"/>
      <c r="I1740" s="11"/>
      <c r="J1740" s="20"/>
      <c r="K17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41" spans="1:11" x14ac:dyDescent="0.25">
      <c r="A1741" s="11"/>
      <c r="B1741" s="11" t="s">
        <v>481</v>
      </c>
      <c r="C1741" s="5" t="s">
        <v>68</v>
      </c>
      <c r="D1741">
        <v>400</v>
      </c>
      <c r="E1741">
        <v>6</v>
      </c>
      <c r="F1741">
        <v>15</v>
      </c>
      <c r="G1741" s="11">
        <v>5</v>
      </c>
      <c r="H1741" s="5">
        <v>0.18</v>
      </c>
      <c r="I1741" s="11">
        <v>313200</v>
      </c>
      <c r="J1741" s="20">
        <v>1566000</v>
      </c>
      <c r="K17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42" spans="1:11" hidden="1" x14ac:dyDescent="0.25">
      <c r="A1742" s="11"/>
      <c r="B1742" s="11"/>
      <c r="C1742" s="5"/>
      <c r="G1742" s="11"/>
      <c r="H1742" s="5"/>
      <c r="I1742" s="11"/>
      <c r="J1742" s="20"/>
      <c r="K17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43" spans="1:11" x14ac:dyDescent="0.25">
      <c r="A1743" s="11"/>
      <c r="B1743" s="11" t="s">
        <v>491</v>
      </c>
      <c r="C1743" s="5" t="s">
        <v>83</v>
      </c>
      <c r="D1743">
        <v>450</v>
      </c>
      <c r="E1743">
        <v>6</v>
      </c>
      <c r="F1743">
        <v>15</v>
      </c>
      <c r="G1743" s="11">
        <v>8</v>
      </c>
      <c r="H1743" s="5">
        <v>0.32400000000000001</v>
      </c>
      <c r="I1743" s="11">
        <v>372600</v>
      </c>
      <c r="J1743" s="20">
        <v>2980800</v>
      </c>
      <c r="K17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44" spans="1:11" hidden="1" x14ac:dyDescent="0.25">
      <c r="A1744" s="11"/>
      <c r="B1744" s="11"/>
      <c r="C1744" s="5"/>
      <c r="G1744" s="11"/>
      <c r="H1744" s="5"/>
      <c r="I1744" s="11"/>
      <c r="J1744" s="20"/>
      <c r="K17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45" spans="1:11" x14ac:dyDescent="0.25">
      <c r="A1745" s="11"/>
      <c r="B1745" s="11" t="s">
        <v>514</v>
      </c>
      <c r="C1745" s="5" t="s">
        <v>116</v>
      </c>
      <c r="D1745">
        <v>500</v>
      </c>
      <c r="E1745">
        <v>5</v>
      </c>
      <c r="F1745">
        <v>30</v>
      </c>
      <c r="G1745" s="11">
        <v>5</v>
      </c>
      <c r="H1745" s="5">
        <v>0.375</v>
      </c>
      <c r="I1745" s="11">
        <v>727500</v>
      </c>
      <c r="J1745" s="20">
        <v>3637500</v>
      </c>
      <c r="K17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746" spans="1:11" hidden="1" x14ac:dyDescent="0.25">
      <c r="A1746" s="11"/>
      <c r="B1746" s="11"/>
      <c r="C1746" s="5"/>
      <c r="G1746" s="11"/>
      <c r="H1746" s="5"/>
      <c r="I1746" s="11"/>
      <c r="J1746" s="20"/>
      <c r="K17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47" spans="1:11" hidden="1" x14ac:dyDescent="0.25">
      <c r="A1747" s="11"/>
      <c r="B1747" s="11"/>
      <c r="C1747" s="5"/>
      <c r="G1747" s="11"/>
      <c r="H1747" s="5"/>
      <c r="I1747" s="11"/>
      <c r="J1747" s="20"/>
      <c r="K17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48" spans="1:11" x14ac:dyDescent="0.25">
      <c r="A1748" s="11" t="s">
        <v>239</v>
      </c>
      <c r="B1748" s="11" t="s">
        <v>509</v>
      </c>
      <c r="C1748" s="5" t="s">
        <v>109</v>
      </c>
      <c r="D1748">
        <v>400</v>
      </c>
      <c r="E1748">
        <v>5</v>
      </c>
      <c r="F1748">
        <v>7</v>
      </c>
      <c r="G1748" s="11">
        <v>6</v>
      </c>
      <c r="H1748" s="5">
        <v>8.4000000000000005E-2</v>
      </c>
      <c r="I1748" s="11">
        <v>309400</v>
      </c>
      <c r="J1748" s="20">
        <v>1856400</v>
      </c>
      <c r="K17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749" spans="1:11" hidden="1" x14ac:dyDescent="0.25">
      <c r="A1749" s="11"/>
      <c r="B1749" s="11"/>
      <c r="C1749" s="5"/>
      <c r="G1749" s="11"/>
      <c r="H1749" s="5"/>
      <c r="I1749" s="11"/>
      <c r="J1749" s="20"/>
      <c r="K17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0" spans="1:11" hidden="1" x14ac:dyDescent="0.25">
      <c r="A1750" s="11"/>
      <c r="B1750" s="11"/>
      <c r="C1750" s="5"/>
      <c r="G1750" s="11"/>
      <c r="H1750" s="5"/>
      <c r="I1750" s="11"/>
      <c r="J1750" s="20"/>
      <c r="K17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1" spans="1:11" x14ac:dyDescent="0.25">
      <c r="A1751" s="11" t="s">
        <v>240</v>
      </c>
      <c r="B1751" s="11" t="s">
        <v>509</v>
      </c>
      <c r="C1751" s="5" t="s">
        <v>109</v>
      </c>
      <c r="D1751">
        <v>400</v>
      </c>
      <c r="E1751">
        <v>5</v>
      </c>
      <c r="F1751">
        <v>7</v>
      </c>
      <c r="G1751" s="11">
        <v>5</v>
      </c>
      <c r="H1751" s="5">
        <v>7.0000000000000007E-2</v>
      </c>
      <c r="I1751" s="11">
        <v>309400</v>
      </c>
      <c r="J1751" s="20">
        <v>1547000</v>
      </c>
      <c r="K17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752" spans="1:11" hidden="1" x14ac:dyDescent="0.25">
      <c r="A1752" s="11"/>
      <c r="B1752" s="11"/>
      <c r="C1752" s="5"/>
      <c r="G1752" s="11"/>
      <c r="H1752" s="5"/>
      <c r="I1752" s="11"/>
      <c r="J1752" s="20"/>
      <c r="K17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3" spans="1:11" hidden="1" x14ac:dyDescent="0.25">
      <c r="A1753" s="11"/>
      <c r="B1753" s="11"/>
      <c r="C1753" s="5"/>
      <c r="G1753" s="11"/>
      <c r="H1753" s="5"/>
      <c r="I1753" s="11"/>
      <c r="J1753" s="20"/>
      <c r="K17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4" spans="1:11" x14ac:dyDescent="0.25">
      <c r="A1754" s="11" t="s">
        <v>241</v>
      </c>
      <c r="B1754" s="11" t="s">
        <v>478</v>
      </c>
      <c r="C1754" s="5" t="s">
        <v>64</v>
      </c>
      <c r="D1754">
        <v>180</v>
      </c>
      <c r="E1754">
        <v>6</v>
      </c>
      <c r="F1754">
        <v>15</v>
      </c>
      <c r="G1754" s="11">
        <v>1</v>
      </c>
      <c r="H1754" s="5">
        <v>1.6199999999999999E-2</v>
      </c>
      <c r="I1754" s="11">
        <v>327240</v>
      </c>
      <c r="J1754" s="20">
        <v>327240</v>
      </c>
      <c r="K17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55" spans="1:11" hidden="1" x14ac:dyDescent="0.25">
      <c r="A1755" s="11"/>
      <c r="B1755" s="11"/>
      <c r="C1755" s="5"/>
      <c r="G1755" s="11"/>
      <c r="H1755" s="5"/>
      <c r="I1755" s="11"/>
      <c r="J1755" s="20"/>
      <c r="K17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6" spans="1:11" x14ac:dyDescent="0.25">
      <c r="A1756" s="11"/>
      <c r="B1756" s="11" t="s">
        <v>443</v>
      </c>
      <c r="C1756" s="5" t="s">
        <v>21</v>
      </c>
      <c r="D1756">
        <v>400</v>
      </c>
      <c r="E1756">
        <v>4</v>
      </c>
      <c r="F1756">
        <v>25</v>
      </c>
      <c r="G1756" s="11">
        <v>4</v>
      </c>
      <c r="H1756" s="5">
        <v>0.16</v>
      </c>
      <c r="I1756" s="11">
        <v>372000</v>
      </c>
      <c r="J1756" s="20">
        <v>1488000</v>
      </c>
      <c r="K17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7" spans="1:11" hidden="1" x14ac:dyDescent="0.25">
      <c r="A1757" s="11"/>
      <c r="B1757" s="11"/>
      <c r="C1757" s="5"/>
      <c r="G1757" s="11"/>
      <c r="H1757" s="5"/>
      <c r="I1757" s="11"/>
      <c r="J1757" s="20"/>
      <c r="K17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8" spans="1:11" hidden="1" x14ac:dyDescent="0.25">
      <c r="A1758" s="11"/>
      <c r="B1758" s="11"/>
      <c r="C1758" s="5"/>
      <c r="G1758" s="11"/>
      <c r="H1758" s="5"/>
      <c r="I1758" s="11"/>
      <c r="J1758" s="20"/>
      <c r="K17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59" spans="1:11" x14ac:dyDescent="0.25">
      <c r="A1759" s="11" t="s">
        <v>241</v>
      </c>
      <c r="B1759" s="11" t="s">
        <v>442</v>
      </c>
      <c r="C1759" s="5" t="s">
        <v>20</v>
      </c>
      <c r="D1759">
        <v>400</v>
      </c>
      <c r="E1759">
        <v>6</v>
      </c>
      <c r="F1759">
        <v>12</v>
      </c>
      <c r="G1759" s="11">
        <v>20</v>
      </c>
      <c r="H1759" s="5">
        <v>0.57599999999999996</v>
      </c>
      <c r="I1759" s="11">
        <v>636480</v>
      </c>
      <c r="J1759" s="20">
        <v>12729600</v>
      </c>
      <c r="K17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60" spans="1:11" hidden="1" x14ac:dyDescent="0.25">
      <c r="A1760" s="11"/>
      <c r="B1760" s="11"/>
      <c r="C1760" s="5"/>
      <c r="G1760" s="11"/>
      <c r="H1760" s="5"/>
      <c r="I1760" s="11"/>
      <c r="J1760" s="20"/>
      <c r="K17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1" spans="1:11" hidden="1" x14ac:dyDescent="0.25">
      <c r="A1761" s="11"/>
      <c r="B1761" s="11"/>
      <c r="C1761" s="5"/>
      <c r="G1761" s="11"/>
      <c r="H1761" s="5"/>
      <c r="I1761" s="11"/>
      <c r="J1761" s="20"/>
      <c r="K17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2" spans="1:11" x14ac:dyDescent="0.25">
      <c r="A1762" s="11" t="s">
        <v>242</v>
      </c>
      <c r="B1762" s="11" t="s">
        <v>438</v>
      </c>
      <c r="C1762" s="5" t="s">
        <v>15</v>
      </c>
      <c r="D1762">
        <v>400</v>
      </c>
      <c r="E1762">
        <v>3</v>
      </c>
      <c r="F1762">
        <v>25</v>
      </c>
      <c r="G1762" s="11">
        <v>1</v>
      </c>
      <c r="H1762" s="5">
        <v>0.03</v>
      </c>
      <c r="I1762" s="11">
        <v>279000</v>
      </c>
      <c r="J1762" s="20">
        <v>279000</v>
      </c>
      <c r="K17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3" spans="1:11" hidden="1" x14ac:dyDescent="0.25">
      <c r="A1763" s="11"/>
      <c r="B1763" s="11"/>
      <c r="C1763" s="5"/>
      <c r="G1763" s="11"/>
      <c r="H1763" s="5"/>
      <c r="I1763" s="11"/>
      <c r="J1763" s="20"/>
      <c r="K17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4" spans="1:11" x14ac:dyDescent="0.25">
      <c r="A1764" s="11"/>
      <c r="B1764" s="11" t="s">
        <v>439</v>
      </c>
      <c r="C1764" s="5" t="s">
        <v>16</v>
      </c>
      <c r="D1764">
        <v>400</v>
      </c>
      <c r="E1764">
        <v>3</v>
      </c>
      <c r="F1764">
        <v>30</v>
      </c>
      <c r="G1764" s="11">
        <v>1</v>
      </c>
      <c r="H1764" s="5">
        <v>3.5999999999999997E-2</v>
      </c>
      <c r="I1764" s="11">
        <v>342000</v>
      </c>
      <c r="J1764" s="20">
        <v>342000</v>
      </c>
      <c r="K17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5" spans="1:11" hidden="1" x14ac:dyDescent="0.25">
      <c r="A1765" s="11"/>
      <c r="B1765" s="11"/>
      <c r="C1765" s="5"/>
      <c r="G1765" s="11"/>
      <c r="H1765" s="5"/>
      <c r="I1765" s="11"/>
      <c r="J1765" s="20"/>
      <c r="K17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6" spans="1:11" x14ac:dyDescent="0.25">
      <c r="A1766" s="11"/>
      <c r="B1766" s="11" t="s">
        <v>523</v>
      </c>
      <c r="C1766" s="5" t="s">
        <v>133</v>
      </c>
      <c r="D1766">
        <v>500</v>
      </c>
      <c r="E1766">
        <v>4</v>
      </c>
      <c r="F1766">
        <v>20</v>
      </c>
      <c r="G1766" s="11">
        <v>1</v>
      </c>
      <c r="H1766" s="5">
        <v>0.04</v>
      </c>
      <c r="I1766" s="11">
        <v>368000</v>
      </c>
      <c r="J1766" s="20">
        <v>368000</v>
      </c>
      <c r="K17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7" spans="1:11" hidden="1" x14ac:dyDescent="0.25">
      <c r="A1767" s="11"/>
      <c r="B1767" s="11"/>
      <c r="C1767" s="5"/>
      <c r="G1767" s="11"/>
      <c r="H1767" s="5"/>
      <c r="I1767" s="11"/>
      <c r="J1767" s="20"/>
      <c r="K17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8" spans="1:11" x14ac:dyDescent="0.25">
      <c r="A1768" s="11"/>
      <c r="B1768" s="11" t="s">
        <v>463</v>
      </c>
      <c r="C1768" s="5" t="s">
        <v>45</v>
      </c>
      <c r="D1768">
        <v>500</v>
      </c>
      <c r="E1768">
        <v>4</v>
      </c>
      <c r="F1768">
        <v>30</v>
      </c>
      <c r="G1768" s="11">
        <v>1</v>
      </c>
      <c r="H1768" s="5">
        <v>0.06</v>
      </c>
      <c r="I1768" s="11">
        <v>570000</v>
      </c>
      <c r="J1768" s="20">
        <v>570000</v>
      </c>
      <c r="K17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69" spans="1:11" hidden="1" x14ac:dyDescent="0.25">
      <c r="A1769" s="11"/>
      <c r="B1769" s="11"/>
      <c r="C1769" s="5"/>
      <c r="G1769" s="11"/>
      <c r="H1769" s="5"/>
      <c r="I1769" s="11"/>
      <c r="J1769" s="20"/>
      <c r="K17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0" spans="1:11" hidden="1" x14ac:dyDescent="0.25">
      <c r="A1770" s="11"/>
      <c r="B1770" s="11"/>
      <c r="C1770" s="5"/>
      <c r="G1770" s="11"/>
      <c r="H1770" s="5"/>
      <c r="I1770" s="11"/>
      <c r="J1770" s="20"/>
      <c r="K17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1" spans="1:11" x14ac:dyDescent="0.25">
      <c r="A1771" s="11" t="s">
        <v>242</v>
      </c>
      <c r="B1771" s="11" t="s">
        <v>489</v>
      </c>
      <c r="C1771" s="5" t="s">
        <v>80</v>
      </c>
      <c r="D1771">
        <v>400</v>
      </c>
      <c r="E1771">
        <v>5</v>
      </c>
      <c r="F1771">
        <v>20</v>
      </c>
      <c r="G1771" s="11">
        <v>4</v>
      </c>
      <c r="H1771" s="5">
        <v>0.16</v>
      </c>
      <c r="I1771" s="11">
        <v>960000</v>
      </c>
      <c r="J1771" s="20">
        <v>3840000</v>
      </c>
      <c r="K17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772" spans="1:11" hidden="1" x14ac:dyDescent="0.25">
      <c r="A1772" s="11"/>
      <c r="B1772" s="11"/>
      <c r="C1772" s="5"/>
      <c r="G1772" s="11"/>
      <c r="H1772" s="5"/>
      <c r="I1772" s="11"/>
      <c r="J1772" s="20"/>
      <c r="K17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3" spans="1:11" x14ac:dyDescent="0.25">
      <c r="A1773" s="11"/>
      <c r="B1773" s="11" t="s">
        <v>461</v>
      </c>
      <c r="C1773" s="5" t="s">
        <v>42</v>
      </c>
      <c r="D1773">
        <v>500</v>
      </c>
      <c r="E1773">
        <v>5</v>
      </c>
      <c r="F1773">
        <v>25</v>
      </c>
      <c r="G1773" s="11">
        <v>6</v>
      </c>
      <c r="H1773" s="5">
        <v>0.375</v>
      </c>
      <c r="I1773" s="11">
        <v>1531250</v>
      </c>
      <c r="J1773" s="20">
        <v>9187500</v>
      </c>
      <c r="K17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774" spans="1:11" hidden="1" x14ac:dyDescent="0.25">
      <c r="A1774" s="11"/>
      <c r="B1774" s="11"/>
      <c r="C1774" s="5"/>
      <c r="G1774" s="11"/>
      <c r="H1774" s="5"/>
      <c r="I1774" s="11"/>
      <c r="J1774" s="20"/>
      <c r="K17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5" spans="1:11" hidden="1" x14ac:dyDescent="0.25">
      <c r="A1775" s="11"/>
      <c r="B1775" s="11"/>
      <c r="C1775" s="5"/>
      <c r="G1775" s="11"/>
      <c r="H1775" s="5"/>
      <c r="I1775" s="11"/>
      <c r="J1775" s="20"/>
      <c r="K17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6" spans="1:11" x14ac:dyDescent="0.25">
      <c r="A1776" s="11" t="s">
        <v>242</v>
      </c>
      <c r="B1776" s="11" t="s">
        <v>433</v>
      </c>
      <c r="C1776" s="5" t="s">
        <v>9</v>
      </c>
      <c r="D1776">
        <v>400</v>
      </c>
      <c r="E1776">
        <v>4</v>
      </c>
      <c r="F1776">
        <v>20</v>
      </c>
      <c r="G1776" s="11">
        <v>6</v>
      </c>
      <c r="H1776" s="5">
        <v>0.192</v>
      </c>
      <c r="I1776" s="11">
        <v>294400</v>
      </c>
      <c r="J1776" s="20">
        <v>1766400</v>
      </c>
      <c r="K17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7" spans="1:11" hidden="1" x14ac:dyDescent="0.25">
      <c r="A1777" s="11"/>
      <c r="B1777" s="11"/>
      <c r="C1777" s="5"/>
      <c r="G1777" s="11"/>
      <c r="H1777" s="5"/>
      <c r="I1777" s="11"/>
      <c r="J1777" s="20"/>
      <c r="K17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8" spans="1:11" hidden="1" x14ac:dyDescent="0.25">
      <c r="A1778" s="11"/>
      <c r="B1778" s="11"/>
      <c r="C1778" s="5"/>
      <c r="G1778" s="11"/>
      <c r="H1778" s="5"/>
      <c r="I1778" s="11"/>
      <c r="J1778" s="20"/>
      <c r="K17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79" spans="1:11" x14ac:dyDescent="0.25">
      <c r="A1779" s="11" t="s">
        <v>243</v>
      </c>
      <c r="B1779" s="11" t="s">
        <v>490</v>
      </c>
      <c r="C1779" s="5" t="s">
        <v>82</v>
      </c>
      <c r="D1779">
        <v>250</v>
      </c>
      <c r="E1779">
        <v>6</v>
      </c>
      <c r="F1779">
        <v>15</v>
      </c>
      <c r="G1779" s="11">
        <v>22</v>
      </c>
      <c r="H1779" s="5">
        <v>0.495</v>
      </c>
      <c r="I1779" s="11">
        <v>207000</v>
      </c>
      <c r="J1779" s="20">
        <v>4554000</v>
      </c>
      <c r="K17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80" spans="1:11" hidden="1" x14ac:dyDescent="0.25">
      <c r="A1780" s="11"/>
      <c r="B1780" s="11"/>
      <c r="C1780" s="5"/>
      <c r="G1780" s="11"/>
      <c r="H1780" s="5"/>
      <c r="I1780" s="11"/>
      <c r="J1780" s="20"/>
      <c r="K17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1" spans="1:11" x14ac:dyDescent="0.25">
      <c r="A1781" s="11"/>
      <c r="B1781" s="11" t="s">
        <v>503</v>
      </c>
      <c r="C1781" s="5" t="s">
        <v>99</v>
      </c>
      <c r="D1781">
        <v>300</v>
      </c>
      <c r="E1781">
        <v>6</v>
      </c>
      <c r="F1781">
        <v>15</v>
      </c>
      <c r="G1781" s="11">
        <v>8</v>
      </c>
      <c r="H1781" s="5">
        <v>0.216</v>
      </c>
      <c r="I1781" s="11">
        <v>234900</v>
      </c>
      <c r="J1781" s="20">
        <v>1879200</v>
      </c>
      <c r="K17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82" spans="1:11" hidden="1" x14ac:dyDescent="0.25">
      <c r="A1782" s="11"/>
      <c r="B1782" s="11"/>
      <c r="C1782" s="5"/>
      <c r="G1782" s="11"/>
      <c r="H1782" s="5"/>
      <c r="I1782" s="11"/>
      <c r="J1782" s="20"/>
      <c r="K17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3" spans="1:11" hidden="1" x14ac:dyDescent="0.25">
      <c r="A1783" s="11"/>
      <c r="B1783" s="11"/>
      <c r="C1783" s="5"/>
      <c r="G1783" s="11"/>
      <c r="H1783" s="5"/>
      <c r="I1783" s="11"/>
      <c r="J1783" s="20"/>
      <c r="K17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4" spans="1:11" x14ac:dyDescent="0.25">
      <c r="A1784" s="11" t="s">
        <v>243</v>
      </c>
      <c r="B1784" s="11" t="s">
        <v>437</v>
      </c>
      <c r="C1784" s="5" t="s">
        <v>14</v>
      </c>
      <c r="D1784">
        <v>400</v>
      </c>
      <c r="E1784">
        <v>6</v>
      </c>
      <c r="F1784">
        <v>15</v>
      </c>
      <c r="G1784" s="11">
        <v>19</v>
      </c>
      <c r="H1784" s="5">
        <v>0.68400000000000005</v>
      </c>
      <c r="I1784" s="11">
        <v>295200</v>
      </c>
      <c r="J1784" s="20">
        <v>5608800</v>
      </c>
      <c r="K17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85" spans="1:11" hidden="1" x14ac:dyDescent="0.25">
      <c r="A1785" s="11"/>
      <c r="B1785" s="11"/>
      <c r="C1785" s="5"/>
      <c r="G1785" s="11"/>
      <c r="H1785" s="5"/>
      <c r="I1785" s="11"/>
      <c r="J1785" s="20"/>
      <c r="K17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6" spans="1:11" x14ac:dyDescent="0.25">
      <c r="A1786" s="11"/>
      <c r="B1786" s="11" t="s">
        <v>439</v>
      </c>
      <c r="C1786" s="5" t="s">
        <v>16</v>
      </c>
      <c r="D1786">
        <v>400</v>
      </c>
      <c r="E1786">
        <v>3</v>
      </c>
      <c r="F1786">
        <v>30</v>
      </c>
      <c r="G1786" s="11">
        <v>17</v>
      </c>
      <c r="H1786" s="5">
        <v>0.61199999999999999</v>
      </c>
      <c r="I1786" s="11">
        <v>342000</v>
      </c>
      <c r="J1786" s="20">
        <v>5814000</v>
      </c>
      <c r="K17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7" spans="1:11" hidden="1" x14ac:dyDescent="0.25">
      <c r="A1787" s="11"/>
      <c r="B1787" s="11"/>
      <c r="C1787" s="5"/>
      <c r="G1787" s="11"/>
      <c r="H1787" s="5"/>
      <c r="I1787" s="11"/>
      <c r="J1787" s="20"/>
      <c r="K17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8" spans="1:11" hidden="1" x14ac:dyDescent="0.25">
      <c r="A1788" s="11"/>
      <c r="B1788" s="11"/>
      <c r="C1788" s="5"/>
      <c r="G1788" s="11"/>
      <c r="H1788" s="5"/>
      <c r="I1788" s="11"/>
      <c r="J1788" s="20"/>
      <c r="K17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89" spans="1:11" x14ac:dyDescent="0.25">
      <c r="A1789" s="11" t="s">
        <v>244</v>
      </c>
      <c r="B1789" s="11" t="s">
        <v>520</v>
      </c>
      <c r="C1789" s="5" t="s">
        <v>126</v>
      </c>
      <c r="D1789">
        <v>500</v>
      </c>
      <c r="E1789">
        <v>6</v>
      </c>
      <c r="F1789">
        <v>12</v>
      </c>
      <c r="G1789" s="11">
        <v>1</v>
      </c>
      <c r="H1789" s="5">
        <v>3.5999999999999997E-2</v>
      </c>
      <c r="I1789" s="11">
        <v>331200</v>
      </c>
      <c r="J1789" s="20">
        <v>331200</v>
      </c>
      <c r="K17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90" spans="1:11" hidden="1" x14ac:dyDescent="0.25">
      <c r="A1790" s="11"/>
      <c r="B1790" s="11"/>
      <c r="C1790" s="5"/>
      <c r="G1790" s="11"/>
      <c r="H1790" s="5"/>
      <c r="I1790" s="11"/>
      <c r="J1790" s="20"/>
      <c r="K17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1" spans="1:11" hidden="1" x14ac:dyDescent="0.25">
      <c r="A1791" s="11"/>
      <c r="B1791" s="11"/>
      <c r="C1791" s="5"/>
      <c r="G1791" s="11"/>
      <c r="H1791" s="5"/>
      <c r="I1791" s="11"/>
      <c r="J1791" s="20"/>
      <c r="K17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2" spans="1:11" x14ac:dyDescent="0.25">
      <c r="A1792" s="11" t="s">
        <v>244</v>
      </c>
      <c r="B1792" s="11" t="s">
        <v>433</v>
      </c>
      <c r="C1792" s="5" t="s">
        <v>9</v>
      </c>
      <c r="D1792">
        <v>400</v>
      </c>
      <c r="E1792">
        <v>4</v>
      </c>
      <c r="F1792">
        <v>20</v>
      </c>
      <c r="G1792" s="11">
        <v>2</v>
      </c>
      <c r="H1792" s="5">
        <v>6.4000000000000001E-2</v>
      </c>
      <c r="I1792" s="11">
        <v>294400</v>
      </c>
      <c r="J1792" s="20">
        <v>588800</v>
      </c>
      <c r="K17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3" spans="1:11" hidden="1" x14ac:dyDescent="0.25">
      <c r="A1793" s="11"/>
      <c r="B1793" s="11"/>
      <c r="C1793" s="5"/>
      <c r="G1793" s="11"/>
      <c r="H1793" s="5"/>
      <c r="I1793" s="11"/>
      <c r="J1793" s="20"/>
      <c r="K17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4" spans="1:11" x14ac:dyDescent="0.25">
      <c r="A1794" s="11"/>
      <c r="B1794" s="11" t="s">
        <v>443</v>
      </c>
      <c r="C1794" s="5" t="s">
        <v>21</v>
      </c>
      <c r="D1794">
        <v>400</v>
      </c>
      <c r="E1794">
        <v>4</v>
      </c>
      <c r="F1794">
        <v>25</v>
      </c>
      <c r="G1794" s="11">
        <v>3</v>
      </c>
      <c r="H1794" s="5">
        <v>0.12</v>
      </c>
      <c r="I1794" s="11">
        <v>372000</v>
      </c>
      <c r="J1794" s="20">
        <v>1116000</v>
      </c>
      <c r="K17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5" spans="1:11" hidden="1" x14ac:dyDescent="0.25">
      <c r="A1795" s="11"/>
      <c r="B1795" s="11"/>
      <c r="C1795" s="5"/>
      <c r="G1795" s="11"/>
      <c r="H1795" s="5"/>
      <c r="I1795" s="11"/>
      <c r="J1795" s="20"/>
      <c r="K17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6" spans="1:11" x14ac:dyDescent="0.25">
      <c r="A1796" s="11"/>
      <c r="B1796" s="11" t="s">
        <v>434</v>
      </c>
      <c r="C1796" s="5" t="s">
        <v>10</v>
      </c>
      <c r="D1796">
        <v>400</v>
      </c>
      <c r="E1796">
        <v>4</v>
      </c>
      <c r="F1796">
        <v>30</v>
      </c>
      <c r="G1796" s="11">
        <v>1</v>
      </c>
      <c r="H1796" s="5">
        <v>4.8000000000000001E-2</v>
      </c>
      <c r="I1796" s="11">
        <v>456000</v>
      </c>
      <c r="J1796" s="20">
        <v>456000</v>
      </c>
      <c r="K17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7" spans="1:11" hidden="1" x14ac:dyDescent="0.25">
      <c r="A1797" s="11"/>
      <c r="B1797" s="11"/>
      <c r="C1797" s="5"/>
      <c r="G1797" s="11"/>
      <c r="H1797" s="5"/>
      <c r="I1797" s="11"/>
      <c r="J1797" s="20"/>
      <c r="K17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798" spans="1:11" x14ac:dyDescent="0.25">
      <c r="A1798" s="11"/>
      <c r="B1798" s="11" t="s">
        <v>481</v>
      </c>
      <c r="C1798" s="5" t="s">
        <v>68</v>
      </c>
      <c r="D1798">
        <v>400</v>
      </c>
      <c r="E1798">
        <v>6</v>
      </c>
      <c r="F1798">
        <v>15</v>
      </c>
      <c r="G1798" s="11">
        <v>1</v>
      </c>
      <c r="H1798" s="5">
        <v>3.5999999999999997E-2</v>
      </c>
      <c r="I1798" s="11">
        <v>313200</v>
      </c>
      <c r="J1798" s="20">
        <v>313200</v>
      </c>
      <c r="K17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799" spans="1:11" hidden="1" x14ac:dyDescent="0.25">
      <c r="A1799" s="11"/>
      <c r="B1799" s="11"/>
      <c r="C1799" s="5"/>
      <c r="G1799" s="11"/>
      <c r="H1799" s="5"/>
      <c r="I1799" s="11"/>
      <c r="J1799" s="20"/>
      <c r="K17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0" spans="1:11" x14ac:dyDescent="0.25">
      <c r="A1800" s="11"/>
      <c r="B1800" s="11" t="s">
        <v>498</v>
      </c>
      <c r="C1800" s="5" t="s">
        <v>92</v>
      </c>
      <c r="D1800">
        <v>500</v>
      </c>
      <c r="E1800">
        <v>6</v>
      </c>
      <c r="F1800">
        <v>15</v>
      </c>
      <c r="G1800" s="11">
        <v>2</v>
      </c>
      <c r="H1800" s="5">
        <v>0.09</v>
      </c>
      <c r="I1800" s="11">
        <v>414000</v>
      </c>
      <c r="J1800" s="20">
        <v>828000</v>
      </c>
      <c r="K18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01" spans="1:11" hidden="1" x14ac:dyDescent="0.25">
      <c r="A1801" s="11"/>
      <c r="B1801" s="11"/>
      <c r="C1801" s="5"/>
      <c r="G1801" s="11"/>
      <c r="H1801" s="5"/>
      <c r="I1801" s="11"/>
      <c r="J1801" s="20"/>
      <c r="K18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2" spans="1:11" hidden="1" x14ac:dyDescent="0.25">
      <c r="A1802" s="11"/>
      <c r="B1802" s="11"/>
      <c r="C1802" s="5"/>
      <c r="G1802" s="11"/>
      <c r="H1802" s="5"/>
      <c r="I1802" s="11"/>
      <c r="J1802" s="20"/>
      <c r="K18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3" spans="1:11" x14ac:dyDescent="0.25">
      <c r="A1803" s="11" t="s">
        <v>244</v>
      </c>
      <c r="B1803" s="11" t="s">
        <v>470</v>
      </c>
      <c r="C1803" s="5" t="s">
        <v>55</v>
      </c>
      <c r="D1803">
        <v>250</v>
      </c>
      <c r="E1803">
        <v>4</v>
      </c>
      <c r="F1803">
        <v>25</v>
      </c>
      <c r="G1803" s="11">
        <v>18</v>
      </c>
      <c r="H1803" s="5">
        <v>0.45</v>
      </c>
      <c r="I1803" s="11">
        <v>232500</v>
      </c>
      <c r="J1803" s="20">
        <v>4185000</v>
      </c>
      <c r="K18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4" spans="1:11" hidden="1" x14ac:dyDescent="0.25">
      <c r="A1804" s="11"/>
      <c r="B1804" s="11"/>
      <c r="C1804" s="5"/>
      <c r="G1804" s="11"/>
      <c r="H1804" s="5"/>
      <c r="I1804" s="11"/>
      <c r="J1804" s="20"/>
      <c r="K18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5" spans="1:11" x14ac:dyDescent="0.25">
      <c r="A1805" s="11"/>
      <c r="B1805" s="11" t="s">
        <v>490</v>
      </c>
      <c r="C1805" s="5" t="s">
        <v>82</v>
      </c>
      <c r="D1805">
        <v>250</v>
      </c>
      <c r="E1805">
        <v>6</v>
      </c>
      <c r="F1805">
        <v>15</v>
      </c>
      <c r="G1805" s="11">
        <v>9</v>
      </c>
      <c r="H1805" s="5">
        <v>0.20250000000000001</v>
      </c>
      <c r="I1805" s="11">
        <v>207000</v>
      </c>
      <c r="J1805" s="20">
        <v>1863000</v>
      </c>
      <c r="K18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06" spans="1:11" hidden="1" x14ac:dyDescent="0.25">
      <c r="A1806" s="11"/>
      <c r="B1806" s="11"/>
      <c r="C1806" s="5"/>
      <c r="G1806" s="11"/>
      <c r="H1806" s="5"/>
      <c r="I1806" s="11"/>
      <c r="J1806" s="20"/>
      <c r="K18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7" spans="1:11" hidden="1" x14ac:dyDescent="0.25">
      <c r="A1807" s="11"/>
      <c r="B1807" s="11"/>
      <c r="C1807" s="5"/>
      <c r="G1807" s="11"/>
      <c r="H1807" s="5"/>
      <c r="I1807" s="11"/>
      <c r="J1807" s="20"/>
      <c r="K18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8" spans="1:11" x14ac:dyDescent="0.25">
      <c r="A1808" s="11" t="s">
        <v>244</v>
      </c>
      <c r="B1808" s="11" t="s">
        <v>440</v>
      </c>
      <c r="C1808" s="5" t="s">
        <v>17</v>
      </c>
      <c r="D1808">
        <v>500</v>
      </c>
      <c r="E1808">
        <v>4</v>
      </c>
      <c r="F1808">
        <v>25</v>
      </c>
      <c r="G1808" s="11">
        <v>3</v>
      </c>
      <c r="H1808" s="5">
        <v>0.15</v>
      </c>
      <c r="I1808" s="11">
        <v>465000</v>
      </c>
      <c r="J1808" s="20">
        <v>1395000</v>
      </c>
      <c r="K18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09" spans="1:11" hidden="1" x14ac:dyDescent="0.25">
      <c r="A1809" s="11"/>
      <c r="B1809" s="11"/>
      <c r="C1809" s="5"/>
      <c r="G1809" s="11"/>
      <c r="H1809" s="5"/>
      <c r="I1809" s="11"/>
      <c r="J1809" s="20"/>
      <c r="K18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10" spans="1:11" hidden="1" x14ac:dyDescent="0.25">
      <c r="A1810" s="11"/>
      <c r="B1810" s="11"/>
      <c r="C1810" s="5"/>
      <c r="G1810" s="11"/>
      <c r="H1810" s="5"/>
      <c r="I1810" s="11"/>
      <c r="J1810" s="20"/>
      <c r="K18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11" spans="1:11" x14ac:dyDescent="0.25">
      <c r="A1811" s="11" t="s">
        <v>244</v>
      </c>
      <c r="B1811" s="11" t="s">
        <v>502</v>
      </c>
      <c r="C1811" s="5" t="s">
        <v>98</v>
      </c>
      <c r="D1811">
        <v>400</v>
      </c>
      <c r="E1811">
        <v>5</v>
      </c>
      <c r="F1811">
        <v>15</v>
      </c>
      <c r="G1811" s="11">
        <v>7</v>
      </c>
      <c r="H1811" s="5">
        <v>0.21</v>
      </c>
      <c r="I1811" s="11">
        <v>273000</v>
      </c>
      <c r="J1811" s="20">
        <v>1911000</v>
      </c>
      <c r="K18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12" spans="1:11" hidden="1" x14ac:dyDescent="0.25">
      <c r="A1812" s="11"/>
      <c r="B1812" s="11"/>
      <c r="C1812" s="5"/>
      <c r="G1812" s="11"/>
      <c r="H1812" s="5"/>
      <c r="I1812" s="11"/>
      <c r="J1812" s="20"/>
      <c r="K18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13" spans="1:11" x14ac:dyDescent="0.25">
      <c r="A1813" s="11"/>
      <c r="B1813" s="11" t="s">
        <v>453</v>
      </c>
      <c r="C1813" s="5" t="s">
        <v>34</v>
      </c>
      <c r="D1813">
        <v>400</v>
      </c>
      <c r="E1813">
        <v>5</v>
      </c>
      <c r="F1813">
        <v>20</v>
      </c>
      <c r="G1813" s="11">
        <v>1</v>
      </c>
      <c r="H1813" s="5">
        <v>0.04</v>
      </c>
      <c r="I1813" s="11">
        <v>380000</v>
      </c>
      <c r="J1813" s="20">
        <v>380000</v>
      </c>
      <c r="K18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814" spans="1:11" hidden="1" x14ac:dyDescent="0.25">
      <c r="A1814" s="11"/>
      <c r="B1814" s="11"/>
      <c r="C1814" s="5"/>
      <c r="G1814" s="11"/>
      <c r="H1814" s="5"/>
      <c r="I1814" s="11"/>
      <c r="J1814" s="20"/>
      <c r="K18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15" spans="1:11" x14ac:dyDescent="0.25">
      <c r="A1815" s="11"/>
      <c r="B1815" s="11" t="s">
        <v>481</v>
      </c>
      <c r="C1815" s="5" t="s">
        <v>68</v>
      </c>
      <c r="D1815">
        <v>400</v>
      </c>
      <c r="E1815">
        <v>6</v>
      </c>
      <c r="F1815">
        <v>15</v>
      </c>
      <c r="G1815" s="11">
        <v>1</v>
      </c>
      <c r="H1815" s="5">
        <v>3.5999999999999997E-2</v>
      </c>
      <c r="I1815" s="11">
        <v>313200</v>
      </c>
      <c r="J1815" s="20">
        <v>313200</v>
      </c>
      <c r="K18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16" spans="1:11" hidden="1" x14ac:dyDescent="0.25">
      <c r="A1816" s="11"/>
      <c r="B1816" s="11"/>
      <c r="C1816" s="5"/>
      <c r="G1816" s="11"/>
      <c r="H1816" s="5"/>
      <c r="I1816" s="11"/>
      <c r="J1816" s="20"/>
      <c r="K18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17" spans="1:11" x14ac:dyDescent="0.25">
      <c r="A1817" s="11"/>
      <c r="B1817" s="11" t="s">
        <v>471</v>
      </c>
      <c r="C1817" s="5" t="s">
        <v>56</v>
      </c>
      <c r="D1817">
        <v>500</v>
      </c>
      <c r="E1817">
        <v>5</v>
      </c>
      <c r="F1817">
        <v>15</v>
      </c>
      <c r="G1817" s="11">
        <v>3</v>
      </c>
      <c r="H1817" s="5">
        <v>0.1125</v>
      </c>
      <c r="I1817" s="11">
        <v>360000</v>
      </c>
      <c r="J1817" s="20">
        <v>1080000</v>
      </c>
      <c r="K18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18" spans="1:11" hidden="1" x14ac:dyDescent="0.25">
      <c r="A1818" s="11"/>
      <c r="B1818" s="11"/>
      <c r="C1818" s="5"/>
      <c r="G1818" s="11"/>
      <c r="H1818" s="5"/>
      <c r="I1818" s="11"/>
      <c r="J1818" s="20"/>
      <c r="K18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19" spans="1:11" x14ac:dyDescent="0.25">
      <c r="A1819" s="11"/>
      <c r="B1819" s="11" t="s">
        <v>520</v>
      </c>
      <c r="C1819" s="5" t="s">
        <v>126</v>
      </c>
      <c r="D1819">
        <v>500</v>
      </c>
      <c r="E1819">
        <v>6</v>
      </c>
      <c r="F1819">
        <v>12</v>
      </c>
      <c r="G1819" s="11">
        <v>1</v>
      </c>
      <c r="H1819" s="5">
        <v>3.5999999999999997E-2</v>
      </c>
      <c r="I1819" s="11">
        <v>331200</v>
      </c>
      <c r="J1819" s="20">
        <v>331200</v>
      </c>
      <c r="K18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20" spans="1:11" hidden="1" x14ac:dyDescent="0.25">
      <c r="A1820" s="11"/>
      <c r="B1820" s="11"/>
      <c r="C1820" s="5"/>
      <c r="G1820" s="11"/>
      <c r="H1820" s="5"/>
      <c r="I1820" s="11"/>
      <c r="J1820" s="20"/>
      <c r="K18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1" spans="1:11" hidden="1" x14ac:dyDescent="0.25">
      <c r="A1821" s="11"/>
      <c r="B1821" s="11"/>
      <c r="C1821" s="5"/>
      <c r="G1821" s="11"/>
      <c r="H1821" s="5"/>
      <c r="I1821" s="11"/>
      <c r="J1821" s="20"/>
      <c r="K18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2" spans="1:11" x14ac:dyDescent="0.25">
      <c r="A1822" s="11" t="s">
        <v>244</v>
      </c>
      <c r="B1822" s="11" t="s">
        <v>468</v>
      </c>
      <c r="C1822" s="5" t="s">
        <v>51</v>
      </c>
      <c r="D1822">
        <v>500</v>
      </c>
      <c r="E1822">
        <v>6</v>
      </c>
      <c r="F1822">
        <v>15</v>
      </c>
      <c r="G1822" s="11">
        <v>1</v>
      </c>
      <c r="H1822" s="5">
        <v>4.4999999999999998E-2</v>
      </c>
      <c r="I1822" s="11">
        <v>1017000</v>
      </c>
      <c r="J1822" s="20">
        <v>1017000</v>
      </c>
      <c r="K18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23" spans="1:11" hidden="1" x14ac:dyDescent="0.25">
      <c r="A1823" s="11"/>
      <c r="B1823" s="11"/>
      <c r="C1823" s="5"/>
      <c r="G1823" s="11"/>
      <c r="H1823" s="5"/>
      <c r="I1823" s="11"/>
      <c r="J1823" s="20"/>
      <c r="K18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4" spans="1:11" hidden="1" x14ac:dyDescent="0.25">
      <c r="A1824" s="11"/>
      <c r="B1824" s="11"/>
      <c r="C1824" s="5"/>
      <c r="G1824" s="11"/>
      <c r="H1824" s="5"/>
      <c r="I1824" s="11"/>
      <c r="J1824" s="20"/>
      <c r="K18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5" spans="1:11" x14ac:dyDescent="0.25">
      <c r="A1825" s="11" t="s">
        <v>244</v>
      </c>
      <c r="B1825" s="11" t="s">
        <v>457</v>
      </c>
      <c r="C1825" s="5" t="s">
        <v>38</v>
      </c>
      <c r="D1825">
        <v>300</v>
      </c>
      <c r="E1825">
        <v>4</v>
      </c>
      <c r="F1825">
        <v>25</v>
      </c>
      <c r="G1825" s="11">
        <v>1</v>
      </c>
      <c r="H1825" s="5">
        <v>0.03</v>
      </c>
      <c r="I1825" s="11">
        <v>717000</v>
      </c>
      <c r="J1825" s="20">
        <v>717000</v>
      </c>
      <c r="K18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6" spans="1:11" hidden="1" x14ac:dyDescent="0.25">
      <c r="A1826" s="11"/>
      <c r="B1826" s="11"/>
      <c r="C1826" s="5"/>
      <c r="G1826" s="11"/>
      <c r="H1826" s="5"/>
      <c r="I1826" s="11"/>
      <c r="J1826" s="20"/>
      <c r="K18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7" spans="1:11" x14ac:dyDescent="0.25">
      <c r="A1827" s="11"/>
      <c r="B1827" s="11" t="s">
        <v>507</v>
      </c>
      <c r="C1827" s="5" t="s">
        <v>104</v>
      </c>
      <c r="D1827">
        <v>400</v>
      </c>
      <c r="E1827">
        <v>4</v>
      </c>
      <c r="F1827">
        <v>25</v>
      </c>
      <c r="G1827" s="11">
        <v>2</v>
      </c>
      <c r="H1827" s="5">
        <v>0.08</v>
      </c>
      <c r="I1827" s="11">
        <v>956000</v>
      </c>
      <c r="J1827" s="20">
        <v>1912000</v>
      </c>
      <c r="K18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8" spans="1:11" hidden="1" x14ac:dyDescent="0.25">
      <c r="A1828" s="11"/>
      <c r="B1828" s="11"/>
      <c r="C1828" s="5"/>
      <c r="G1828" s="11"/>
      <c r="H1828" s="5"/>
      <c r="I1828" s="11"/>
      <c r="J1828" s="20"/>
      <c r="K18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29" spans="1:11" x14ac:dyDescent="0.25">
      <c r="A1829" s="11"/>
      <c r="B1829" s="11" t="s">
        <v>524</v>
      </c>
      <c r="C1829" s="5" t="s">
        <v>137</v>
      </c>
      <c r="D1829">
        <v>400</v>
      </c>
      <c r="E1829">
        <v>4</v>
      </c>
      <c r="F1829">
        <v>30</v>
      </c>
      <c r="G1829" s="11">
        <v>4</v>
      </c>
      <c r="H1829" s="5">
        <v>0.192</v>
      </c>
      <c r="I1829" s="11">
        <v>1171200</v>
      </c>
      <c r="J1829" s="20">
        <v>4684800</v>
      </c>
      <c r="K18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0" spans="1:11" hidden="1" x14ac:dyDescent="0.25">
      <c r="A1830" s="11"/>
      <c r="B1830" s="11"/>
      <c r="C1830" s="5"/>
      <c r="G1830" s="11"/>
      <c r="H1830" s="5"/>
      <c r="I1830" s="11"/>
      <c r="J1830" s="20"/>
      <c r="K18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1" spans="1:11" x14ac:dyDescent="0.25">
      <c r="A1831" s="11"/>
      <c r="B1831" s="11" t="s">
        <v>565</v>
      </c>
      <c r="C1831" s="5" t="s">
        <v>245</v>
      </c>
      <c r="D1831">
        <v>400</v>
      </c>
      <c r="E1831">
        <v>4</v>
      </c>
      <c r="F1831">
        <v>35</v>
      </c>
      <c r="G1831" s="11">
        <v>4</v>
      </c>
      <c r="H1831" s="5">
        <v>0.224</v>
      </c>
      <c r="I1831" s="11">
        <v>1388800</v>
      </c>
      <c r="J1831" s="20">
        <v>5555200</v>
      </c>
      <c r="K18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2" spans="1:11" hidden="1" x14ac:dyDescent="0.25">
      <c r="A1832" s="11"/>
      <c r="B1832" s="11"/>
      <c r="C1832" s="5"/>
      <c r="G1832" s="11"/>
      <c r="H1832" s="5"/>
      <c r="I1832" s="11"/>
      <c r="J1832" s="20"/>
      <c r="K18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3" spans="1:11" hidden="1" x14ac:dyDescent="0.25">
      <c r="A1833" s="11"/>
      <c r="B1833" s="11"/>
      <c r="C1833" s="5"/>
      <c r="G1833" s="11"/>
      <c r="H1833" s="5"/>
      <c r="I1833" s="11"/>
      <c r="J1833" s="20"/>
      <c r="K18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4" spans="1:11" x14ac:dyDescent="0.25">
      <c r="A1834" s="11" t="s">
        <v>246</v>
      </c>
      <c r="B1834" s="11" t="s">
        <v>442</v>
      </c>
      <c r="C1834" s="5" t="s">
        <v>20</v>
      </c>
      <c r="D1834">
        <v>400</v>
      </c>
      <c r="E1834">
        <v>6</v>
      </c>
      <c r="F1834">
        <v>12</v>
      </c>
      <c r="G1834" s="11">
        <v>4</v>
      </c>
      <c r="H1834" s="5">
        <v>0.1152</v>
      </c>
      <c r="I1834" s="11">
        <v>636480</v>
      </c>
      <c r="J1834" s="20">
        <v>2545920</v>
      </c>
      <c r="K18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35" spans="1:11" hidden="1" x14ac:dyDescent="0.25">
      <c r="A1835" s="11"/>
      <c r="B1835" s="11"/>
      <c r="C1835" s="5"/>
      <c r="G1835" s="11"/>
      <c r="H1835" s="5"/>
      <c r="I1835" s="11"/>
      <c r="J1835" s="20"/>
      <c r="K18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6" spans="1:11" x14ac:dyDescent="0.25">
      <c r="A1836" s="11"/>
      <c r="B1836" s="11" t="s">
        <v>531</v>
      </c>
      <c r="C1836" s="5" t="s">
        <v>149</v>
      </c>
      <c r="D1836">
        <v>500</v>
      </c>
      <c r="E1836">
        <v>4</v>
      </c>
      <c r="F1836">
        <v>20</v>
      </c>
      <c r="G1836" s="11">
        <v>4</v>
      </c>
      <c r="H1836" s="5">
        <v>0.16</v>
      </c>
      <c r="I1836" s="11">
        <v>972000</v>
      </c>
      <c r="J1836" s="20">
        <v>3888000</v>
      </c>
      <c r="K18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7" spans="1:11" hidden="1" x14ac:dyDescent="0.25">
      <c r="A1837" s="11"/>
      <c r="B1837" s="11"/>
      <c r="C1837" s="5"/>
      <c r="G1837" s="11"/>
      <c r="H1837" s="5"/>
      <c r="I1837" s="11"/>
      <c r="J1837" s="20"/>
      <c r="K18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8" spans="1:11" hidden="1" x14ac:dyDescent="0.25">
      <c r="A1838" s="11"/>
      <c r="B1838" s="11"/>
      <c r="C1838" s="5"/>
      <c r="G1838" s="11"/>
      <c r="H1838" s="5"/>
      <c r="I1838" s="11"/>
      <c r="J1838" s="20"/>
      <c r="K18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39" spans="1:11" x14ac:dyDescent="0.25">
      <c r="A1839" s="11" t="s">
        <v>246</v>
      </c>
      <c r="B1839" s="11" t="s">
        <v>523</v>
      </c>
      <c r="C1839" s="5" t="s">
        <v>133</v>
      </c>
      <c r="D1839">
        <v>500</v>
      </c>
      <c r="E1839">
        <v>4</v>
      </c>
      <c r="F1839">
        <v>20</v>
      </c>
      <c r="G1839" s="11">
        <v>1</v>
      </c>
      <c r="H1839" s="5">
        <v>0.04</v>
      </c>
      <c r="I1839" s="11">
        <v>368000</v>
      </c>
      <c r="J1839" s="20">
        <v>368000</v>
      </c>
      <c r="K18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0" spans="1:11" hidden="1" x14ac:dyDescent="0.25">
      <c r="A1840" s="11"/>
      <c r="B1840" s="11"/>
      <c r="C1840" s="5"/>
      <c r="G1840" s="11"/>
      <c r="H1840" s="5"/>
      <c r="I1840" s="11"/>
      <c r="J1840" s="20"/>
      <c r="K18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1" spans="1:11" x14ac:dyDescent="0.25">
      <c r="A1841" s="11"/>
      <c r="B1841" s="11" t="s">
        <v>440</v>
      </c>
      <c r="C1841" s="5" t="s">
        <v>17</v>
      </c>
      <c r="D1841">
        <v>500</v>
      </c>
      <c r="E1841">
        <v>4</v>
      </c>
      <c r="F1841">
        <v>25</v>
      </c>
      <c r="G1841" s="11">
        <v>2</v>
      </c>
      <c r="H1841" s="5">
        <v>0.1</v>
      </c>
      <c r="I1841" s="11">
        <v>465000</v>
      </c>
      <c r="J1841" s="20">
        <v>930000</v>
      </c>
      <c r="K18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2" spans="1:11" hidden="1" x14ac:dyDescent="0.25">
      <c r="A1842" s="11"/>
      <c r="B1842" s="11"/>
      <c r="C1842" s="5"/>
      <c r="G1842" s="11"/>
      <c r="H1842" s="5"/>
      <c r="I1842" s="11"/>
      <c r="J1842" s="20"/>
      <c r="K18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3" spans="1:11" hidden="1" x14ac:dyDescent="0.25">
      <c r="A1843" s="11"/>
      <c r="B1843" s="11"/>
      <c r="C1843" s="5"/>
      <c r="G1843" s="11"/>
      <c r="H1843" s="5"/>
      <c r="I1843" s="11"/>
      <c r="J1843" s="20"/>
      <c r="K18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4" spans="1:11" x14ac:dyDescent="0.25">
      <c r="A1844" s="11" t="s">
        <v>246</v>
      </c>
      <c r="B1844" s="11" t="s">
        <v>452</v>
      </c>
      <c r="C1844" s="5" t="s">
        <v>32</v>
      </c>
      <c r="D1844">
        <v>500</v>
      </c>
      <c r="E1844">
        <v>6</v>
      </c>
      <c r="F1844">
        <v>17</v>
      </c>
      <c r="G1844" s="11">
        <v>2</v>
      </c>
      <c r="H1844" s="5">
        <v>0.10199999999999999</v>
      </c>
      <c r="I1844" s="11">
        <v>489600</v>
      </c>
      <c r="J1844" s="20">
        <v>979200</v>
      </c>
      <c r="K18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45" spans="1:11" hidden="1" x14ac:dyDescent="0.25">
      <c r="A1845" s="11"/>
      <c r="B1845" s="11"/>
      <c r="C1845" s="5"/>
      <c r="G1845" s="11"/>
      <c r="H1845" s="5"/>
      <c r="I1845" s="11"/>
      <c r="J1845" s="20"/>
      <c r="K18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6" spans="1:11" hidden="1" x14ac:dyDescent="0.25">
      <c r="A1846" s="11"/>
      <c r="B1846" s="11"/>
      <c r="C1846" s="5"/>
      <c r="G1846" s="11"/>
      <c r="H1846" s="5"/>
      <c r="I1846" s="11"/>
      <c r="J1846" s="20"/>
      <c r="K18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7" spans="1:11" x14ac:dyDescent="0.25">
      <c r="A1847" s="11" t="s">
        <v>246</v>
      </c>
      <c r="B1847" s="11" t="s">
        <v>451</v>
      </c>
      <c r="C1847" s="5" t="s">
        <v>30</v>
      </c>
      <c r="D1847">
        <v>90</v>
      </c>
      <c r="E1847">
        <v>6</v>
      </c>
      <c r="F1847">
        <v>15</v>
      </c>
      <c r="G1847" s="11">
        <v>2</v>
      </c>
      <c r="H1847" s="5">
        <v>1.6199999999999999E-2</v>
      </c>
      <c r="I1847" s="11">
        <v>163620</v>
      </c>
      <c r="J1847" s="20">
        <v>327240</v>
      </c>
      <c r="K18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48" spans="1:11" hidden="1" x14ac:dyDescent="0.25">
      <c r="A1848" s="11"/>
      <c r="B1848" s="11"/>
      <c r="C1848" s="5"/>
      <c r="G1848" s="11"/>
      <c r="H1848" s="5"/>
      <c r="I1848" s="11"/>
      <c r="J1848" s="20"/>
      <c r="K18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49" spans="1:11" hidden="1" x14ac:dyDescent="0.25">
      <c r="A1849" s="11"/>
      <c r="B1849" s="11"/>
      <c r="C1849" s="5"/>
      <c r="G1849" s="11"/>
      <c r="H1849" s="5"/>
      <c r="I1849" s="11"/>
      <c r="J1849" s="20"/>
      <c r="K18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0" spans="1:11" x14ac:dyDescent="0.25">
      <c r="A1850" s="11" t="s">
        <v>246</v>
      </c>
      <c r="B1850" s="11" t="s">
        <v>455</v>
      </c>
      <c r="C1850" s="5" t="s">
        <v>36</v>
      </c>
      <c r="D1850">
        <v>400</v>
      </c>
      <c r="E1850">
        <v>3</v>
      </c>
      <c r="F1850">
        <v>20</v>
      </c>
      <c r="G1850" s="11">
        <v>1</v>
      </c>
      <c r="H1850" s="5">
        <v>2.4E-2</v>
      </c>
      <c r="I1850" s="11">
        <v>220800</v>
      </c>
      <c r="J1850" s="20">
        <v>220800</v>
      </c>
      <c r="K18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1" spans="1:11" hidden="1" x14ac:dyDescent="0.25">
      <c r="A1851" s="11"/>
      <c r="B1851" s="11"/>
      <c r="C1851" s="5"/>
      <c r="G1851" s="11"/>
      <c r="H1851" s="5"/>
      <c r="I1851" s="11"/>
      <c r="J1851" s="20"/>
      <c r="K18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2" spans="1:11" x14ac:dyDescent="0.25">
      <c r="A1852" s="11"/>
      <c r="B1852" s="11" t="s">
        <v>438</v>
      </c>
      <c r="C1852" s="5" t="s">
        <v>15</v>
      </c>
      <c r="D1852">
        <v>400</v>
      </c>
      <c r="E1852">
        <v>3</v>
      </c>
      <c r="F1852">
        <v>25</v>
      </c>
      <c r="G1852" s="11">
        <v>3</v>
      </c>
      <c r="H1852" s="5">
        <v>0.09</v>
      </c>
      <c r="I1852" s="11">
        <v>279000</v>
      </c>
      <c r="J1852" s="20">
        <v>837000</v>
      </c>
      <c r="K18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3" spans="1:11" hidden="1" x14ac:dyDescent="0.25">
      <c r="A1853" s="11"/>
      <c r="B1853" s="11"/>
      <c r="C1853" s="5"/>
      <c r="G1853" s="11"/>
      <c r="H1853" s="5"/>
      <c r="I1853" s="11"/>
      <c r="J1853" s="20"/>
      <c r="K18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4" spans="1:11" x14ac:dyDescent="0.25">
      <c r="A1854" s="11"/>
      <c r="B1854" s="11" t="s">
        <v>443</v>
      </c>
      <c r="C1854" s="5" t="s">
        <v>21</v>
      </c>
      <c r="D1854">
        <v>400</v>
      </c>
      <c r="E1854">
        <v>4</v>
      </c>
      <c r="F1854">
        <v>25</v>
      </c>
      <c r="G1854" s="11">
        <v>2</v>
      </c>
      <c r="H1854" s="5">
        <v>0.08</v>
      </c>
      <c r="I1854" s="11">
        <v>372000</v>
      </c>
      <c r="J1854" s="20">
        <v>744000</v>
      </c>
      <c r="K18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5" spans="1:11" hidden="1" x14ac:dyDescent="0.25">
      <c r="A1855" s="11"/>
      <c r="B1855" s="11"/>
      <c r="C1855" s="5"/>
      <c r="G1855" s="11"/>
      <c r="H1855" s="5"/>
      <c r="I1855" s="11"/>
      <c r="J1855" s="20"/>
      <c r="K18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6" spans="1:11" x14ac:dyDescent="0.25">
      <c r="A1856" s="11"/>
      <c r="B1856" s="11" t="s">
        <v>545</v>
      </c>
      <c r="C1856" s="5" t="s">
        <v>178</v>
      </c>
      <c r="D1856">
        <v>400</v>
      </c>
      <c r="E1856">
        <v>8</v>
      </c>
      <c r="F1856">
        <v>15</v>
      </c>
      <c r="G1856" s="11">
        <v>3</v>
      </c>
      <c r="H1856" s="5">
        <v>0.14399999999999999</v>
      </c>
      <c r="I1856" s="11">
        <v>436800</v>
      </c>
      <c r="J1856" s="20">
        <v>1310400</v>
      </c>
      <c r="K18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857" spans="1:11" hidden="1" x14ac:dyDescent="0.25">
      <c r="A1857" s="11"/>
      <c r="B1857" s="11"/>
      <c r="C1857" s="5"/>
      <c r="G1857" s="11"/>
      <c r="H1857" s="5"/>
      <c r="I1857" s="11"/>
      <c r="J1857" s="20"/>
      <c r="K18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58" spans="1:11" x14ac:dyDescent="0.25">
      <c r="A1858" s="11"/>
      <c r="B1858" s="11" t="s">
        <v>498</v>
      </c>
      <c r="C1858" s="5" t="s">
        <v>92</v>
      </c>
      <c r="D1858">
        <v>500</v>
      </c>
      <c r="E1858">
        <v>6</v>
      </c>
      <c r="F1858">
        <v>15</v>
      </c>
      <c r="G1858" s="11">
        <v>1</v>
      </c>
      <c r="H1858" s="5">
        <v>4.4999999999999998E-2</v>
      </c>
      <c r="I1858" s="11">
        <v>414000</v>
      </c>
      <c r="J1858" s="20">
        <v>414000</v>
      </c>
      <c r="K18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59" spans="1:11" hidden="1" x14ac:dyDescent="0.25">
      <c r="A1859" s="11"/>
      <c r="B1859" s="11"/>
      <c r="C1859" s="5"/>
      <c r="G1859" s="11"/>
      <c r="H1859" s="5"/>
      <c r="I1859" s="11"/>
      <c r="J1859" s="20"/>
      <c r="K18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0" spans="1:11" x14ac:dyDescent="0.25">
      <c r="A1860" s="11"/>
      <c r="B1860" s="11" t="s">
        <v>528</v>
      </c>
      <c r="C1860" s="5" t="s">
        <v>145</v>
      </c>
      <c r="D1860">
        <v>500</v>
      </c>
      <c r="E1860">
        <v>8</v>
      </c>
      <c r="F1860">
        <v>15</v>
      </c>
      <c r="G1860" s="11">
        <v>4</v>
      </c>
      <c r="H1860" s="5">
        <v>0.24</v>
      </c>
      <c r="I1860" s="11">
        <v>576000</v>
      </c>
      <c r="J1860" s="20">
        <v>2304000</v>
      </c>
      <c r="K18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861" spans="1:11" hidden="1" x14ac:dyDescent="0.25">
      <c r="A1861" s="11"/>
      <c r="B1861" s="11"/>
      <c r="C1861" s="5"/>
      <c r="G1861" s="11"/>
      <c r="H1861" s="5"/>
      <c r="I1861" s="11"/>
      <c r="J1861" s="20"/>
      <c r="K18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2" spans="1:11" hidden="1" x14ac:dyDescent="0.25">
      <c r="A1862" s="11"/>
      <c r="B1862" s="11"/>
      <c r="C1862" s="5"/>
      <c r="G1862" s="11"/>
      <c r="H1862" s="5"/>
      <c r="I1862" s="11"/>
      <c r="J1862" s="20"/>
      <c r="K18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3" spans="1:11" x14ac:dyDescent="0.25">
      <c r="A1863" s="11" t="s">
        <v>247</v>
      </c>
      <c r="B1863" s="11" t="s">
        <v>435</v>
      </c>
      <c r="C1863" s="5" t="s">
        <v>11</v>
      </c>
      <c r="D1863">
        <v>400</v>
      </c>
      <c r="E1863">
        <v>6</v>
      </c>
      <c r="F1863">
        <v>12</v>
      </c>
      <c r="G1863" s="11">
        <v>3</v>
      </c>
      <c r="H1863" s="5">
        <v>8.6400000000000005E-2</v>
      </c>
      <c r="I1863" s="11">
        <v>250560</v>
      </c>
      <c r="J1863" s="20">
        <v>751680</v>
      </c>
      <c r="K18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64" spans="1:11" hidden="1" x14ac:dyDescent="0.25">
      <c r="A1864" s="11"/>
      <c r="B1864" s="11"/>
      <c r="C1864" s="5"/>
      <c r="G1864" s="11"/>
      <c r="H1864" s="5"/>
      <c r="I1864" s="11"/>
      <c r="J1864" s="20"/>
      <c r="K18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5" spans="1:11" hidden="1" x14ac:dyDescent="0.25">
      <c r="A1865" s="11"/>
      <c r="B1865" s="11"/>
      <c r="C1865" s="5"/>
      <c r="G1865" s="11"/>
      <c r="H1865" s="5"/>
      <c r="I1865" s="11"/>
      <c r="J1865" s="20"/>
      <c r="K18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6" spans="1:11" x14ac:dyDescent="0.25">
      <c r="A1866" s="11" t="s">
        <v>247</v>
      </c>
      <c r="B1866" s="11" t="s">
        <v>513</v>
      </c>
      <c r="C1866" s="5" t="s">
        <v>114</v>
      </c>
      <c r="D1866">
        <v>500</v>
      </c>
      <c r="E1866">
        <v>3</v>
      </c>
      <c r="F1866">
        <v>20</v>
      </c>
      <c r="G1866" s="11">
        <v>10</v>
      </c>
      <c r="H1866" s="5">
        <v>0.3</v>
      </c>
      <c r="I1866" s="11">
        <v>729000</v>
      </c>
      <c r="J1866" s="20">
        <v>7290000</v>
      </c>
      <c r="K18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7" spans="1:11" hidden="1" x14ac:dyDescent="0.25">
      <c r="A1867" s="11"/>
      <c r="B1867" s="11"/>
      <c r="C1867" s="5"/>
      <c r="G1867" s="11"/>
      <c r="H1867" s="5"/>
      <c r="I1867" s="11"/>
      <c r="J1867" s="20"/>
      <c r="K18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8" spans="1:11" x14ac:dyDescent="0.25">
      <c r="A1868" s="11"/>
      <c r="B1868" s="11" t="s">
        <v>566</v>
      </c>
      <c r="C1868" s="5" t="s">
        <v>248</v>
      </c>
      <c r="D1868">
        <v>500</v>
      </c>
      <c r="E1868">
        <v>3</v>
      </c>
      <c r="F1868">
        <v>30</v>
      </c>
      <c r="G1868" s="11">
        <v>3</v>
      </c>
      <c r="H1868" s="5">
        <v>0.13500000000000001</v>
      </c>
      <c r="I1868" s="11">
        <v>427500</v>
      </c>
      <c r="J1868" s="20">
        <v>1282500</v>
      </c>
      <c r="K18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69" spans="1:11" hidden="1" x14ac:dyDescent="0.25">
      <c r="A1869" s="11"/>
      <c r="B1869" s="11"/>
      <c r="C1869" s="5"/>
      <c r="G1869" s="11"/>
      <c r="H1869" s="5"/>
      <c r="I1869" s="11"/>
      <c r="J1869" s="20"/>
      <c r="K18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0" spans="1:11" hidden="1" x14ac:dyDescent="0.25">
      <c r="A1870" s="11"/>
      <c r="B1870" s="11"/>
      <c r="C1870" s="5"/>
      <c r="G1870" s="11"/>
      <c r="H1870" s="5"/>
      <c r="I1870" s="11"/>
      <c r="J1870" s="20"/>
      <c r="K18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1" spans="1:11" x14ac:dyDescent="0.25">
      <c r="A1871" s="11" t="s">
        <v>247</v>
      </c>
      <c r="B1871" s="11" t="s">
        <v>539</v>
      </c>
      <c r="C1871" s="5" t="s">
        <v>163</v>
      </c>
      <c r="D1871">
        <v>400</v>
      </c>
      <c r="E1871">
        <v>5</v>
      </c>
      <c r="F1871">
        <v>7</v>
      </c>
      <c r="G1871" s="11">
        <v>5</v>
      </c>
      <c r="H1871" s="5">
        <v>7.0000000000000007E-2</v>
      </c>
      <c r="I1871" s="11">
        <v>116200</v>
      </c>
      <c r="J1871" s="20">
        <v>581000</v>
      </c>
      <c r="K18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872" spans="1:11" hidden="1" x14ac:dyDescent="0.25">
      <c r="A1872" s="11"/>
      <c r="B1872" s="11"/>
      <c r="C1872" s="5"/>
      <c r="G1872" s="11"/>
      <c r="H1872" s="5"/>
      <c r="I1872" s="11"/>
      <c r="J1872" s="20"/>
      <c r="K18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3" spans="1:11" x14ac:dyDescent="0.25">
      <c r="A1873" s="11"/>
      <c r="B1873" s="11" t="s">
        <v>470</v>
      </c>
      <c r="C1873" s="5" t="s">
        <v>55</v>
      </c>
      <c r="D1873">
        <v>250</v>
      </c>
      <c r="E1873">
        <v>4</v>
      </c>
      <c r="F1873">
        <v>25</v>
      </c>
      <c r="G1873" s="11">
        <v>10</v>
      </c>
      <c r="H1873" s="5">
        <v>0.25</v>
      </c>
      <c r="I1873" s="11">
        <v>232500</v>
      </c>
      <c r="J1873" s="20">
        <v>2325000</v>
      </c>
      <c r="K18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4" spans="1:11" hidden="1" x14ac:dyDescent="0.25">
      <c r="A1874" s="11"/>
      <c r="B1874" s="11"/>
      <c r="C1874" s="5"/>
      <c r="G1874" s="11"/>
      <c r="H1874" s="5"/>
      <c r="I1874" s="11"/>
      <c r="J1874" s="20"/>
      <c r="K18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5" spans="1:11" x14ac:dyDescent="0.25">
      <c r="A1875" s="11"/>
      <c r="B1875" s="11" t="s">
        <v>502</v>
      </c>
      <c r="C1875" s="5" t="s">
        <v>98</v>
      </c>
      <c r="D1875">
        <v>400</v>
      </c>
      <c r="E1875">
        <v>5</v>
      </c>
      <c r="F1875">
        <v>15</v>
      </c>
      <c r="G1875" s="11">
        <v>3</v>
      </c>
      <c r="H1875" s="5">
        <v>0.09</v>
      </c>
      <c r="I1875" s="11">
        <v>273000</v>
      </c>
      <c r="J1875" s="20">
        <v>819000</v>
      </c>
      <c r="K18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76" spans="1:11" hidden="1" x14ac:dyDescent="0.25">
      <c r="A1876" s="11"/>
      <c r="B1876" s="11"/>
      <c r="C1876" s="5"/>
      <c r="G1876" s="11"/>
      <c r="H1876" s="5"/>
      <c r="I1876" s="11"/>
      <c r="J1876" s="20"/>
      <c r="K18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7" spans="1:11" hidden="1" x14ac:dyDescent="0.25">
      <c r="A1877" s="11"/>
      <c r="B1877" s="11"/>
      <c r="C1877" s="5"/>
      <c r="G1877" s="11"/>
      <c r="H1877" s="5"/>
      <c r="I1877" s="11"/>
      <c r="J1877" s="20"/>
      <c r="K18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8" spans="1:11" x14ac:dyDescent="0.25">
      <c r="A1878" s="11" t="s">
        <v>249</v>
      </c>
      <c r="B1878" s="11" t="s">
        <v>440</v>
      </c>
      <c r="C1878" s="5" t="s">
        <v>17</v>
      </c>
      <c r="D1878">
        <v>500</v>
      </c>
      <c r="E1878">
        <v>4</v>
      </c>
      <c r="F1878">
        <v>25</v>
      </c>
      <c r="G1878" s="11">
        <v>3</v>
      </c>
      <c r="H1878" s="5">
        <v>0.15</v>
      </c>
      <c r="I1878" s="11">
        <v>465000</v>
      </c>
      <c r="J1878" s="20">
        <v>1395000</v>
      </c>
      <c r="K18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79" spans="1:11" hidden="1" x14ac:dyDescent="0.25">
      <c r="A1879" s="11"/>
      <c r="B1879" s="11"/>
      <c r="C1879" s="5"/>
      <c r="G1879" s="11"/>
      <c r="H1879" s="5"/>
      <c r="I1879" s="11"/>
      <c r="J1879" s="20"/>
      <c r="K18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0" spans="1:11" x14ac:dyDescent="0.25">
      <c r="A1880" s="11"/>
      <c r="B1880" s="11" t="s">
        <v>463</v>
      </c>
      <c r="C1880" s="5" t="s">
        <v>45</v>
      </c>
      <c r="D1880">
        <v>500</v>
      </c>
      <c r="E1880">
        <v>4</v>
      </c>
      <c r="F1880">
        <v>30</v>
      </c>
      <c r="G1880" s="11">
        <v>2</v>
      </c>
      <c r="H1880" s="5">
        <v>0.12</v>
      </c>
      <c r="I1880" s="11">
        <v>570000</v>
      </c>
      <c r="J1880" s="20">
        <v>1140000</v>
      </c>
      <c r="K18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1" spans="1:11" hidden="1" x14ac:dyDescent="0.25">
      <c r="A1881" s="11"/>
      <c r="B1881" s="11"/>
      <c r="C1881" s="5"/>
      <c r="G1881" s="11"/>
      <c r="H1881" s="5"/>
      <c r="I1881" s="11"/>
      <c r="J1881" s="20"/>
      <c r="K18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2" spans="1:11" hidden="1" x14ac:dyDescent="0.25">
      <c r="A1882" s="11"/>
      <c r="B1882" s="11"/>
      <c r="C1882" s="5"/>
      <c r="G1882" s="11"/>
      <c r="H1882" s="5"/>
      <c r="I1882" s="11"/>
      <c r="J1882" s="20"/>
      <c r="K18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3" spans="1:11" x14ac:dyDescent="0.25">
      <c r="A1883" s="11" t="s">
        <v>249</v>
      </c>
      <c r="B1883" s="11" t="s">
        <v>490</v>
      </c>
      <c r="C1883" s="5" t="s">
        <v>82</v>
      </c>
      <c r="D1883">
        <v>250</v>
      </c>
      <c r="E1883">
        <v>6</v>
      </c>
      <c r="F1883">
        <v>15</v>
      </c>
      <c r="G1883" s="11">
        <v>4</v>
      </c>
      <c r="H1883" s="5">
        <v>0.09</v>
      </c>
      <c r="I1883" s="11">
        <v>207000</v>
      </c>
      <c r="J1883" s="20">
        <v>828000</v>
      </c>
      <c r="K18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84" spans="1:11" hidden="1" x14ac:dyDescent="0.25">
      <c r="A1884" s="11"/>
      <c r="B1884" s="11"/>
      <c r="C1884" s="5"/>
      <c r="G1884" s="11"/>
      <c r="H1884" s="5"/>
      <c r="I1884" s="11"/>
      <c r="J1884" s="20"/>
      <c r="K18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5" spans="1:11" x14ac:dyDescent="0.25">
      <c r="A1885" s="11"/>
      <c r="B1885" s="11" t="s">
        <v>481</v>
      </c>
      <c r="C1885" s="5" t="s">
        <v>68</v>
      </c>
      <c r="D1885">
        <v>400</v>
      </c>
      <c r="E1885">
        <v>6</v>
      </c>
      <c r="F1885">
        <v>15</v>
      </c>
      <c r="G1885" s="11">
        <v>1</v>
      </c>
      <c r="H1885" s="5">
        <v>3.5999999999999997E-2</v>
      </c>
      <c r="I1885" s="11">
        <v>313200</v>
      </c>
      <c r="J1885" s="20">
        <v>313200</v>
      </c>
      <c r="K18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86" spans="1:11" hidden="1" x14ac:dyDescent="0.25">
      <c r="A1886" s="11"/>
      <c r="B1886" s="11"/>
      <c r="C1886" s="5"/>
      <c r="G1886" s="11"/>
      <c r="H1886" s="5"/>
      <c r="I1886" s="11"/>
      <c r="J1886" s="20"/>
      <c r="K18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7" spans="1:11" hidden="1" x14ac:dyDescent="0.25">
      <c r="A1887" s="11"/>
      <c r="B1887" s="11"/>
      <c r="C1887" s="5"/>
      <c r="G1887" s="11"/>
      <c r="H1887" s="5"/>
      <c r="I1887" s="11"/>
      <c r="J1887" s="20"/>
      <c r="K18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88" spans="1:11" x14ac:dyDescent="0.25">
      <c r="A1888" s="11" t="s">
        <v>250</v>
      </c>
      <c r="B1888" s="11" t="s">
        <v>435</v>
      </c>
      <c r="C1888" s="5" t="s">
        <v>11</v>
      </c>
      <c r="D1888">
        <v>400</v>
      </c>
      <c r="E1888">
        <v>6</v>
      </c>
      <c r="F1888">
        <v>12</v>
      </c>
      <c r="G1888" s="11">
        <v>14</v>
      </c>
      <c r="H1888" s="5">
        <v>0.4032</v>
      </c>
      <c r="I1888" s="11">
        <v>250560</v>
      </c>
      <c r="J1888" s="20">
        <v>3507840</v>
      </c>
      <c r="K18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89" spans="1:11" hidden="1" x14ac:dyDescent="0.25">
      <c r="A1889" s="11"/>
      <c r="B1889" s="11"/>
      <c r="C1889" s="5"/>
      <c r="G1889" s="11"/>
      <c r="H1889" s="5"/>
      <c r="I1889" s="11"/>
      <c r="J1889" s="20"/>
      <c r="K18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0" spans="1:11" hidden="1" x14ac:dyDescent="0.25">
      <c r="A1890" s="11"/>
      <c r="B1890" s="11"/>
      <c r="C1890" s="5"/>
      <c r="G1890" s="11"/>
      <c r="H1890" s="5"/>
      <c r="I1890" s="11"/>
      <c r="J1890" s="20"/>
      <c r="K18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1" spans="1:11" x14ac:dyDescent="0.25">
      <c r="A1891" s="11" t="s">
        <v>251</v>
      </c>
      <c r="B1891" s="11" t="s">
        <v>481</v>
      </c>
      <c r="C1891" s="5" t="s">
        <v>68</v>
      </c>
      <c r="D1891">
        <v>400</v>
      </c>
      <c r="E1891">
        <v>6</v>
      </c>
      <c r="F1891">
        <v>15</v>
      </c>
      <c r="G1891" s="11">
        <v>43</v>
      </c>
      <c r="H1891" s="5">
        <v>1.548</v>
      </c>
      <c r="I1891" s="11">
        <v>313200</v>
      </c>
      <c r="J1891" s="20">
        <v>13467600</v>
      </c>
      <c r="K18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92" spans="1:11" hidden="1" x14ac:dyDescent="0.25">
      <c r="A1892" s="11"/>
      <c r="B1892" s="11"/>
      <c r="C1892" s="5"/>
      <c r="G1892" s="11"/>
      <c r="H1892" s="5"/>
      <c r="I1892" s="11"/>
      <c r="J1892" s="20"/>
      <c r="K18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3" spans="1:11" hidden="1" x14ac:dyDescent="0.25">
      <c r="A1893" s="11"/>
      <c r="B1893" s="11"/>
      <c r="C1893" s="5"/>
      <c r="G1893" s="11"/>
      <c r="H1893" s="5"/>
      <c r="I1893" s="11"/>
      <c r="J1893" s="20"/>
      <c r="K18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4" spans="1:11" x14ac:dyDescent="0.25">
      <c r="A1894" s="11" t="s">
        <v>251</v>
      </c>
      <c r="B1894" s="11" t="s">
        <v>490</v>
      </c>
      <c r="C1894" s="5" t="s">
        <v>82</v>
      </c>
      <c r="D1894">
        <v>250</v>
      </c>
      <c r="E1894">
        <v>6</v>
      </c>
      <c r="F1894">
        <v>15</v>
      </c>
      <c r="G1894" s="11">
        <v>6</v>
      </c>
      <c r="H1894" s="5">
        <v>0.13500000000000001</v>
      </c>
      <c r="I1894" s="11">
        <v>207000</v>
      </c>
      <c r="J1894" s="20">
        <v>1242000</v>
      </c>
      <c r="K18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895" spans="1:11" hidden="1" x14ac:dyDescent="0.25">
      <c r="A1895" s="11"/>
      <c r="B1895" s="11"/>
      <c r="C1895" s="5"/>
      <c r="G1895" s="11"/>
      <c r="H1895" s="5"/>
      <c r="I1895" s="11"/>
      <c r="J1895" s="20"/>
      <c r="K18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6" spans="1:11" x14ac:dyDescent="0.25">
      <c r="A1896" s="11"/>
      <c r="B1896" s="11" t="s">
        <v>439</v>
      </c>
      <c r="C1896" s="5" t="s">
        <v>16</v>
      </c>
      <c r="D1896">
        <v>400</v>
      </c>
      <c r="E1896">
        <v>3</v>
      </c>
      <c r="F1896">
        <v>30</v>
      </c>
      <c r="G1896" s="11">
        <v>4</v>
      </c>
      <c r="H1896" s="5">
        <v>0.14399999999999999</v>
      </c>
      <c r="I1896" s="11">
        <v>342000</v>
      </c>
      <c r="J1896" s="20">
        <v>1368000</v>
      </c>
      <c r="K18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7" spans="1:11" hidden="1" x14ac:dyDescent="0.25">
      <c r="A1897" s="11"/>
      <c r="B1897" s="11"/>
      <c r="C1897" s="5"/>
      <c r="G1897" s="11"/>
      <c r="H1897" s="5"/>
      <c r="I1897" s="11"/>
      <c r="J1897" s="20"/>
      <c r="K18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8" spans="1:11" x14ac:dyDescent="0.25">
      <c r="A1898" s="11"/>
      <c r="B1898" s="11" t="s">
        <v>443</v>
      </c>
      <c r="C1898" s="5" t="s">
        <v>21</v>
      </c>
      <c r="D1898">
        <v>400</v>
      </c>
      <c r="E1898">
        <v>4</v>
      </c>
      <c r="F1898">
        <v>25</v>
      </c>
      <c r="G1898" s="11">
        <v>1</v>
      </c>
      <c r="H1898" s="5">
        <v>0.04</v>
      </c>
      <c r="I1898" s="11">
        <v>372000</v>
      </c>
      <c r="J1898" s="20">
        <v>372000</v>
      </c>
      <c r="K18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899" spans="1:11" hidden="1" x14ac:dyDescent="0.25">
      <c r="A1899" s="11"/>
      <c r="B1899" s="11"/>
      <c r="C1899" s="5"/>
      <c r="G1899" s="11"/>
      <c r="H1899" s="5"/>
      <c r="I1899" s="11"/>
      <c r="J1899" s="20"/>
      <c r="K18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0" spans="1:11" x14ac:dyDescent="0.25">
      <c r="A1900" s="11"/>
      <c r="B1900" s="11" t="s">
        <v>440</v>
      </c>
      <c r="C1900" s="5" t="s">
        <v>17</v>
      </c>
      <c r="D1900">
        <v>500</v>
      </c>
      <c r="E1900">
        <v>4</v>
      </c>
      <c r="F1900">
        <v>25</v>
      </c>
      <c r="G1900" s="11">
        <v>1</v>
      </c>
      <c r="H1900" s="5">
        <v>0.05</v>
      </c>
      <c r="I1900" s="11">
        <v>465000</v>
      </c>
      <c r="J1900" s="20">
        <v>465000</v>
      </c>
      <c r="K19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1" spans="1:11" hidden="1" x14ac:dyDescent="0.25">
      <c r="A1901" s="11"/>
      <c r="B1901" s="11"/>
      <c r="C1901" s="5"/>
      <c r="G1901" s="11"/>
      <c r="H1901" s="5"/>
      <c r="I1901" s="11"/>
      <c r="J1901" s="20"/>
      <c r="K19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2" spans="1:11" hidden="1" x14ac:dyDescent="0.25">
      <c r="A1902" s="11"/>
      <c r="B1902" s="11"/>
      <c r="C1902" s="5"/>
      <c r="G1902" s="11"/>
      <c r="H1902" s="5"/>
      <c r="I1902" s="11"/>
      <c r="J1902" s="20"/>
      <c r="K19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3" spans="1:11" x14ac:dyDescent="0.25">
      <c r="A1903" s="11" t="s">
        <v>251</v>
      </c>
      <c r="B1903" s="11" t="s">
        <v>552</v>
      </c>
      <c r="C1903" s="5" t="s">
        <v>191</v>
      </c>
      <c r="D1903">
        <v>400</v>
      </c>
      <c r="E1903">
        <v>15</v>
      </c>
      <c r="F1903">
        <v>15</v>
      </c>
      <c r="G1903" s="11">
        <v>3</v>
      </c>
      <c r="H1903" s="5">
        <v>0.27</v>
      </c>
      <c r="I1903" s="11">
        <v>1080000</v>
      </c>
      <c r="J1903" s="20">
        <v>3240000</v>
      </c>
      <c r="K19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904" spans="1:11" hidden="1" x14ac:dyDescent="0.25">
      <c r="A1904" s="11"/>
      <c r="B1904" s="11"/>
      <c r="C1904" s="5"/>
      <c r="G1904" s="11"/>
      <c r="H1904" s="5"/>
      <c r="I1904" s="11"/>
      <c r="J1904" s="20"/>
      <c r="K19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5" spans="1:11" x14ac:dyDescent="0.25">
      <c r="A1905" s="11"/>
      <c r="B1905" s="11" t="s">
        <v>511</v>
      </c>
      <c r="C1905" s="5" t="s">
        <v>111</v>
      </c>
      <c r="D1905">
        <v>400</v>
      </c>
      <c r="E1905">
        <v>8</v>
      </c>
      <c r="F1905">
        <v>12</v>
      </c>
      <c r="G1905" s="11">
        <v>7</v>
      </c>
      <c r="H1905" s="5">
        <v>0.26879999999999998</v>
      </c>
      <c r="I1905" s="11">
        <v>349440</v>
      </c>
      <c r="J1905" s="20">
        <v>2446080</v>
      </c>
      <c r="K19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906" spans="1:11" hidden="1" x14ac:dyDescent="0.25">
      <c r="A1906" s="11"/>
      <c r="B1906" s="11"/>
      <c r="C1906" s="5"/>
      <c r="G1906" s="11"/>
      <c r="H1906" s="5"/>
      <c r="I1906" s="11"/>
      <c r="J1906" s="20"/>
      <c r="K19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7" spans="1:11" hidden="1" x14ac:dyDescent="0.25">
      <c r="A1907" s="11"/>
      <c r="B1907" s="11"/>
      <c r="C1907" s="5"/>
      <c r="G1907" s="11"/>
      <c r="H1907" s="5"/>
      <c r="I1907" s="11"/>
      <c r="J1907" s="20"/>
      <c r="K19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8" spans="1:11" x14ac:dyDescent="0.25">
      <c r="A1908" s="11" t="s">
        <v>251</v>
      </c>
      <c r="B1908" s="11" t="s">
        <v>457</v>
      </c>
      <c r="C1908" s="5" t="s">
        <v>38</v>
      </c>
      <c r="D1908">
        <v>300</v>
      </c>
      <c r="E1908">
        <v>4</v>
      </c>
      <c r="F1908">
        <v>25</v>
      </c>
      <c r="G1908" s="11">
        <v>4</v>
      </c>
      <c r="H1908" s="5">
        <v>0.12</v>
      </c>
      <c r="I1908" s="11">
        <v>717000</v>
      </c>
      <c r="J1908" s="20">
        <v>2868000</v>
      </c>
      <c r="K19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09" spans="1:11" hidden="1" x14ac:dyDescent="0.25">
      <c r="A1909" s="11"/>
      <c r="B1909" s="11"/>
      <c r="C1909" s="5"/>
      <c r="G1909" s="11"/>
      <c r="H1909" s="5"/>
      <c r="I1909" s="11"/>
      <c r="J1909" s="20"/>
      <c r="K19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0" spans="1:11" x14ac:dyDescent="0.25">
      <c r="A1910" s="11"/>
      <c r="B1910" s="11" t="s">
        <v>501</v>
      </c>
      <c r="C1910" s="5" t="s">
        <v>96</v>
      </c>
      <c r="D1910">
        <v>250</v>
      </c>
      <c r="E1910">
        <v>6</v>
      </c>
      <c r="F1910">
        <v>15</v>
      </c>
      <c r="G1910" s="11">
        <v>3</v>
      </c>
      <c r="H1910" s="5">
        <v>6.7500000000000004E-2</v>
      </c>
      <c r="I1910" s="11">
        <v>499500</v>
      </c>
      <c r="J1910" s="20">
        <v>1498500</v>
      </c>
      <c r="K19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11" spans="1:11" hidden="1" x14ac:dyDescent="0.25">
      <c r="A1911" s="11"/>
      <c r="B1911" s="11"/>
      <c r="C1911" s="5"/>
      <c r="G1911" s="11"/>
      <c r="H1911" s="5"/>
      <c r="I1911" s="11"/>
      <c r="J1911" s="20"/>
      <c r="K19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2" spans="1:11" x14ac:dyDescent="0.25">
      <c r="A1912" s="11"/>
      <c r="B1912" s="11" t="s">
        <v>551</v>
      </c>
      <c r="C1912" s="5" t="s">
        <v>189</v>
      </c>
      <c r="D1912">
        <v>400</v>
      </c>
      <c r="E1912">
        <v>4</v>
      </c>
      <c r="F1912">
        <v>6</v>
      </c>
      <c r="G1912" s="11">
        <v>1</v>
      </c>
      <c r="H1912" s="5">
        <v>9.5999999999999992E-3</v>
      </c>
      <c r="I1912" s="11">
        <v>212160</v>
      </c>
      <c r="J1912" s="20">
        <v>212160</v>
      </c>
      <c r="K19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3" spans="1:11" hidden="1" x14ac:dyDescent="0.25">
      <c r="A1913" s="11"/>
      <c r="B1913" s="11"/>
      <c r="C1913" s="5"/>
      <c r="G1913" s="11"/>
      <c r="H1913" s="5"/>
      <c r="I1913" s="11"/>
      <c r="J1913" s="20"/>
      <c r="K19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4" spans="1:11" hidden="1" x14ac:dyDescent="0.25">
      <c r="A1914" s="11"/>
      <c r="B1914" s="11"/>
      <c r="C1914" s="5"/>
      <c r="G1914" s="11"/>
      <c r="H1914" s="5"/>
      <c r="I1914" s="11"/>
      <c r="J1914" s="20"/>
      <c r="K19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5" spans="1:11" x14ac:dyDescent="0.25">
      <c r="A1915" s="11" t="s">
        <v>252</v>
      </c>
      <c r="B1915" s="11" t="s">
        <v>433</v>
      </c>
      <c r="C1915" s="5" t="s">
        <v>9</v>
      </c>
      <c r="D1915">
        <v>400</v>
      </c>
      <c r="E1915">
        <v>4</v>
      </c>
      <c r="F1915">
        <v>20</v>
      </c>
      <c r="G1915" s="11">
        <v>1</v>
      </c>
      <c r="H1915" s="5">
        <v>3.2000000000000001E-2</v>
      </c>
      <c r="I1915" s="11">
        <v>294400</v>
      </c>
      <c r="J1915" s="20">
        <v>294400</v>
      </c>
      <c r="K19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6" spans="1:11" hidden="1" x14ac:dyDescent="0.25">
      <c r="A1916" s="11"/>
      <c r="B1916" s="11"/>
      <c r="C1916" s="5"/>
      <c r="G1916" s="11"/>
      <c r="H1916" s="5"/>
      <c r="I1916" s="11"/>
      <c r="J1916" s="20"/>
      <c r="K19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7" spans="1:11" x14ac:dyDescent="0.25">
      <c r="A1917" s="11"/>
      <c r="B1917" s="11" t="s">
        <v>481</v>
      </c>
      <c r="C1917" s="5" t="s">
        <v>68</v>
      </c>
      <c r="D1917">
        <v>400</v>
      </c>
      <c r="E1917">
        <v>6</v>
      </c>
      <c r="F1917">
        <v>15</v>
      </c>
      <c r="G1917" s="11">
        <v>29</v>
      </c>
      <c r="H1917" s="5">
        <v>1.044</v>
      </c>
      <c r="I1917" s="11">
        <v>313200</v>
      </c>
      <c r="J1917" s="20">
        <v>9082800</v>
      </c>
      <c r="K19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18" spans="1:11" hidden="1" x14ac:dyDescent="0.25">
      <c r="A1918" s="11"/>
      <c r="B1918" s="11"/>
      <c r="C1918" s="5"/>
      <c r="G1918" s="11"/>
      <c r="H1918" s="5"/>
      <c r="I1918" s="11"/>
      <c r="J1918" s="20"/>
      <c r="K19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19" spans="1:11" hidden="1" x14ac:dyDescent="0.25">
      <c r="A1919" s="11"/>
      <c r="B1919" s="11"/>
      <c r="C1919" s="5"/>
      <c r="G1919" s="11"/>
      <c r="H1919" s="5"/>
      <c r="I1919" s="11"/>
      <c r="J1919" s="20"/>
      <c r="K19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0" spans="1:11" x14ac:dyDescent="0.25">
      <c r="A1920" s="11" t="s">
        <v>252</v>
      </c>
      <c r="B1920" s="11" t="s">
        <v>539</v>
      </c>
      <c r="C1920" s="5" t="s">
        <v>163</v>
      </c>
      <c r="D1920">
        <v>400</v>
      </c>
      <c r="E1920">
        <v>5</v>
      </c>
      <c r="F1920">
        <v>7</v>
      </c>
      <c r="G1920" s="11">
        <v>15</v>
      </c>
      <c r="H1920" s="5">
        <v>0.21</v>
      </c>
      <c r="I1920" s="11">
        <v>116200</v>
      </c>
      <c r="J1920" s="20">
        <v>1743000</v>
      </c>
      <c r="K19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921" spans="1:11" hidden="1" x14ac:dyDescent="0.25">
      <c r="A1921" s="11"/>
      <c r="B1921" s="11"/>
      <c r="C1921" s="5"/>
      <c r="G1921" s="11"/>
      <c r="H1921" s="5"/>
      <c r="I1921" s="11"/>
      <c r="J1921" s="20"/>
      <c r="K19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2" spans="1:11" x14ac:dyDescent="0.25">
      <c r="A1922" s="11"/>
      <c r="B1922" s="11" t="s">
        <v>438</v>
      </c>
      <c r="C1922" s="5" t="s">
        <v>15</v>
      </c>
      <c r="D1922">
        <v>400</v>
      </c>
      <c r="E1922">
        <v>3</v>
      </c>
      <c r="F1922">
        <v>25</v>
      </c>
      <c r="G1922" s="11">
        <v>4</v>
      </c>
      <c r="H1922" s="5">
        <v>0.12</v>
      </c>
      <c r="I1922" s="11">
        <v>279000</v>
      </c>
      <c r="J1922" s="20">
        <v>1116000</v>
      </c>
      <c r="K19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3" spans="1:11" hidden="1" x14ac:dyDescent="0.25">
      <c r="A1923" s="11"/>
      <c r="B1923" s="11"/>
      <c r="C1923" s="5"/>
      <c r="G1923" s="11"/>
      <c r="H1923" s="5"/>
      <c r="I1923" s="11"/>
      <c r="J1923" s="20"/>
      <c r="K19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4" spans="1:11" x14ac:dyDescent="0.25">
      <c r="A1924" s="11"/>
      <c r="B1924" s="11" t="s">
        <v>439</v>
      </c>
      <c r="C1924" s="5" t="s">
        <v>16</v>
      </c>
      <c r="D1924">
        <v>400</v>
      </c>
      <c r="E1924">
        <v>3</v>
      </c>
      <c r="F1924">
        <v>30</v>
      </c>
      <c r="G1924" s="11">
        <v>8</v>
      </c>
      <c r="H1924" s="5">
        <v>0.28799999999999998</v>
      </c>
      <c r="I1924" s="11">
        <v>342000</v>
      </c>
      <c r="J1924" s="20">
        <v>2736000</v>
      </c>
      <c r="K19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5" spans="1:11" hidden="1" x14ac:dyDescent="0.25">
      <c r="A1925" s="11"/>
      <c r="B1925" s="11"/>
      <c r="C1925" s="5"/>
      <c r="G1925" s="11"/>
      <c r="H1925" s="5"/>
      <c r="I1925" s="11"/>
      <c r="J1925" s="20"/>
      <c r="K19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6" spans="1:11" x14ac:dyDescent="0.25">
      <c r="A1926" s="11"/>
      <c r="B1926" s="11" t="s">
        <v>481</v>
      </c>
      <c r="C1926" s="5" t="s">
        <v>68</v>
      </c>
      <c r="D1926">
        <v>400</v>
      </c>
      <c r="E1926">
        <v>6</v>
      </c>
      <c r="F1926">
        <v>15</v>
      </c>
      <c r="G1926" s="11">
        <v>1</v>
      </c>
      <c r="H1926" s="5">
        <v>3.5999999999999997E-2</v>
      </c>
      <c r="I1926" s="11">
        <v>313200</v>
      </c>
      <c r="J1926" s="20">
        <v>313200</v>
      </c>
      <c r="K19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27" spans="1:11" hidden="1" x14ac:dyDescent="0.25">
      <c r="A1927" s="11"/>
      <c r="B1927" s="11"/>
      <c r="C1927" s="5"/>
      <c r="G1927" s="11"/>
      <c r="H1927" s="5"/>
      <c r="I1927" s="11"/>
      <c r="J1927" s="20"/>
      <c r="K19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8" spans="1:11" hidden="1" x14ac:dyDescent="0.25">
      <c r="A1928" s="11"/>
      <c r="B1928" s="11"/>
      <c r="C1928" s="5"/>
      <c r="G1928" s="11"/>
      <c r="H1928" s="5"/>
      <c r="I1928" s="11"/>
      <c r="J1928" s="20"/>
      <c r="K19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29" spans="1:11" x14ac:dyDescent="0.25">
      <c r="A1929" s="11" t="s">
        <v>252</v>
      </c>
      <c r="B1929" s="11" t="s">
        <v>564</v>
      </c>
      <c r="C1929" s="5" t="s">
        <v>233</v>
      </c>
      <c r="D1929">
        <v>400</v>
      </c>
      <c r="E1929">
        <v>4</v>
      </c>
      <c r="F1929">
        <v>25</v>
      </c>
      <c r="G1929" s="11">
        <v>2</v>
      </c>
      <c r="H1929" s="5">
        <v>0.08</v>
      </c>
      <c r="I1929" s="11">
        <v>312000</v>
      </c>
      <c r="J1929" s="20">
        <v>624000</v>
      </c>
      <c r="K19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0" spans="1:11" hidden="1" x14ac:dyDescent="0.25">
      <c r="A1930" s="11"/>
      <c r="B1930" s="11"/>
      <c r="C1930" s="5"/>
      <c r="G1930" s="11"/>
      <c r="H1930" s="5"/>
      <c r="I1930" s="11"/>
      <c r="J1930" s="20"/>
      <c r="K19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1" spans="1:11" x14ac:dyDescent="0.25">
      <c r="A1931" s="11"/>
      <c r="B1931" s="11" t="s">
        <v>560</v>
      </c>
      <c r="C1931" s="5" t="s">
        <v>214</v>
      </c>
      <c r="D1931">
        <v>400</v>
      </c>
      <c r="E1931">
        <v>3</v>
      </c>
      <c r="F1931">
        <v>25</v>
      </c>
      <c r="G1931" s="11">
        <v>4</v>
      </c>
      <c r="H1931" s="5">
        <v>0.12</v>
      </c>
      <c r="I1931" s="11">
        <v>234000</v>
      </c>
      <c r="J1931" s="20">
        <v>936000</v>
      </c>
      <c r="K19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2" spans="1:11" hidden="1" x14ac:dyDescent="0.25">
      <c r="A1932" s="11"/>
      <c r="B1932" s="11"/>
      <c r="C1932" s="5"/>
      <c r="G1932" s="11"/>
      <c r="H1932" s="5"/>
      <c r="I1932" s="11"/>
      <c r="J1932" s="20"/>
      <c r="K19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3" spans="1:11" hidden="1" x14ac:dyDescent="0.25">
      <c r="A1933" s="11"/>
      <c r="B1933" s="11"/>
      <c r="C1933" s="5"/>
      <c r="G1933" s="11"/>
      <c r="H1933" s="5"/>
      <c r="I1933" s="11"/>
      <c r="J1933" s="20"/>
      <c r="K19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4" spans="1:11" x14ac:dyDescent="0.25">
      <c r="A1934" s="11" t="s">
        <v>253</v>
      </c>
      <c r="B1934" s="11" t="s">
        <v>476</v>
      </c>
      <c r="C1934" s="5" t="s">
        <v>62</v>
      </c>
      <c r="D1934">
        <v>400</v>
      </c>
      <c r="E1934">
        <v>3</v>
      </c>
      <c r="F1934">
        <v>20</v>
      </c>
      <c r="G1934" s="11">
        <v>81</v>
      </c>
      <c r="H1934" s="5">
        <v>1.944</v>
      </c>
      <c r="I1934" s="11">
        <v>208800</v>
      </c>
      <c r="J1934" s="20">
        <v>16912800</v>
      </c>
      <c r="K19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5" spans="1:11" hidden="1" x14ac:dyDescent="0.25">
      <c r="A1935" s="11"/>
      <c r="B1935" s="11"/>
      <c r="C1935" s="5"/>
      <c r="G1935" s="11"/>
      <c r="H1935" s="5"/>
      <c r="I1935" s="11"/>
      <c r="J1935" s="20"/>
      <c r="K19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6" spans="1:11" x14ac:dyDescent="0.25">
      <c r="A1936" s="11"/>
      <c r="B1936" s="11" t="s">
        <v>567</v>
      </c>
      <c r="C1936" s="5" t="s">
        <v>254</v>
      </c>
      <c r="D1936">
        <v>400</v>
      </c>
      <c r="E1936">
        <v>3</v>
      </c>
      <c r="F1936">
        <v>25</v>
      </c>
      <c r="G1936" s="11">
        <v>13</v>
      </c>
      <c r="H1936" s="5">
        <v>0.39</v>
      </c>
      <c r="I1936" s="11">
        <v>264000</v>
      </c>
      <c r="J1936" s="20">
        <v>3432000</v>
      </c>
      <c r="K19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7" spans="1:11" hidden="1" x14ac:dyDescent="0.25">
      <c r="A1937" s="11"/>
      <c r="B1937" s="11"/>
      <c r="C1937" s="5"/>
      <c r="G1937" s="11"/>
      <c r="H1937" s="5"/>
      <c r="I1937" s="11"/>
      <c r="J1937" s="20"/>
      <c r="K19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8" spans="1:11" x14ac:dyDescent="0.25">
      <c r="A1938" s="11"/>
      <c r="B1938" s="11" t="s">
        <v>440</v>
      </c>
      <c r="C1938" s="5" t="s">
        <v>17</v>
      </c>
      <c r="D1938">
        <v>500</v>
      </c>
      <c r="E1938">
        <v>4</v>
      </c>
      <c r="F1938">
        <v>25</v>
      </c>
      <c r="G1938" s="11">
        <v>40</v>
      </c>
      <c r="H1938" s="5">
        <v>2</v>
      </c>
      <c r="I1938" s="11">
        <v>465000</v>
      </c>
      <c r="J1938" s="20">
        <v>18600000</v>
      </c>
      <c r="K19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39" spans="1:11" hidden="1" x14ac:dyDescent="0.25">
      <c r="A1939" s="11"/>
      <c r="B1939" s="11"/>
      <c r="C1939" s="5"/>
      <c r="G1939" s="11"/>
      <c r="H1939" s="5"/>
      <c r="I1939" s="11"/>
      <c r="J1939" s="20"/>
      <c r="K19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0" spans="1:11" hidden="1" x14ac:dyDescent="0.25">
      <c r="A1940" s="11"/>
      <c r="B1940" s="11"/>
      <c r="C1940" s="5"/>
      <c r="G1940" s="11"/>
      <c r="H1940" s="5"/>
      <c r="I1940" s="11"/>
      <c r="J1940" s="20"/>
      <c r="K19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1" spans="1:11" x14ac:dyDescent="0.25">
      <c r="A1941" s="11" t="s">
        <v>255</v>
      </c>
      <c r="B1941" s="11" t="s">
        <v>485</v>
      </c>
      <c r="C1941" s="5" t="s">
        <v>74</v>
      </c>
      <c r="D1941">
        <v>150</v>
      </c>
      <c r="E1941">
        <v>6</v>
      </c>
      <c r="F1941">
        <v>15</v>
      </c>
      <c r="G1941" s="11">
        <v>4</v>
      </c>
      <c r="H1941" s="5">
        <v>5.3999999999999999E-2</v>
      </c>
      <c r="I1941" s="11">
        <v>259200</v>
      </c>
      <c r="J1941" s="20">
        <v>1036800</v>
      </c>
      <c r="K19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42" spans="1:11" hidden="1" x14ac:dyDescent="0.25">
      <c r="A1942" s="11"/>
      <c r="B1942" s="11"/>
      <c r="C1942" s="5"/>
      <c r="G1942" s="11"/>
      <c r="H1942" s="5"/>
      <c r="I1942" s="11"/>
      <c r="J1942" s="20"/>
      <c r="K19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3" spans="1:11" x14ac:dyDescent="0.25">
      <c r="A1943" s="11"/>
      <c r="B1943" s="11" t="s">
        <v>536</v>
      </c>
      <c r="C1943" s="5" t="s">
        <v>155</v>
      </c>
      <c r="D1943">
        <v>170</v>
      </c>
      <c r="E1943">
        <v>6</v>
      </c>
      <c r="F1943">
        <v>15</v>
      </c>
      <c r="G1943" s="11">
        <v>3</v>
      </c>
      <c r="H1943" s="5">
        <v>4.5900000000000003E-2</v>
      </c>
      <c r="I1943" s="11">
        <v>293760</v>
      </c>
      <c r="J1943" s="20">
        <v>881280</v>
      </c>
      <c r="K19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44" spans="1:11" hidden="1" x14ac:dyDescent="0.25">
      <c r="A1944" s="11"/>
      <c r="B1944" s="11"/>
      <c r="C1944" s="5"/>
      <c r="G1944" s="11"/>
      <c r="H1944" s="5"/>
      <c r="I1944" s="11"/>
      <c r="J1944" s="20"/>
      <c r="K19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5" spans="1:11" hidden="1" x14ac:dyDescent="0.25">
      <c r="A1945" s="11"/>
      <c r="B1945" s="11"/>
      <c r="C1945" s="5"/>
      <c r="G1945" s="11"/>
      <c r="H1945" s="5"/>
      <c r="I1945" s="11"/>
      <c r="J1945" s="20"/>
      <c r="K19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6" spans="1:11" x14ac:dyDescent="0.25">
      <c r="A1946" s="11" t="s">
        <v>255</v>
      </c>
      <c r="B1946" s="11" t="s">
        <v>490</v>
      </c>
      <c r="C1946" s="5" t="s">
        <v>82</v>
      </c>
      <c r="D1946">
        <v>250</v>
      </c>
      <c r="E1946">
        <v>6</v>
      </c>
      <c r="F1946">
        <v>15</v>
      </c>
      <c r="G1946" s="11">
        <v>1</v>
      </c>
      <c r="H1946" s="5">
        <v>2.2499999999999999E-2</v>
      </c>
      <c r="I1946" s="11">
        <v>207000</v>
      </c>
      <c r="J1946" s="20">
        <v>207000</v>
      </c>
      <c r="K19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47" spans="1:11" hidden="1" x14ac:dyDescent="0.25">
      <c r="A1947" s="11"/>
      <c r="B1947" s="11"/>
      <c r="C1947" s="5"/>
      <c r="G1947" s="11"/>
      <c r="H1947" s="5"/>
      <c r="I1947" s="11"/>
      <c r="J1947" s="20"/>
      <c r="K19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8" spans="1:11" x14ac:dyDescent="0.25">
      <c r="A1948" s="11"/>
      <c r="B1948" s="11" t="s">
        <v>440</v>
      </c>
      <c r="C1948" s="5" t="s">
        <v>17</v>
      </c>
      <c r="D1948">
        <v>500</v>
      </c>
      <c r="E1948">
        <v>4</v>
      </c>
      <c r="F1948">
        <v>25</v>
      </c>
      <c r="G1948" s="11">
        <v>1</v>
      </c>
      <c r="H1948" s="5">
        <v>0.05</v>
      </c>
      <c r="I1948" s="11">
        <v>465000</v>
      </c>
      <c r="J1948" s="20">
        <v>465000</v>
      </c>
      <c r="K19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49" spans="1:11" hidden="1" x14ac:dyDescent="0.25">
      <c r="A1949" s="11"/>
      <c r="B1949" s="11"/>
      <c r="C1949" s="5"/>
      <c r="G1949" s="11"/>
      <c r="H1949" s="5"/>
      <c r="I1949" s="11"/>
      <c r="J1949" s="20"/>
      <c r="K19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0" spans="1:11" x14ac:dyDescent="0.25">
      <c r="A1950" s="11"/>
      <c r="B1950" s="11" t="s">
        <v>498</v>
      </c>
      <c r="C1950" s="5" t="s">
        <v>92</v>
      </c>
      <c r="D1950">
        <v>500</v>
      </c>
      <c r="E1950">
        <v>6</v>
      </c>
      <c r="F1950">
        <v>15</v>
      </c>
      <c r="G1950" s="11">
        <v>2</v>
      </c>
      <c r="H1950" s="5">
        <v>0.09</v>
      </c>
      <c r="I1950" s="11">
        <v>414000</v>
      </c>
      <c r="J1950" s="20">
        <v>828000</v>
      </c>
      <c r="K19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51" spans="1:11" hidden="1" x14ac:dyDescent="0.25">
      <c r="A1951" s="11"/>
      <c r="B1951" s="11"/>
      <c r="C1951" s="5"/>
      <c r="G1951" s="11"/>
      <c r="H1951" s="5"/>
      <c r="I1951" s="11"/>
      <c r="J1951" s="20"/>
      <c r="K19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2" spans="1:11" hidden="1" x14ac:dyDescent="0.25">
      <c r="A1952" s="11"/>
      <c r="B1952" s="11"/>
      <c r="C1952" s="5"/>
      <c r="G1952" s="11"/>
      <c r="H1952" s="5"/>
      <c r="I1952" s="11"/>
      <c r="J1952" s="20"/>
      <c r="K19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3" spans="1:11" x14ac:dyDescent="0.25">
      <c r="A1953" s="11" t="s">
        <v>255</v>
      </c>
      <c r="B1953" s="11" t="s">
        <v>470</v>
      </c>
      <c r="C1953" s="5" t="s">
        <v>55</v>
      </c>
      <c r="D1953">
        <v>250</v>
      </c>
      <c r="E1953">
        <v>4</v>
      </c>
      <c r="F1953">
        <v>25</v>
      </c>
      <c r="G1953" s="11">
        <v>10</v>
      </c>
      <c r="H1953" s="5">
        <v>0.25</v>
      </c>
      <c r="I1953" s="11">
        <v>232500</v>
      </c>
      <c r="J1953" s="20">
        <v>2325000</v>
      </c>
      <c r="K19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4" spans="1:11" hidden="1" x14ac:dyDescent="0.25">
      <c r="A1954" s="11"/>
      <c r="B1954" s="11"/>
      <c r="C1954" s="5"/>
      <c r="G1954" s="11"/>
      <c r="H1954" s="5"/>
      <c r="I1954" s="11"/>
      <c r="J1954" s="20"/>
      <c r="K19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5" spans="1:11" x14ac:dyDescent="0.25">
      <c r="A1955" s="11"/>
      <c r="B1955" s="11" t="s">
        <v>471</v>
      </c>
      <c r="C1955" s="5" t="s">
        <v>56</v>
      </c>
      <c r="D1955">
        <v>500</v>
      </c>
      <c r="E1955">
        <v>5</v>
      </c>
      <c r="F1955">
        <v>15</v>
      </c>
      <c r="G1955" s="11">
        <v>5</v>
      </c>
      <c r="H1955" s="5">
        <v>0.1875</v>
      </c>
      <c r="I1955" s="11">
        <v>360000</v>
      </c>
      <c r="J1955" s="20">
        <v>1800000</v>
      </c>
      <c r="K19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56" spans="1:11" hidden="1" x14ac:dyDescent="0.25">
      <c r="A1956" s="11"/>
      <c r="B1956" s="11"/>
      <c r="C1956" s="5"/>
      <c r="G1956" s="11"/>
      <c r="H1956" s="5"/>
      <c r="I1956" s="11"/>
      <c r="J1956" s="20"/>
      <c r="K19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7" spans="1:11" hidden="1" x14ac:dyDescent="0.25">
      <c r="A1957" s="11"/>
      <c r="B1957" s="11"/>
      <c r="C1957" s="5"/>
      <c r="G1957" s="11"/>
      <c r="H1957" s="5"/>
      <c r="I1957" s="11"/>
      <c r="J1957" s="20"/>
      <c r="K19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8" spans="1:11" x14ac:dyDescent="0.25">
      <c r="A1958" s="11" t="s">
        <v>256</v>
      </c>
      <c r="B1958" s="11" t="s">
        <v>506</v>
      </c>
      <c r="C1958" s="5" t="s">
        <v>103</v>
      </c>
      <c r="D1958">
        <v>400</v>
      </c>
      <c r="E1958">
        <v>3</v>
      </c>
      <c r="F1958">
        <v>30</v>
      </c>
      <c r="G1958" s="11">
        <v>1</v>
      </c>
      <c r="H1958" s="5">
        <v>3.5999999999999997E-2</v>
      </c>
      <c r="I1958" s="11">
        <v>842400</v>
      </c>
      <c r="J1958" s="20">
        <v>842400</v>
      </c>
      <c r="K19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59" spans="1:11" hidden="1" x14ac:dyDescent="0.25">
      <c r="A1959" s="11"/>
      <c r="B1959" s="11"/>
      <c r="C1959" s="5"/>
      <c r="G1959" s="11"/>
      <c r="H1959" s="5"/>
      <c r="I1959" s="11"/>
      <c r="J1959" s="20"/>
      <c r="K19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0" spans="1:11" x14ac:dyDescent="0.25">
      <c r="A1960" s="11"/>
      <c r="B1960" s="11" t="s">
        <v>554</v>
      </c>
      <c r="C1960" s="5" t="s">
        <v>196</v>
      </c>
      <c r="D1960">
        <v>400</v>
      </c>
      <c r="E1960">
        <v>3</v>
      </c>
      <c r="F1960">
        <v>35</v>
      </c>
      <c r="G1960" s="11">
        <v>1</v>
      </c>
      <c r="H1960" s="5">
        <v>4.2000000000000003E-2</v>
      </c>
      <c r="I1960" s="11">
        <v>999600</v>
      </c>
      <c r="J1960" s="20">
        <v>999600</v>
      </c>
      <c r="K19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1" spans="1:11" hidden="1" x14ac:dyDescent="0.25">
      <c r="A1961" s="11"/>
      <c r="B1961" s="11"/>
      <c r="C1961" s="5"/>
      <c r="G1961" s="11"/>
      <c r="H1961" s="5"/>
      <c r="I1961" s="11"/>
      <c r="J1961" s="20"/>
      <c r="K19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2" spans="1:11" x14ac:dyDescent="0.25">
      <c r="A1962" s="11"/>
      <c r="B1962" s="11" t="s">
        <v>524</v>
      </c>
      <c r="C1962" s="5" t="s">
        <v>137</v>
      </c>
      <c r="D1962">
        <v>400</v>
      </c>
      <c r="E1962">
        <v>4</v>
      </c>
      <c r="F1962">
        <v>30</v>
      </c>
      <c r="G1962" s="11">
        <v>2</v>
      </c>
      <c r="H1962" s="5">
        <v>9.6000000000000002E-2</v>
      </c>
      <c r="I1962" s="11">
        <v>1123200</v>
      </c>
      <c r="J1962" s="20">
        <v>2246400</v>
      </c>
      <c r="K19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3" spans="1:11" hidden="1" x14ac:dyDescent="0.25">
      <c r="A1963" s="11"/>
      <c r="B1963" s="11"/>
      <c r="C1963" s="5"/>
      <c r="G1963" s="11"/>
      <c r="H1963" s="5"/>
      <c r="I1963" s="11"/>
      <c r="J1963" s="20"/>
      <c r="K19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4" spans="1:11" x14ac:dyDescent="0.25">
      <c r="A1964" s="11"/>
      <c r="B1964" s="11" t="s">
        <v>568</v>
      </c>
      <c r="C1964" s="5" t="s">
        <v>257</v>
      </c>
      <c r="D1964">
        <v>190</v>
      </c>
      <c r="E1964">
        <v>6</v>
      </c>
      <c r="F1964">
        <v>15</v>
      </c>
      <c r="G1964" s="11">
        <v>1</v>
      </c>
      <c r="H1964" s="5">
        <v>1.7100000000000001E-2</v>
      </c>
      <c r="I1964" s="11">
        <v>352260</v>
      </c>
      <c r="J1964" s="20">
        <v>352260</v>
      </c>
      <c r="K19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65" spans="1:11" hidden="1" x14ac:dyDescent="0.25">
      <c r="A1965" s="11"/>
      <c r="B1965" s="11"/>
      <c r="C1965" s="5"/>
      <c r="G1965" s="11"/>
      <c r="H1965" s="5"/>
      <c r="I1965" s="11"/>
      <c r="J1965" s="20"/>
      <c r="K19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6" spans="1:11" x14ac:dyDescent="0.25">
      <c r="A1966" s="11"/>
      <c r="B1966" s="11" t="s">
        <v>501</v>
      </c>
      <c r="C1966" s="5" t="s">
        <v>96</v>
      </c>
      <c r="D1966">
        <v>250</v>
      </c>
      <c r="E1966">
        <v>6</v>
      </c>
      <c r="F1966">
        <v>15</v>
      </c>
      <c r="G1966" s="11">
        <v>12</v>
      </c>
      <c r="H1966" s="5">
        <v>0.27</v>
      </c>
      <c r="I1966" s="11">
        <v>477000</v>
      </c>
      <c r="J1966" s="20">
        <v>5724000</v>
      </c>
      <c r="K19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67" spans="1:11" hidden="1" x14ac:dyDescent="0.25">
      <c r="A1967" s="11"/>
      <c r="B1967" s="11"/>
      <c r="C1967" s="5"/>
      <c r="G1967" s="11"/>
      <c r="H1967" s="5"/>
      <c r="I1967" s="11"/>
      <c r="J1967" s="20"/>
      <c r="K19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8" spans="1:11" hidden="1" x14ac:dyDescent="0.25">
      <c r="A1968" s="11"/>
      <c r="B1968" s="11"/>
      <c r="C1968" s="5"/>
      <c r="G1968" s="11"/>
      <c r="H1968" s="5"/>
      <c r="I1968" s="11"/>
      <c r="J1968" s="20"/>
      <c r="K19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69" spans="1:11" x14ac:dyDescent="0.25">
      <c r="A1969" s="11" t="s">
        <v>256</v>
      </c>
      <c r="B1969" s="11" t="s">
        <v>477</v>
      </c>
      <c r="C1969" s="5" t="s">
        <v>63</v>
      </c>
      <c r="D1969">
        <v>100</v>
      </c>
      <c r="E1969">
        <v>6</v>
      </c>
      <c r="F1969">
        <v>15</v>
      </c>
      <c r="G1969" s="11">
        <v>4</v>
      </c>
      <c r="H1969" s="5">
        <v>3.5999999999999997E-2</v>
      </c>
      <c r="I1969" s="11">
        <v>172800</v>
      </c>
      <c r="J1969" s="20">
        <v>691200</v>
      </c>
      <c r="K19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70" spans="1:11" hidden="1" x14ac:dyDescent="0.25">
      <c r="A1970" s="11"/>
      <c r="B1970" s="11"/>
      <c r="C1970" s="5"/>
      <c r="G1970" s="11"/>
      <c r="H1970" s="5"/>
      <c r="I1970" s="11"/>
      <c r="J1970" s="20"/>
      <c r="K19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1" spans="1:11" x14ac:dyDescent="0.25">
      <c r="A1971" s="11"/>
      <c r="B1971" s="11" t="s">
        <v>529</v>
      </c>
      <c r="C1971" s="5" t="s">
        <v>147</v>
      </c>
      <c r="D1971">
        <v>160</v>
      </c>
      <c r="E1971">
        <v>6</v>
      </c>
      <c r="F1971">
        <v>15</v>
      </c>
      <c r="G1971" s="11">
        <v>1</v>
      </c>
      <c r="H1971" s="5">
        <v>1.44E-2</v>
      </c>
      <c r="I1971" s="11">
        <v>276480</v>
      </c>
      <c r="J1971" s="20">
        <v>276480</v>
      </c>
      <c r="K19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72" spans="1:11" hidden="1" x14ac:dyDescent="0.25">
      <c r="A1972" s="11"/>
      <c r="B1972" s="11"/>
      <c r="C1972" s="5"/>
      <c r="G1972" s="11"/>
      <c r="H1972" s="5"/>
      <c r="I1972" s="11"/>
      <c r="J1972" s="20"/>
      <c r="K19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3" spans="1:11" hidden="1" x14ac:dyDescent="0.25">
      <c r="A1973" s="11"/>
      <c r="B1973" s="11"/>
      <c r="C1973" s="5"/>
      <c r="G1973" s="11"/>
      <c r="H1973" s="5"/>
      <c r="I1973" s="11"/>
      <c r="J1973" s="20"/>
      <c r="K19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4" spans="1:11" x14ac:dyDescent="0.25">
      <c r="A1974" s="11" t="s">
        <v>256</v>
      </c>
      <c r="B1974" s="11" t="s">
        <v>544</v>
      </c>
      <c r="C1974" s="5" t="s">
        <v>176</v>
      </c>
      <c r="D1974">
        <v>400</v>
      </c>
      <c r="E1974">
        <v>3</v>
      </c>
      <c r="F1974">
        <v>4</v>
      </c>
      <c r="G1974" s="11">
        <v>30</v>
      </c>
      <c r="H1974" s="5">
        <v>0.14399999999999999</v>
      </c>
      <c r="I1974" s="11">
        <v>41760</v>
      </c>
      <c r="J1974" s="20">
        <v>1252800</v>
      </c>
      <c r="K19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5" spans="1:11" hidden="1" x14ac:dyDescent="0.25">
      <c r="A1975" s="11"/>
      <c r="B1975" s="11"/>
      <c r="C1975" s="5"/>
      <c r="G1975" s="11"/>
      <c r="H1975" s="5"/>
      <c r="I1975" s="11"/>
      <c r="J1975" s="20"/>
      <c r="K19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6" spans="1:11" x14ac:dyDescent="0.25">
      <c r="A1976" s="11"/>
      <c r="B1976" s="11" t="s">
        <v>539</v>
      </c>
      <c r="C1976" s="5" t="s">
        <v>163</v>
      </c>
      <c r="D1976">
        <v>400</v>
      </c>
      <c r="E1976">
        <v>5</v>
      </c>
      <c r="F1976">
        <v>7</v>
      </c>
      <c r="G1976" s="11">
        <v>10</v>
      </c>
      <c r="H1976" s="5">
        <v>0.14000000000000001</v>
      </c>
      <c r="I1976" s="11">
        <v>116200</v>
      </c>
      <c r="J1976" s="20">
        <v>1162000</v>
      </c>
      <c r="K19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1977" spans="1:11" hidden="1" x14ac:dyDescent="0.25">
      <c r="A1977" s="11"/>
      <c r="B1977" s="11"/>
      <c r="C1977" s="5"/>
      <c r="G1977" s="11"/>
      <c r="H1977" s="5"/>
      <c r="I1977" s="11"/>
      <c r="J1977" s="20"/>
      <c r="K19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78" spans="1:11" x14ac:dyDescent="0.25">
      <c r="A1978" s="11"/>
      <c r="B1978" s="11" t="s">
        <v>435</v>
      </c>
      <c r="C1978" s="5" t="s">
        <v>11</v>
      </c>
      <c r="D1978">
        <v>400</v>
      </c>
      <c r="E1978">
        <v>6</v>
      </c>
      <c r="F1978">
        <v>12</v>
      </c>
      <c r="G1978" s="11">
        <v>6</v>
      </c>
      <c r="H1978" s="5">
        <v>0.17280000000000001</v>
      </c>
      <c r="I1978" s="11">
        <v>250560</v>
      </c>
      <c r="J1978" s="20">
        <v>1503360</v>
      </c>
      <c r="K19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79" spans="1:11" hidden="1" x14ac:dyDescent="0.25">
      <c r="A1979" s="11"/>
      <c r="B1979" s="11"/>
      <c r="C1979" s="5"/>
      <c r="G1979" s="11"/>
      <c r="H1979" s="5"/>
      <c r="I1979" s="11"/>
      <c r="J1979" s="20"/>
      <c r="K19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0" spans="1:11" x14ac:dyDescent="0.25">
      <c r="A1980" s="11"/>
      <c r="B1980" s="11" t="s">
        <v>511</v>
      </c>
      <c r="C1980" s="5" t="s">
        <v>111</v>
      </c>
      <c r="D1980">
        <v>400</v>
      </c>
      <c r="E1980">
        <v>8</v>
      </c>
      <c r="F1980">
        <v>12</v>
      </c>
      <c r="G1980" s="11">
        <v>8</v>
      </c>
      <c r="H1980" s="5">
        <v>0.30719999999999997</v>
      </c>
      <c r="I1980" s="11">
        <v>349440</v>
      </c>
      <c r="J1980" s="20">
        <v>2795520</v>
      </c>
      <c r="K19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1981" spans="1:11" hidden="1" x14ac:dyDescent="0.25">
      <c r="A1981" s="11"/>
      <c r="B1981" s="11"/>
      <c r="C1981" s="5"/>
      <c r="G1981" s="11"/>
      <c r="H1981" s="5"/>
      <c r="I1981" s="11"/>
      <c r="J1981" s="20"/>
      <c r="K19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2" spans="1:11" hidden="1" x14ac:dyDescent="0.25">
      <c r="A1982" s="11"/>
      <c r="B1982" s="11"/>
      <c r="C1982" s="5"/>
      <c r="G1982" s="11"/>
      <c r="H1982" s="5"/>
      <c r="I1982" s="11"/>
      <c r="J1982" s="20"/>
      <c r="K19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3" spans="1:11" x14ac:dyDescent="0.25">
      <c r="A1983" s="11" t="s">
        <v>256</v>
      </c>
      <c r="B1983" s="11" t="s">
        <v>498</v>
      </c>
      <c r="C1983" s="5" t="s">
        <v>92</v>
      </c>
      <c r="D1983">
        <v>500</v>
      </c>
      <c r="E1983">
        <v>6</v>
      </c>
      <c r="F1983">
        <v>15</v>
      </c>
      <c r="G1983" s="11">
        <v>1</v>
      </c>
      <c r="H1983" s="5">
        <v>4.4999999999999998E-2</v>
      </c>
      <c r="I1983" s="11">
        <v>414000</v>
      </c>
      <c r="J1983" s="20">
        <v>414000</v>
      </c>
      <c r="K19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84" spans="1:11" hidden="1" x14ac:dyDescent="0.25">
      <c r="A1984" s="11"/>
      <c r="B1984" s="11"/>
      <c r="C1984" s="5"/>
      <c r="G1984" s="11"/>
      <c r="H1984" s="5"/>
      <c r="I1984" s="11"/>
      <c r="J1984" s="20"/>
      <c r="K19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5" spans="1:11" hidden="1" x14ac:dyDescent="0.25">
      <c r="A1985" s="11"/>
      <c r="B1985" s="11"/>
      <c r="C1985" s="5"/>
      <c r="G1985" s="11"/>
      <c r="H1985" s="5"/>
      <c r="I1985" s="11"/>
      <c r="J1985" s="20"/>
      <c r="K19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6" spans="1:11" x14ac:dyDescent="0.25">
      <c r="A1986" s="11" t="s">
        <v>258</v>
      </c>
      <c r="B1986" s="11" t="s">
        <v>436</v>
      </c>
      <c r="C1986" s="5" t="s">
        <v>12</v>
      </c>
      <c r="D1986">
        <v>400</v>
      </c>
      <c r="E1986">
        <v>6</v>
      </c>
      <c r="F1986">
        <v>17</v>
      </c>
      <c r="G1986" s="11">
        <v>1</v>
      </c>
      <c r="H1986" s="5">
        <v>4.0800000000000003E-2</v>
      </c>
      <c r="I1986" s="11">
        <v>371280</v>
      </c>
      <c r="J1986" s="20">
        <v>371280</v>
      </c>
      <c r="K19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87" spans="1:11" hidden="1" x14ac:dyDescent="0.25">
      <c r="A1987" s="11"/>
      <c r="B1987" s="11"/>
      <c r="C1987" s="5"/>
      <c r="G1987" s="11"/>
      <c r="H1987" s="5"/>
      <c r="I1987" s="11"/>
      <c r="J1987" s="20"/>
      <c r="K19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88" spans="1:11" x14ac:dyDescent="0.25">
      <c r="A1988" s="11"/>
      <c r="B1988" s="11" t="s">
        <v>452</v>
      </c>
      <c r="C1988" s="5" t="s">
        <v>32</v>
      </c>
      <c r="D1988">
        <v>500</v>
      </c>
      <c r="E1988">
        <v>6</v>
      </c>
      <c r="F1988">
        <v>17</v>
      </c>
      <c r="G1988" s="11">
        <v>1</v>
      </c>
      <c r="H1988" s="5">
        <v>5.0999999999999997E-2</v>
      </c>
      <c r="I1988" s="11">
        <v>489600</v>
      </c>
      <c r="J1988" s="20">
        <v>489600</v>
      </c>
      <c r="K19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89" spans="1:11" hidden="1" x14ac:dyDescent="0.25">
      <c r="A1989" s="11"/>
      <c r="B1989" s="11"/>
      <c r="C1989" s="5"/>
      <c r="G1989" s="11"/>
      <c r="H1989" s="5"/>
      <c r="I1989" s="11"/>
      <c r="J1989" s="20"/>
      <c r="K19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0" spans="1:11" hidden="1" x14ac:dyDescent="0.25">
      <c r="A1990" s="11"/>
      <c r="B1990" s="11"/>
      <c r="C1990" s="5"/>
      <c r="G1990" s="11"/>
      <c r="H1990" s="5"/>
      <c r="I1990" s="11"/>
      <c r="J1990" s="20"/>
      <c r="K19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1" spans="1:11" x14ac:dyDescent="0.25">
      <c r="A1991" s="11" t="s">
        <v>259</v>
      </c>
      <c r="B1991" s="11" t="s">
        <v>435</v>
      </c>
      <c r="C1991" s="5" t="s">
        <v>11</v>
      </c>
      <c r="D1991">
        <v>400</v>
      </c>
      <c r="E1991">
        <v>6</v>
      </c>
      <c r="F1991">
        <v>12</v>
      </c>
      <c r="G1991" s="11">
        <v>4</v>
      </c>
      <c r="H1991" s="5">
        <v>0.1152</v>
      </c>
      <c r="I1991" s="11">
        <v>250560</v>
      </c>
      <c r="J1991" s="20">
        <v>1002240</v>
      </c>
      <c r="K19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1992" spans="1:11" hidden="1" x14ac:dyDescent="0.25">
      <c r="A1992" s="11"/>
      <c r="B1992" s="11"/>
      <c r="C1992" s="5"/>
      <c r="G1992" s="11"/>
      <c r="H1992" s="5"/>
      <c r="I1992" s="11"/>
      <c r="J1992" s="20"/>
      <c r="K19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3" spans="1:11" hidden="1" x14ac:dyDescent="0.25">
      <c r="A1993" s="11"/>
      <c r="B1993" s="11"/>
      <c r="C1993" s="5"/>
      <c r="G1993" s="11"/>
      <c r="H1993" s="5"/>
      <c r="I1993" s="11"/>
      <c r="J1993" s="20"/>
      <c r="K19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4" spans="1:11" x14ac:dyDescent="0.25">
      <c r="A1994" s="11" t="s">
        <v>259</v>
      </c>
      <c r="B1994" s="11" t="s">
        <v>476</v>
      </c>
      <c r="C1994" s="5" t="s">
        <v>62</v>
      </c>
      <c r="D1994">
        <v>400</v>
      </c>
      <c r="E1994">
        <v>3</v>
      </c>
      <c r="F1994">
        <v>20</v>
      </c>
      <c r="G1994" s="11">
        <v>5</v>
      </c>
      <c r="H1994" s="5">
        <v>0.12</v>
      </c>
      <c r="I1994" s="11">
        <v>208800</v>
      </c>
      <c r="J1994" s="20">
        <v>1044000</v>
      </c>
      <c r="K19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5" spans="1:11" hidden="1" x14ac:dyDescent="0.25">
      <c r="A1995" s="11"/>
      <c r="B1995" s="11"/>
      <c r="C1995" s="5"/>
      <c r="G1995" s="11"/>
      <c r="H1995" s="5"/>
      <c r="I1995" s="11"/>
      <c r="J1995" s="20"/>
      <c r="K19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6" spans="1:11" x14ac:dyDescent="0.25">
      <c r="A1996" s="11"/>
      <c r="B1996" s="11" t="s">
        <v>549</v>
      </c>
      <c r="C1996" s="5" t="s">
        <v>184</v>
      </c>
      <c r="D1996">
        <v>450</v>
      </c>
      <c r="E1996">
        <v>4</v>
      </c>
      <c r="F1996">
        <v>20</v>
      </c>
      <c r="G1996" s="11">
        <v>3</v>
      </c>
      <c r="H1996" s="5">
        <v>0.108</v>
      </c>
      <c r="I1996" s="11">
        <v>331200</v>
      </c>
      <c r="J1996" s="20">
        <v>993600</v>
      </c>
      <c r="K19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7" spans="1:11" hidden="1" x14ac:dyDescent="0.25">
      <c r="A1997" s="11"/>
      <c r="B1997" s="11"/>
      <c r="C1997" s="5"/>
      <c r="G1997" s="11"/>
      <c r="H1997" s="5"/>
      <c r="I1997" s="11"/>
      <c r="J1997" s="20"/>
      <c r="K19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8" spans="1:11" x14ac:dyDescent="0.25">
      <c r="A1998" s="11"/>
      <c r="B1998" s="11" t="s">
        <v>569</v>
      </c>
      <c r="C1998" s="5" t="s">
        <v>260</v>
      </c>
      <c r="D1998">
        <v>450</v>
      </c>
      <c r="E1998">
        <v>4</v>
      </c>
      <c r="F1998">
        <v>30</v>
      </c>
      <c r="G1998" s="11">
        <v>1</v>
      </c>
      <c r="H1998" s="5">
        <v>5.3999999999999999E-2</v>
      </c>
      <c r="I1998" s="11">
        <v>513000</v>
      </c>
      <c r="J1998" s="20">
        <v>513000</v>
      </c>
      <c r="K19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1999" spans="1:11" hidden="1" x14ac:dyDescent="0.25">
      <c r="A1999" s="11"/>
      <c r="B1999" s="11"/>
      <c r="C1999" s="5"/>
      <c r="G1999" s="11"/>
      <c r="H1999" s="5"/>
      <c r="I1999" s="11"/>
      <c r="J1999" s="20"/>
      <c r="K19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0" spans="1:11" hidden="1" x14ac:dyDescent="0.25">
      <c r="A2000" s="11"/>
      <c r="B2000" s="11"/>
      <c r="C2000" s="5"/>
      <c r="G2000" s="11"/>
      <c r="H2000" s="5"/>
      <c r="I2000" s="11"/>
      <c r="J2000" s="20"/>
      <c r="K20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1" spans="1:11" x14ac:dyDescent="0.25">
      <c r="A2001" s="11" t="s">
        <v>259</v>
      </c>
      <c r="B2001" s="11" t="s">
        <v>470</v>
      </c>
      <c r="C2001" s="5" t="s">
        <v>55</v>
      </c>
      <c r="D2001">
        <v>250</v>
      </c>
      <c r="E2001">
        <v>4</v>
      </c>
      <c r="F2001">
        <v>25</v>
      </c>
      <c r="G2001" s="11">
        <v>1</v>
      </c>
      <c r="H2001" s="5">
        <v>2.5000000000000001E-2</v>
      </c>
      <c r="I2001" s="11">
        <v>232500</v>
      </c>
      <c r="J2001" s="20">
        <v>232500</v>
      </c>
      <c r="K20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2" spans="1:11" hidden="1" x14ac:dyDescent="0.25">
      <c r="A2002" s="11"/>
      <c r="B2002" s="11"/>
      <c r="C2002" s="5"/>
      <c r="G2002" s="11"/>
      <c r="H2002" s="5"/>
      <c r="I2002" s="11"/>
      <c r="J2002" s="20"/>
      <c r="K20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3" spans="1:11" x14ac:dyDescent="0.25">
      <c r="A2003" s="11"/>
      <c r="B2003" s="11" t="s">
        <v>493</v>
      </c>
      <c r="C2003" s="5" t="s">
        <v>86</v>
      </c>
      <c r="D2003">
        <v>300</v>
      </c>
      <c r="E2003">
        <v>4</v>
      </c>
      <c r="F2003">
        <v>25</v>
      </c>
      <c r="G2003" s="11">
        <v>1</v>
      </c>
      <c r="H2003" s="5">
        <v>0.03</v>
      </c>
      <c r="I2003" s="11">
        <v>279000</v>
      </c>
      <c r="J2003" s="20">
        <v>279000</v>
      </c>
      <c r="K20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4" spans="1:11" hidden="1" x14ac:dyDescent="0.25">
      <c r="A2004" s="11"/>
      <c r="B2004" s="11"/>
      <c r="C2004" s="5"/>
      <c r="G2004" s="11"/>
      <c r="H2004" s="5"/>
      <c r="I2004" s="11"/>
      <c r="J2004" s="20"/>
      <c r="K20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5" spans="1:11" x14ac:dyDescent="0.25">
      <c r="A2005" s="11"/>
      <c r="B2005" s="11" t="s">
        <v>438</v>
      </c>
      <c r="C2005" s="5" t="s">
        <v>15</v>
      </c>
      <c r="D2005">
        <v>400</v>
      </c>
      <c r="E2005">
        <v>3</v>
      </c>
      <c r="F2005">
        <v>25</v>
      </c>
      <c r="G2005" s="11">
        <v>3</v>
      </c>
      <c r="H2005" s="5">
        <v>0.09</v>
      </c>
      <c r="I2005" s="11">
        <v>279000</v>
      </c>
      <c r="J2005" s="20">
        <v>837000</v>
      </c>
      <c r="K20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6" spans="1:11" hidden="1" x14ac:dyDescent="0.25">
      <c r="A2006" s="11"/>
      <c r="B2006" s="11"/>
      <c r="C2006" s="5"/>
      <c r="G2006" s="11"/>
      <c r="H2006" s="5"/>
      <c r="I2006" s="11"/>
      <c r="J2006" s="20"/>
      <c r="K20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7" spans="1:11" hidden="1" x14ac:dyDescent="0.25">
      <c r="A2007" s="11"/>
      <c r="B2007" s="11"/>
      <c r="C2007" s="5"/>
      <c r="G2007" s="11"/>
      <c r="H2007" s="5"/>
      <c r="I2007" s="11"/>
      <c r="J2007" s="20"/>
      <c r="K20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08" spans="1:11" x14ac:dyDescent="0.25">
      <c r="A2008" s="11" t="s">
        <v>261</v>
      </c>
      <c r="B2008" s="11" t="s">
        <v>435</v>
      </c>
      <c r="C2008" s="5" t="s">
        <v>11</v>
      </c>
      <c r="D2008">
        <v>400</v>
      </c>
      <c r="E2008">
        <v>6</v>
      </c>
      <c r="F2008">
        <v>12</v>
      </c>
      <c r="G2008" s="11">
        <v>6</v>
      </c>
      <c r="H2008" s="5">
        <v>0.17280000000000001</v>
      </c>
      <c r="I2008" s="11">
        <v>250560</v>
      </c>
      <c r="J2008" s="20">
        <v>1503360</v>
      </c>
      <c r="K20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09" spans="1:11" hidden="1" x14ac:dyDescent="0.25">
      <c r="A2009" s="11"/>
      <c r="B2009" s="11"/>
      <c r="C2009" s="5"/>
      <c r="G2009" s="11"/>
      <c r="H2009" s="5"/>
      <c r="I2009" s="11"/>
      <c r="J2009" s="20"/>
      <c r="K20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0" spans="1:11" x14ac:dyDescent="0.25">
      <c r="A2010" s="11"/>
      <c r="B2010" s="11" t="s">
        <v>511</v>
      </c>
      <c r="C2010" s="5" t="s">
        <v>111</v>
      </c>
      <c r="D2010">
        <v>400</v>
      </c>
      <c r="E2010">
        <v>8</v>
      </c>
      <c r="F2010">
        <v>12</v>
      </c>
      <c r="G2010" s="11">
        <v>1</v>
      </c>
      <c r="H2010" s="5">
        <v>3.8399999999999997E-2</v>
      </c>
      <c r="I2010" s="11">
        <v>349440</v>
      </c>
      <c r="J2010" s="20">
        <v>349440</v>
      </c>
      <c r="K20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011" spans="1:11" hidden="1" x14ac:dyDescent="0.25">
      <c r="A2011" s="11"/>
      <c r="B2011" s="11"/>
      <c r="C2011" s="5"/>
      <c r="G2011" s="11"/>
      <c r="H2011" s="5"/>
      <c r="I2011" s="11"/>
      <c r="J2011" s="20"/>
      <c r="K20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2" spans="1:11" hidden="1" x14ac:dyDescent="0.25">
      <c r="A2012" s="11"/>
      <c r="B2012" s="11"/>
      <c r="C2012" s="5"/>
      <c r="G2012" s="11"/>
      <c r="H2012" s="5"/>
      <c r="I2012" s="11"/>
      <c r="J2012" s="20"/>
      <c r="K20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3" spans="1:11" x14ac:dyDescent="0.25">
      <c r="A2013" s="11" t="s">
        <v>261</v>
      </c>
      <c r="B2013" s="11" t="s">
        <v>435</v>
      </c>
      <c r="C2013" s="5" t="s">
        <v>11</v>
      </c>
      <c r="D2013">
        <v>400</v>
      </c>
      <c r="E2013">
        <v>6</v>
      </c>
      <c r="F2013">
        <v>12</v>
      </c>
      <c r="G2013" s="11">
        <v>2</v>
      </c>
      <c r="H2013" s="5">
        <v>5.7599999999999998E-2</v>
      </c>
      <c r="I2013" s="11">
        <v>250560</v>
      </c>
      <c r="J2013" s="20">
        <v>501120</v>
      </c>
      <c r="K20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14" spans="1:11" hidden="1" x14ac:dyDescent="0.25">
      <c r="A2014" s="11"/>
      <c r="B2014" s="11"/>
      <c r="C2014" s="5"/>
      <c r="G2014" s="11"/>
      <c r="H2014" s="5"/>
      <c r="I2014" s="11"/>
      <c r="J2014" s="20"/>
      <c r="K20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5" spans="1:11" hidden="1" x14ac:dyDescent="0.25">
      <c r="A2015" s="11"/>
      <c r="B2015" s="11"/>
      <c r="C2015" s="5"/>
      <c r="G2015" s="11"/>
      <c r="H2015" s="5"/>
      <c r="I2015" s="11"/>
      <c r="J2015" s="20"/>
      <c r="K20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6" spans="1:11" x14ac:dyDescent="0.25">
      <c r="A2016" s="11" t="s">
        <v>261</v>
      </c>
      <c r="B2016" s="11" t="s">
        <v>545</v>
      </c>
      <c r="C2016" s="5" t="s">
        <v>178</v>
      </c>
      <c r="D2016">
        <v>400</v>
      </c>
      <c r="E2016">
        <v>8</v>
      </c>
      <c r="F2016">
        <v>15</v>
      </c>
      <c r="G2016" s="11">
        <v>2</v>
      </c>
      <c r="H2016" s="5">
        <v>9.6000000000000002E-2</v>
      </c>
      <c r="I2016" s="11">
        <v>436800</v>
      </c>
      <c r="J2016" s="20">
        <v>873600</v>
      </c>
      <c r="K20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017" spans="1:11" hidden="1" x14ac:dyDescent="0.25">
      <c r="A2017" s="11"/>
      <c r="B2017" s="11"/>
      <c r="C2017" s="5"/>
      <c r="G2017" s="11"/>
      <c r="H2017" s="5"/>
      <c r="I2017" s="11"/>
      <c r="J2017" s="20"/>
      <c r="K20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8" spans="1:11" hidden="1" x14ac:dyDescent="0.25">
      <c r="A2018" s="11"/>
      <c r="B2018" s="11"/>
      <c r="C2018" s="5"/>
      <c r="G2018" s="11"/>
      <c r="H2018" s="5"/>
      <c r="I2018" s="11"/>
      <c r="J2018" s="20"/>
      <c r="K20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19" spans="1:11" x14ac:dyDescent="0.25">
      <c r="A2019" s="11" t="s">
        <v>262</v>
      </c>
      <c r="B2019" s="11" t="s">
        <v>544</v>
      </c>
      <c r="C2019" s="5" t="s">
        <v>176</v>
      </c>
      <c r="D2019">
        <v>400</v>
      </c>
      <c r="E2019">
        <v>3</v>
      </c>
      <c r="F2019">
        <v>4</v>
      </c>
      <c r="G2019" s="11">
        <v>20</v>
      </c>
      <c r="H2019" s="5">
        <v>9.6000000000000002E-2</v>
      </c>
      <c r="I2019" s="11">
        <v>41760</v>
      </c>
      <c r="J2019" s="20">
        <v>835200</v>
      </c>
      <c r="K20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0" spans="1:11" hidden="1" x14ac:dyDescent="0.25">
      <c r="A2020" s="11"/>
      <c r="B2020" s="11"/>
      <c r="C2020" s="5"/>
      <c r="G2020" s="11"/>
      <c r="H2020" s="5"/>
      <c r="I2020" s="11"/>
      <c r="J2020" s="20"/>
      <c r="K20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1" spans="1:11" x14ac:dyDescent="0.25">
      <c r="A2021" s="11"/>
      <c r="B2021" s="11" t="s">
        <v>539</v>
      </c>
      <c r="C2021" s="5" t="s">
        <v>163</v>
      </c>
      <c r="D2021">
        <v>400</v>
      </c>
      <c r="E2021">
        <v>5</v>
      </c>
      <c r="F2021">
        <v>7</v>
      </c>
      <c r="G2021" s="11">
        <v>25</v>
      </c>
      <c r="H2021" s="5">
        <v>0.35</v>
      </c>
      <c r="I2021" s="11">
        <v>116200</v>
      </c>
      <c r="J2021" s="20">
        <v>2905000</v>
      </c>
      <c r="K20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2022" spans="1:11" hidden="1" x14ac:dyDescent="0.25">
      <c r="A2022" s="11"/>
      <c r="B2022" s="11"/>
      <c r="C2022" s="5"/>
      <c r="G2022" s="11"/>
      <c r="H2022" s="5"/>
      <c r="I2022" s="11"/>
      <c r="J2022" s="20"/>
      <c r="K20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3" spans="1:11" hidden="1" x14ac:dyDescent="0.25">
      <c r="A2023" s="11"/>
      <c r="B2023" s="11"/>
      <c r="C2023" s="5"/>
      <c r="G2023" s="11"/>
      <c r="H2023" s="5"/>
      <c r="I2023" s="11"/>
      <c r="J2023" s="20"/>
      <c r="K20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4" spans="1:11" x14ac:dyDescent="0.25">
      <c r="A2024" s="11" t="s">
        <v>262</v>
      </c>
      <c r="B2024" s="11" t="s">
        <v>435</v>
      </c>
      <c r="C2024" s="5" t="s">
        <v>11</v>
      </c>
      <c r="D2024">
        <v>400</v>
      </c>
      <c r="E2024">
        <v>6</v>
      </c>
      <c r="F2024">
        <v>12</v>
      </c>
      <c r="G2024" s="11">
        <v>1</v>
      </c>
      <c r="H2024" s="5">
        <v>2.8799999999999999E-2</v>
      </c>
      <c r="I2024" s="11">
        <v>250560</v>
      </c>
      <c r="J2024" s="20">
        <v>250560</v>
      </c>
      <c r="K20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25" spans="1:11" hidden="1" x14ac:dyDescent="0.25">
      <c r="A2025" s="11"/>
      <c r="B2025" s="11"/>
      <c r="C2025" s="5"/>
      <c r="G2025" s="11"/>
      <c r="H2025" s="5"/>
      <c r="I2025" s="11"/>
      <c r="J2025" s="20"/>
      <c r="K20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6" spans="1:11" hidden="1" x14ac:dyDescent="0.25">
      <c r="A2026" s="11"/>
      <c r="B2026" s="11"/>
      <c r="C2026" s="5"/>
      <c r="G2026" s="11"/>
      <c r="H2026" s="5"/>
      <c r="I2026" s="11"/>
      <c r="J2026" s="20"/>
      <c r="K20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7" spans="1:11" x14ac:dyDescent="0.25">
      <c r="A2027" s="11" t="s">
        <v>262</v>
      </c>
      <c r="B2027" s="11" t="s">
        <v>476</v>
      </c>
      <c r="C2027" s="5" t="s">
        <v>62</v>
      </c>
      <c r="D2027">
        <v>400</v>
      </c>
      <c r="E2027">
        <v>3</v>
      </c>
      <c r="F2027">
        <v>20</v>
      </c>
      <c r="G2027" s="11">
        <v>2</v>
      </c>
      <c r="H2027" s="5">
        <v>4.8000000000000001E-2</v>
      </c>
      <c r="I2027" s="11">
        <v>208800</v>
      </c>
      <c r="J2027" s="20">
        <v>417600</v>
      </c>
      <c r="K20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8" spans="1:11" hidden="1" x14ac:dyDescent="0.25">
      <c r="A2028" s="11"/>
      <c r="B2028" s="11"/>
      <c r="C2028" s="5"/>
      <c r="G2028" s="11"/>
      <c r="H2028" s="5"/>
      <c r="I2028" s="11"/>
      <c r="J2028" s="20"/>
      <c r="K20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29" spans="1:11" x14ac:dyDescent="0.25">
      <c r="A2029" s="11"/>
      <c r="B2029" s="11" t="s">
        <v>443</v>
      </c>
      <c r="C2029" s="5" t="s">
        <v>21</v>
      </c>
      <c r="D2029">
        <v>400</v>
      </c>
      <c r="E2029">
        <v>4</v>
      </c>
      <c r="F2029">
        <v>25</v>
      </c>
      <c r="G2029" s="11">
        <v>13</v>
      </c>
      <c r="H2029" s="5">
        <v>0.52</v>
      </c>
      <c r="I2029" s="11">
        <v>372000</v>
      </c>
      <c r="J2029" s="20">
        <v>4836000</v>
      </c>
      <c r="K20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0" spans="1:11" hidden="1" x14ac:dyDescent="0.25">
      <c r="A2030" s="11"/>
      <c r="B2030" s="11"/>
      <c r="C2030" s="5"/>
      <c r="G2030" s="11"/>
      <c r="H2030" s="5"/>
      <c r="I2030" s="11"/>
      <c r="J2030" s="20"/>
      <c r="K20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1" spans="1:11" x14ac:dyDescent="0.25">
      <c r="A2031" s="11"/>
      <c r="B2031" s="11" t="s">
        <v>481</v>
      </c>
      <c r="C2031" s="5" t="s">
        <v>68</v>
      </c>
      <c r="D2031">
        <v>400</v>
      </c>
      <c r="E2031">
        <v>6</v>
      </c>
      <c r="F2031">
        <v>15</v>
      </c>
      <c r="G2031" s="11">
        <v>13</v>
      </c>
      <c r="H2031" s="5">
        <v>0.46800000000000003</v>
      </c>
      <c r="I2031" s="11">
        <v>313200</v>
      </c>
      <c r="J2031" s="20">
        <v>4071600</v>
      </c>
      <c r="K20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32" spans="1:11" hidden="1" x14ac:dyDescent="0.25">
      <c r="A2032" s="11"/>
      <c r="B2032" s="11"/>
      <c r="C2032" s="5"/>
      <c r="G2032" s="11"/>
      <c r="H2032" s="5"/>
      <c r="I2032" s="11"/>
      <c r="J2032" s="20"/>
      <c r="K20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3" spans="1:11" hidden="1" x14ac:dyDescent="0.25">
      <c r="A2033" s="11"/>
      <c r="B2033" s="11"/>
      <c r="C2033" s="5"/>
      <c r="G2033" s="11"/>
      <c r="H2033" s="5"/>
      <c r="I2033" s="11"/>
      <c r="J2033" s="20"/>
      <c r="K20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4" spans="1:11" x14ac:dyDescent="0.25">
      <c r="A2034" s="11" t="s">
        <v>262</v>
      </c>
      <c r="B2034" s="11" t="s">
        <v>558</v>
      </c>
      <c r="C2034" s="5" t="s">
        <v>207</v>
      </c>
      <c r="D2034">
        <v>400</v>
      </c>
      <c r="E2034">
        <v>2</v>
      </c>
      <c r="F2034">
        <v>25</v>
      </c>
      <c r="G2034" s="11">
        <v>3</v>
      </c>
      <c r="H2034" s="5">
        <v>0.06</v>
      </c>
      <c r="I2034" s="11">
        <v>500000</v>
      </c>
      <c r="J2034" s="20">
        <v>1500000</v>
      </c>
      <c r="K20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5" spans="1:11" hidden="1" x14ac:dyDescent="0.25">
      <c r="A2035" s="11"/>
      <c r="B2035" s="11"/>
      <c r="C2035" s="5"/>
      <c r="G2035" s="11"/>
      <c r="H2035" s="5"/>
      <c r="I2035" s="11"/>
      <c r="J2035" s="20"/>
      <c r="K20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6" spans="1:11" x14ac:dyDescent="0.25">
      <c r="A2036" s="11"/>
      <c r="B2036" s="11" t="s">
        <v>463</v>
      </c>
      <c r="C2036" s="5" t="s">
        <v>45</v>
      </c>
      <c r="D2036">
        <v>500</v>
      </c>
      <c r="E2036">
        <v>4</v>
      </c>
      <c r="F2036">
        <v>30</v>
      </c>
      <c r="G2036" s="11">
        <v>2</v>
      </c>
      <c r="H2036" s="5">
        <v>0.12</v>
      </c>
      <c r="I2036" s="11">
        <v>570000</v>
      </c>
      <c r="J2036" s="20">
        <v>1140000</v>
      </c>
      <c r="K20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7" spans="1:11" hidden="1" x14ac:dyDescent="0.25">
      <c r="A2037" s="11"/>
      <c r="B2037" s="11"/>
      <c r="C2037" s="5"/>
      <c r="G2037" s="11"/>
      <c r="H2037" s="5"/>
      <c r="I2037" s="11"/>
      <c r="J2037" s="20"/>
      <c r="K20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8" spans="1:11" hidden="1" x14ac:dyDescent="0.25">
      <c r="A2038" s="11"/>
      <c r="B2038" s="11"/>
      <c r="C2038" s="5"/>
      <c r="G2038" s="11"/>
      <c r="H2038" s="5"/>
      <c r="I2038" s="11"/>
      <c r="J2038" s="20"/>
      <c r="K20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39" spans="1:11" x14ac:dyDescent="0.25">
      <c r="A2039" s="11" t="s">
        <v>263</v>
      </c>
      <c r="B2039" s="11" t="s">
        <v>488</v>
      </c>
      <c r="C2039" s="5" t="s">
        <v>78</v>
      </c>
      <c r="D2039">
        <v>300</v>
      </c>
      <c r="E2039">
        <v>4</v>
      </c>
      <c r="F2039">
        <v>20</v>
      </c>
      <c r="G2039" s="11">
        <v>1</v>
      </c>
      <c r="H2039" s="5">
        <v>2.4E-2</v>
      </c>
      <c r="I2039" s="11">
        <v>547200</v>
      </c>
      <c r="J2039" s="20">
        <v>547200</v>
      </c>
      <c r="K20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0" spans="1:11" hidden="1" x14ac:dyDescent="0.25">
      <c r="A2040" s="11"/>
      <c r="B2040" s="11"/>
      <c r="C2040" s="5"/>
      <c r="G2040" s="11"/>
      <c r="H2040" s="5"/>
      <c r="I2040" s="11"/>
      <c r="J2040" s="20"/>
      <c r="K20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1" spans="1:11" x14ac:dyDescent="0.25">
      <c r="A2041" s="11"/>
      <c r="B2041" s="11" t="s">
        <v>570</v>
      </c>
      <c r="C2041" s="5" t="s">
        <v>264</v>
      </c>
      <c r="D2041">
        <v>260</v>
      </c>
      <c r="E2041">
        <v>4</v>
      </c>
      <c r="F2041">
        <v>20</v>
      </c>
      <c r="G2041" s="11">
        <v>2</v>
      </c>
      <c r="H2041" s="5">
        <v>4.1599999999999998E-2</v>
      </c>
      <c r="I2041" s="11">
        <v>474240</v>
      </c>
      <c r="J2041" s="20">
        <v>948480</v>
      </c>
      <c r="K20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2" spans="1:11" hidden="1" x14ac:dyDescent="0.25">
      <c r="A2042" s="11"/>
      <c r="B2042" s="11"/>
      <c r="C2042" s="5"/>
      <c r="G2042" s="11"/>
      <c r="H2042" s="5"/>
      <c r="I2042" s="11"/>
      <c r="J2042" s="20"/>
      <c r="K20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3" spans="1:11" hidden="1" x14ac:dyDescent="0.25">
      <c r="A2043" s="11"/>
      <c r="B2043" s="11"/>
      <c r="C2043" s="5"/>
      <c r="G2043" s="11"/>
      <c r="H2043" s="5"/>
      <c r="I2043" s="11"/>
      <c r="J2043" s="20"/>
      <c r="K20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4" spans="1:11" x14ac:dyDescent="0.25">
      <c r="A2044" s="11" t="s">
        <v>263</v>
      </c>
      <c r="B2044" s="11" t="s">
        <v>433</v>
      </c>
      <c r="C2044" s="5" t="s">
        <v>9</v>
      </c>
      <c r="D2044">
        <v>400</v>
      </c>
      <c r="E2044">
        <v>4</v>
      </c>
      <c r="F2044">
        <v>20</v>
      </c>
      <c r="G2044" s="11">
        <v>4</v>
      </c>
      <c r="H2044" s="5">
        <v>0.128</v>
      </c>
      <c r="I2044" s="11">
        <v>294400</v>
      </c>
      <c r="J2044" s="20">
        <v>1177600</v>
      </c>
      <c r="K20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5" spans="1:11" hidden="1" x14ac:dyDescent="0.25">
      <c r="A2045" s="11"/>
      <c r="B2045" s="11"/>
      <c r="C2045" s="5"/>
      <c r="G2045" s="11"/>
      <c r="H2045" s="5"/>
      <c r="I2045" s="11"/>
      <c r="J2045" s="20"/>
      <c r="K20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6" spans="1:11" x14ac:dyDescent="0.25">
      <c r="A2046" s="11"/>
      <c r="B2046" s="11" t="s">
        <v>481</v>
      </c>
      <c r="C2046" s="5" t="s">
        <v>68</v>
      </c>
      <c r="D2046">
        <v>400</v>
      </c>
      <c r="E2046">
        <v>6</v>
      </c>
      <c r="F2046">
        <v>15</v>
      </c>
      <c r="G2046" s="11">
        <v>10</v>
      </c>
      <c r="H2046" s="5">
        <v>0.36</v>
      </c>
      <c r="I2046" s="11">
        <v>313200</v>
      </c>
      <c r="J2046" s="20">
        <v>3132000</v>
      </c>
      <c r="K20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47" spans="1:11" hidden="1" x14ac:dyDescent="0.25">
      <c r="A2047" s="11"/>
      <c r="B2047" s="11"/>
      <c r="C2047" s="5"/>
      <c r="G2047" s="11"/>
      <c r="H2047" s="5"/>
      <c r="I2047" s="11"/>
      <c r="J2047" s="20"/>
      <c r="K20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8" spans="1:11" hidden="1" x14ac:dyDescent="0.25">
      <c r="A2048" s="11"/>
      <c r="B2048" s="11"/>
      <c r="C2048" s="5"/>
      <c r="G2048" s="11"/>
      <c r="H2048" s="5"/>
      <c r="I2048" s="11"/>
      <c r="J2048" s="20"/>
      <c r="K20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49" spans="1:11" x14ac:dyDescent="0.25">
      <c r="A2049" s="11" t="s">
        <v>265</v>
      </c>
      <c r="B2049" s="11" t="s">
        <v>433</v>
      </c>
      <c r="C2049" s="5" t="s">
        <v>9</v>
      </c>
      <c r="D2049">
        <v>400</v>
      </c>
      <c r="E2049">
        <v>4</v>
      </c>
      <c r="F2049">
        <v>20</v>
      </c>
      <c r="G2049" s="11">
        <v>3</v>
      </c>
      <c r="H2049" s="5">
        <v>9.6000000000000002E-2</v>
      </c>
      <c r="I2049" s="11">
        <v>294400</v>
      </c>
      <c r="J2049" s="20">
        <v>883200</v>
      </c>
      <c r="K20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0" spans="1:11" hidden="1" x14ac:dyDescent="0.25">
      <c r="A2050" s="11"/>
      <c r="B2050" s="11"/>
      <c r="C2050" s="5"/>
      <c r="G2050" s="11"/>
      <c r="H2050" s="5"/>
      <c r="I2050" s="11"/>
      <c r="J2050" s="20"/>
      <c r="K20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1" spans="1:11" x14ac:dyDescent="0.25">
      <c r="A2051" s="11"/>
      <c r="B2051" s="11" t="s">
        <v>481</v>
      </c>
      <c r="C2051" s="5" t="s">
        <v>68</v>
      </c>
      <c r="D2051">
        <v>400</v>
      </c>
      <c r="E2051">
        <v>6</v>
      </c>
      <c r="F2051">
        <v>15</v>
      </c>
      <c r="G2051" s="11">
        <v>2</v>
      </c>
      <c r="H2051" s="5">
        <v>7.1999999999999995E-2</v>
      </c>
      <c r="I2051" s="11">
        <v>313200</v>
      </c>
      <c r="J2051" s="20">
        <v>626400</v>
      </c>
      <c r="K20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52" spans="1:11" hidden="1" x14ac:dyDescent="0.25">
      <c r="A2052" s="11"/>
      <c r="B2052" s="11"/>
      <c r="C2052" s="5"/>
      <c r="G2052" s="11"/>
      <c r="H2052" s="5"/>
      <c r="I2052" s="11"/>
      <c r="J2052" s="20"/>
      <c r="K20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3" spans="1:11" hidden="1" x14ac:dyDescent="0.25">
      <c r="A2053" s="11"/>
      <c r="B2053" s="11"/>
      <c r="C2053" s="5"/>
      <c r="G2053" s="11"/>
      <c r="H2053" s="5"/>
      <c r="I2053" s="11"/>
      <c r="J2053" s="20"/>
      <c r="K20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4" spans="1:11" x14ac:dyDescent="0.25">
      <c r="A2054" s="11" t="s">
        <v>265</v>
      </c>
      <c r="B2054" s="11" t="s">
        <v>439</v>
      </c>
      <c r="C2054" s="5" t="s">
        <v>16</v>
      </c>
      <c r="D2054">
        <v>400</v>
      </c>
      <c r="E2054">
        <v>3</v>
      </c>
      <c r="F2054">
        <v>30</v>
      </c>
      <c r="G2054" s="11">
        <v>6</v>
      </c>
      <c r="H2054" s="5">
        <v>0.216</v>
      </c>
      <c r="I2054" s="11">
        <v>342000</v>
      </c>
      <c r="J2054" s="20">
        <v>2052000</v>
      </c>
      <c r="K20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5" spans="1:11" hidden="1" x14ac:dyDescent="0.25">
      <c r="A2055" s="11"/>
      <c r="B2055" s="11"/>
      <c r="C2055" s="5"/>
      <c r="G2055" s="11"/>
      <c r="H2055" s="5"/>
      <c r="I2055" s="11"/>
      <c r="J2055" s="20"/>
      <c r="K20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6" spans="1:11" hidden="1" x14ac:dyDescent="0.25">
      <c r="A2056" s="11"/>
      <c r="B2056" s="11"/>
      <c r="C2056" s="5"/>
      <c r="G2056" s="11"/>
      <c r="H2056" s="5"/>
      <c r="I2056" s="11"/>
      <c r="J2056" s="20"/>
      <c r="K20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7" spans="1:11" x14ac:dyDescent="0.25">
      <c r="A2057" s="11" t="s">
        <v>265</v>
      </c>
      <c r="B2057" s="11" t="s">
        <v>493</v>
      </c>
      <c r="C2057" s="5" t="s">
        <v>86</v>
      </c>
      <c r="D2057">
        <v>300</v>
      </c>
      <c r="E2057">
        <v>4</v>
      </c>
      <c r="F2057">
        <v>25</v>
      </c>
      <c r="G2057" s="11">
        <v>7</v>
      </c>
      <c r="H2057" s="5">
        <v>0.21</v>
      </c>
      <c r="I2057" s="11">
        <v>279000</v>
      </c>
      <c r="J2057" s="20">
        <v>1953000</v>
      </c>
      <c r="K20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8" spans="1:11" hidden="1" x14ac:dyDescent="0.25">
      <c r="A2058" s="11"/>
      <c r="B2058" s="11"/>
      <c r="C2058" s="5"/>
      <c r="G2058" s="11"/>
      <c r="H2058" s="5"/>
      <c r="I2058" s="11"/>
      <c r="J2058" s="20"/>
      <c r="K20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59" spans="1:11" x14ac:dyDescent="0.25">
      <c r="A2059" s="11"/>
      <c r="B2059" s="11" t="s">
        <v>439</v>
      </c>
      <c r="C2059" s="5" t="s">
        <v>16</v>
      </c>
      <c r="D2059">
        <v>400</v>
      </c>
      <c r="E2059">
        <v>3</v>
      </c>
      <c r="F2059">
        <v>30</v>
      </c>
      <c r="G2059" s="11">
        <v>3</v>
      </c>
      <c r="H2059" s="5">
        <v>0.108</v>
      </c>
      <c r="I2059" s="11">
        <v>342000</v>
      </c>
      <c r="J2059" s="20">
        <v>1026000</v>
      </c>
      <c r="K20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0" spans="1:11" hidden="1" x14ac:dyDescent="0.25">
      <c r="A2060" s="11"/>
      <c r="B2060" s="11"/>
      <c r="C2060" s="5"/>
      <c r="G2060" s="11"/>
      <c r="H2060" s="5"/>
      <c r="I2060" s="11"/>
      <c r="J2060" s="20"/>
      <c r="K20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1" spans="1:11" x14ac:dyDescent="0.25">
      <c r="A2061" s="11"/>
      <c r="B2061" s="11" t="s">
        <v>435</v>
      </c>
      <c r="C2061" s="5" t="s">
        <v>11</v>
      </c>
      <c r="D2061">
        <v>400</v>
      </c>
      <c r="E2061">
        <v>6</v>
      </c>
      <c r="F2061">
        <v>12</v>
      </c>
      <c r="G2061" s="11">
        <v>4</v>
      </c>
      <c r="H2061" s="5">
        <v>0.1152</v>
      </c>
      <c r="I2061" s="11">
        <v>250560</v>
      </c>
      <c r="J2061" s="20">
        <v>1002240</v>
      </c>
      <c r="K20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62" spans="1:11" hidden="1" x14ac:dyDescent="0.25">
      <c r="A2062" s="11"/>
      <c r="B2062" s="11"/>
      <c r="C2062" s="5"/>
      <c r="G2062" s="11"/>
      <c r="H2062" s="5"/>
      <c r="I2062" s="11"/>
      <c r="J2062" s="20"/>
      <c r="K20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3" spans="1:11" x14ac:dyDescent="0.25">
      <c r="A2063" s="11"/>
      <c r="B2063" s="11" t="s">
        <v>520</v>
      </c>
      <c r="C2063" s="5" t="s">
        <v>126</v>
      </c>
      <c r="D2063">
        <v>500</v>
      </c>
      <c r="E2063">
        <v>6</v>
      </c>
      <c r="F2063">
        <v>12</v>
      </c>
      <c r="G2063" s="11">
        <v>1</v>
      </c>
      <c r="H2063" s="5">
        <v>3.5999999999999997E-2</v>
      </c>
      <c r="I2063" s="11">
        <v>331200</v>
      </c>
      <c r="J2063" s="20">
        <v>331200</v>
      </c>
      <c r="K20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64" spans="1:11" hidden="1" x14ac:dyDescent="0.25">
      <c r="A2064" s="11"/>
      <c r="B2064" s="11"/>
      <c r="C2064" s="5"/>
      <c r="G2064" s="11"/>
      <c r="H2064" s="5"/>
      <c r="I2064" s="11"/>
      <c r="J2064" s="20"/>
      <c r="K20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5" spans="1:11" hidden="1" x14ac:dyDescent="0.25">
      <c r="A2065" s="11"/>
      <c r="B2065" s="11"/>
      <c r="C2065" s="5"/>
      <c r="G2065" s="11"/>
      <c r="H2065" s="5"/>
      <c r="I2065" s="11"/>
      <c r="J2065" s="20"/>
      <c r="K20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6" spans="1:11" x14ac:dyDescent="0.25">
      <c r="A2066" s="11" t="s">
        <v>265</v>
      </c>
      <c r="B2066" s="11" t="s">
        <v>444</v>
      </c>
      <c r="C2066" s="5" t="s">
        <v>23</v>
      </c>
      <c r="D2066">
        <v>400</v>
      </c>
      <c r="E2066">
        <v>5</v>
      </c>
      <c r="F2066">
        <v>15</v>
      </c>
      <c r="G2066" s="11">
        <v>15</v>
      </c>
      <c r="H2066" s="5">
        <v>0.45</v>
      </c>
      <c r="I2066" s="11">
        <v>648000</v>
      </c>
      <c r="J2066" s="20">
        <v>9720000</v>
      </c>
      <c r="K20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67" spans="1:11" hidden="1" x14ac:dyDescent="0.25">
      <c r="A2067" s="11"/>
      <c r="B2067" s="11"/>
      <c r="C2067" s="5"/>
      <c r="G2067" s="11"/>
      <c r="H2067" s="5"/>
      <c r="I2067" s="11"/>
      <c r="J2067" s="20"/>
      <c r="K20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68" spans="1:11" x14ac:dyDescent="0.25">
      <c r="A2068" s="11"/>
      <c r="B2068" s="11" t="s">
        <v>445</v>
      </c>
      <c r="C2068" s="5" t="s">
        <v>24</v>
      </c>
      <c r="D2068">
        <v>500</v>
      </c>
      <c r="E2068">
        <v>5</v>
      </c>
      <c r="F2068">
        <v>15</v>
      </c>
      <c r="G2068" s="11">
        <v>27</v>
      </c>
      <c r="H2068" s="5">
        <v>1.0125</v>
      </c>
      <c r="I2068" s="11">
        <v>828750</v>
      </c>
      <c r="J2068" s="20">
        <v>22376250</v>
      </c>
      <c r="K20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69" spans="1:11" hidden="1" x14ac:dyDescent="0.25">
      <c r="A2069" s="11"/>
      <c r="B2069" s="11"/>
      <c r="C2069" s="5"/>
      <c r="G2069" s="11"/>
      <c r="H2069" s="5"/>
      <c r="I2069" s="11"/>
      <c r="J2069" s="20"/>
      <c r="K20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0" spans="1:11" x14ac:dyDescent="0.25">
      <c r="A2070" s="11"/>
      <c r="B2070" s="11" t="s">
        <v>571</v>
      </c>
      <c r="C2070" s="5" t="s">
        <v>266</v>
      </c>
      <c r="D2070">
        <v>300</v>
      </c>
      <c r="E2070">
        <v>5</v>
      </c>
      <c r="F2070">
        <v>15</v>
      </c>
      <c r="G2070" s="11">
        <v>1</v>
      </c>
      <c r="H2070" s="5">
        <v>2.2499999999999999E-2</v>
      </c>
      <c r="I2070" s="11">
        <v>477000</v>
      </c>
      <c r="J2070" s="20">
        <v>477000</v>
      </c>
      <c r="K20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71" spans="1:11" hidden="1" x14ac:dyDescent="0.25">
      <c r="A2071" s="11"/>
      <c r="B2071" s="11"/>
      <c r="C2071" s="5"/>
      <c r="G2071" s="11"/>
      <c r="H2071" s="5"/>
      <c r="I2071" s="11"/>
      <c r="J2071" s="20"/>
      <c r="K20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2" spans="1:11" x14ac:dyDescent="0.25">
      <c r="A2072" s="11"/>
      <c r="B2072" s="11" t="s">
        <v>499</v>
      </c>
      <c r="C2072" s="5" t="s">
        <v>94</v>
      </c>
      <c r="D2072">
        <v>300</v>
      </c>
      <c r="E2072">
        <v>6</v>
      </c>
      <c r="F2072">
        <v>15</v>
      </c>
      <c r="G2072" s="11">
        <v>15</v>
      </c>
      <c r="H2072" s="5">
        <v>0.40500000000000003</v>
      </c>
      <c r="I2072" s="11">
        <v>556200</v>
      </c>
      <c r="J2072" s="20">
        <v>8343000</v>
      </c>
      <c r="K20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73" spans="1:11" hidden="1" x14ac:dyDescent="0.25">
      <c r="A2073" s="11"/>
      <c r="B2073" s="11"/>
      <c r="C2073" s="5"/>
      <c r="G2073" s="11"/>
      <c r="H2073" s="5"/>
      <c r="I2073" s="11"/>
      <c r="J2073" s="20"/>
      <c r="K20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4" spans="1:11" x14ac:dyDescent="0.25">
      <c r="A2074" s="11"/>
      <c r="B2074" s="11" t="s">
        <v>572</v>
      </c>
      <c r="C2074" s="5" t="s">
        <v>267</v>
      </c>
      <c r="D2074">
        <v>350</v>
      </c>
      <c r="E2074">
        <v>5</v>
      </c>
      <c r="F2074">
        <v>15</v>
      </c>
      <c r="G2074" s="11">
        <v>4</v>
      </c>
      <c r="H2074" s="5">
        <v>0.105</v>
      </c>
      <c r="I2074" s="11">
        <v>555440</v>
      </c>
      <c r="J2074" s="20">
        <v>2221760</v>
      </c>
      <c r="K20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75" spans="1:11" hidden="1" x14ac:dyDescent="0.25">
      <c r="A2075" s="11"/>
      <c r="B2075" s="11"/>
      <c r="C2075" s="5"/>
      <c r="G2075" s="11"/>
      <c r="H2075" s="5"/>
      <c r="I2075" s="11"/>
      <c r="J2075" s="20"/>
      <c r="K20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6" spans="1:11" hidden="1" x14ac:dyDescent="0.25">
      <c r="A2076" s="11"/>
      <c r="B2076" s="11"/>
      <c r="C2076" s="5"/>
      <c r="G2076" s="11"/>
      <c r="H2076" s="5"/>
      <c r="I2076" s="11"/>
      <c r="J2076" s="20"/>
      <c r="K20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7" spans="1:11" x14ac:dyDescent="0.25">
      <c r="A2077" s="11" t="s">
        <v>268</v>
      </c>
      <c r="B2077" s="11" t="s">
        <v>502</v>
      </c>
      <c r="C2077" s="5" t="s">
        <v>98</v>
      </c>
      <c r="D2077">
        <v>400</v>
      </c>
      <c r="E2077">
        <v>5</v>
      </c>
      <c r="F2077">
        <v>15</v>
      </c>
      <c r="G2077" s="11">
        <v>4</v>
      </c>
      <c r="H2077" s="5">
        <v>0.12</v>
      </c>
      <c r="I2077" s="11">
        <v>273000</v>
      </c>
      <c r="J2077" s="20">
        <v>1092000</v>
      </c>
      <c r="K20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78" spans="1:11" hidden="1" x14ac:dyDescent="0.25">
      <c r="A2078" s="11"/>
      <c r="B2078" s="11"/>
      <c r="C2078" s="5"/>
      <c r="G2078" s="11"/>
      <c r="H2078" s="5"/>
      <c r="I2078" s="11"/>
      <c r="J2078" s="20"/>
      <c r="K20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79" spans="1:11" x14ac:dyDescent="0.25">
      <c r="A2079" s="11"/>
      <c r="B2079" s="11" t="s">
        <v>519</v>
      </c>
      <c r="C2079" s="5" t="s">
        <v>125</v>
      </c>
      <c r="D2079">
        <v>400</v>
      </c>
      <c r="E2079">
        <v>5</v>
      </c>
      <c r="F2079">
        <v>25</v>
      </c>
      <c r="G2079" s="11">
        <v>1</v>
      </c>
      <c r="H2079" s="5">
        <v>0.05</v>
      </c>
      <c r="I2079" s="11">
        <v>475000</v>
      </c>
      <c r="J2079" s="20">
        <v>475000</v>
      </c>
      <c r="K20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080" spans="1:11" hidden="1" x14ac:dyDescent="0.25">
      <c r="A2080" s="11"/>
      <c r="B2080" s="11"/>
      <c r="C2080" s="5"/>
      <c r="G2080" s="11"/>
      <c r="H2080" s="5"/>
      <c r="I2080" s="11"/>
      <c r="J2080" s="20"/>
      <c r="K20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1" spans="1:11" hidden="1" x14ac:dyDescent="0.25">
      <c r="A2081" s="11"/>
      <c r="B2081" s="11"/>
      <c r="C2081" s="5"/>
      <c r="G2081" s="11"/>
      <c r="H2081" s="5"/>
      <c r="I2081" s="11"/>
      <c r="J2081" s="20"/>
      <c r="K20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2" spans="1:11" x14ac:dyDescent="0.25">
      <c r="A2082" s="11" t="s">
        <v>268</v>
      </c>
      <c r="B2082" s="11" t="s">
        <v>573</v>
      </c>
      <c r="C2082" s="5" t="s">
        <v>269</v>
      </c>
      <c r="D2082">
        <v>400</v>
      </c>
      <c r="E2082">
        <v>3</v>
      </c>
      <c r="F2082">
        <v>25</v>
      </c>
      <c r="G2082" s="11">
        <v>2</v>
      </c>
      <c r="H2082" s="5">
        <v>0.06</v>
      </c>
      <c r="I2082" s="11">
        <v>675000</v>
      </c>
      <c r="J2082" s="20">
        <v>1350000</v>
      </c>
      <c r="K20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3" spans="1:11" hidden="1" x14ac:dyDescent="0.25">
      <c r="A2083" s="11"/>
      <c r="B2083" s="11"/>
      <c r="C2083" s="5"/>
      <c r="G2083" s="11"/>
      <c r="H2083" s="5"/>
      <c r="I2083" s="11"/>
      <c r="J2083" s="20"/>
      <c r="K20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4" spans="1:11" x14ac:dyDescent="0.25">
      <c r="A2084" s="11"/>
      <c r="B2084" s="11" t="s">
        <v>574</v>
      </c>
      <c r="C2084" s="5" t="s">
        <v>270</v>
      </c>
      <c r="D2084">
        <v>400</v>
      </c>
      <c r="E2084">
        <v>4</v>
      </c>
      <c r="F2084">
        <v>25</v>
      </c>
      <c r="G2084" s="11">
        <v>2</v>
      </c>
      <c r="H2084" s="5">
        <v>0.08</v>
      </c>
      <c r="I2084" s="11">
        <v>900000</v>
      </c>
      <c r="J2084" s="20">
        <v>1800000</v>
      </c>
      <c r="K20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5" spans="1:11" hidden="1" x14ac:dyDescent="0.25">
      <c r="A2085" s="11"/>
      <c r="B2085" s="11"/>
      <c r="C2085" s="5"/>
      <c r="G2085" s="11"/>
      <c r="H2085" s="5"/>
      <c r="I2085" s="11"/>
      <c r="J2085" s="20"/>
      <c r="K20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6" spans="1:11" hidden="1" x14ac:dyDescent="0.25">
      <c r="A2086" s="11"/>
      <c r="B2086" s="11"/>
      <c r="C2086" s="5"/>
      <c r="G2086" s="11"/>
      <c r="H2086" s="5"/>
      <c r="I2086" s="11"/>
      <c r="J2086" s="20"/>
      <c r="K20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7" spans="1:11" x14ac:dyDescent="0.25">
      <c r="A2087" s="11" t="s">
        <v>268</v>
      </c>
      <c r="B2087" s="11" t="s">
        <v>476</v>
      </c>
      <c r="C2087" s="5" t="s">
        <v>62</v>
      </c>
      <c r="D2087">
        <v>400</v>
      </c>
      <c r="E2087">
        <v>3</v>
      </c>
      <c r="F2087">
        <v>20</v>
      </c>
      <c r="G2087" s="11">
        <v>5</v>
      </c>
      <c r="H2087" s="5">
        <v>0.12</v>
      </c>
      <c r="I2087" s="11">
        <v>208800</v>
      </c>
      <c r="J2087" s="20">
        <v>1044000</v>
      </c>
      <c r="K20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8" spans="1:11" hidden="1" x14ac:dyDescent="0.25">
      <c r="A2088" s="11"/>
      <c r="B2088" s="11"/>
      <c r="C2088" s="5"/>
      <c r="G2088" s="11"/>
      <c r="H2088" s="5"/>
      <c r="I2088" s="11"/>
      <c r="J2088" s="20"/>
      <c r="K20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89" spans="1:11" x14ac:dyDescent="0.25">
      <c r="A2089" s="11"/>
      <c r="B2089" s="11" t="s">
        <v>435</v>
      </c>
      <c r="C2089" s="5" t="s">
        <v>11</v>
      </c>
      <c r="D2089">
        <v>400</v>
      </c>
      <c r="E2089">
        <v>6</v>
      </c>
      <c r="F2089">
        <v>12</v>
      </c>
      <c r="G2089" s="11">
        <v>3</v>
      </c>
      <c r="H2089" s="5">
        <v>8.6400000000000005E-2</v>
      </c>
      <c r="I2089" s="11">
        <v>250560</v>
      </c>
      <c r="J2089" s="20">
        <v>751680</v>
      </c>
      <c r="K20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90" spans="1:11" hidden="1" x14ac:dyDescent="0.25">
      <c r="A2090" s="11"/>
      <c r="B2090" s="11"/>
      <c r="C2090" s="5"/>
      <c r="G2090" s="11"/>
      <c r="H2090" s="5"/>
      <c r="I2090" s="11"/>
      <c r="J2090" s="20"/>
      <c r="K20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1" spans="1:11" x14ac:dyDescent="0.25">
      <c r="A2091" s="11"/>
      <c r="B2091" s="11" t="s">
        <v>520</v>
      </c>
      <c r="C2091" s="5" t="s">
        <v>126</v>
      </c>
      <c r="D2091">
        <v>500</v>
      </c>
      <c r="E2091">
        <v>6</v>
      </c>
      <c r="F2091">
        <v>12</v>
      </c>
      <c r="G2091" s="11">
        <v>2</v>
      </c>
      <c r="H2091" s="5">
        <v>7.1999999999999995E-2</v>
      </c>
      <c r="I2091" s="11">
        <v>331200</v>
      </c>
      <c r="J2091" s="20">
        <v>662400</v>
      </c>
      <c r="K20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92" spans="1:11" hidden="1" x14ac:dyDescent="0.25">
      <c r="A2092" s="11"/>
      <c r="B2092" s="11"/>
      <c r="C2092" s="5"/>
      <c r="G2092" s="11"/>
      <c r="H2092" s="5"/>
      <c r="I2092" s="11"/>
      <c r="J2092" s="20"/>
      <c r="K20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3" spans="1:11" hidden="1" x14ac:dyDescent="0.25">
      <c r="A2093" s="11"/>
      <c r="B2093" s="11"/>
      <c r="C2093" s="5"/>
      <c r="G2093" s="11"/>
      <c r="H2093" s="5"/>
      <c r="I2093" s="11"/>
      <c r="J2093" s="20"/>
      <c r="K20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4" spans="1:11" x14ac:dyDescent="0.25">
      <c r="A2094" s="11" t="s">
        <v>268</v>
      </c>
      <c r="B2094" s="11" t="s">
        <v>499</v>
      </c>
      <c r="C2094" s="5" t="s">
        <v>94</v>
      </c>
      <c r="D2094">
        <v>300</v>
      </c>
      <c r="E2094">
        <v>6</v>
      </c>
      <c r="F2094">
        <v>15</v>
      </c>
      <c r="G2094" s="11">
        <v>10</v>
      </c>
      <c r="H2094" s="5">
        <v>0.27</v>
      </c>
      <c r="I2094" s="11">
        <v>556200</v>
      </c>
      <c r="J2094" s="20">
        <v>5562000</v>
      </c>
      <c r="K20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95" spans="1:11" hidden="1" x14ac:dyDescent="0.25">
      <c r="A2095" s="11"/>
      <c r="B2095" s="11"/>
      <c r="C2095" s="5"/>
      <c r="G2095" s="11"/>
      <c r="H2095" s="5"/>
      <c r="I2095" s="11"/>
      <c r="J2095" s="20"/>
      <c r="K20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6" spans="1:11" x14ac:dyDescent="0.25">
      <c r="A2096" s="11"/>
      <c r="B2096" s="11" t="s">
        <v>439</v>
      </c>
      <c r="C2096" s="5" t="s">
        <v>16</v>
      </c>
      <c r="D2096">
        <v>400</v>
      </c>
      <c r="E2096">
        <v>3</v>
      </c>
      <c r="F2096">
        <v>30</v>
      </c>
      <c r="G2096" s="11">
        <v>2</v>
      </c>
      <c r="H2096" s="5">
        <v>7.1999999999999995E-2</v>
      </c>
      <c r="I2096" s="11">
        <v>342000</v>
      </c>
      <c r="J2096" s="20">
        <v>684000</v>
      </c>
      <c r="K20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7" spans="1:11" hidden="1" x14ac:dyDescent="0.25">
      <c r="A2097" s="11"/>
      <c r="B2097" s="11"/>
      <c r="C2097" s="5"/>
      <c r="G2097" s="11"/>
      <c r="H2097" s="5"/>
      <c r="I2097" s="11"/>
      <c r="J2097" s="20"/>
      <c r="K20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098" spans="1:11" x14ac:dyDescent="0.25">
      <c r="A2098" s="11"/>
      <c r="B2098" s="11" t="s">
        <v>435</v>
      </c>
      <c r="C2098" s="5" t="s">
        <v>11</v>
      </c>
      <c r="D2098">
        <v>400</v>
      </c>
      <c r="E2098">
        <v>6</v>
      </c>
      <c r="F2098">
        <v>12</v>
      </c>
      <c r="G2098" s="11">
        <v>4</v>
      </c>
      <c r="H2098" s="5">
        <v>0.1152</v>
      </c>
      <c r="I2098" s="11">
        <v>250560</v>
      </c>
      <c r="J2098" s="20">
        <v>1002240</v>
      </c>
      <c r="K20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099" spans="1:11" hidden="1" x14ac:dyDescent="0.25">
      <c r="A2099" s="11"/>
      <c r="B2099" s="11"/>
      <c r="C2099" s="5"/>
      <c r="G2099" s="11"/>
      <c r="H2099" s="5"/>
      <c r="I2099" s="11"/>
      <c r="J2099" s="20"/>
      <c r="K20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0" spans="1:11" hidden="1" x14ac:dyDescent="0.25">
      <c r="A2100" s="11"/>
      <c r="B2100" s="11"/>
      <c r="C2100" s="5"/>
      <c r="G2100" s="11"/>
      <c r="H2100" s="5"/>
      <c r="I2100" s="11"/>
      <c r="J2100" s="20"/>
      <c r="K21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1" spans="1:11" x14ac:dyDescent="0.25">
      <c r="A2101" s="11" t="s">
        <v>271</v>
      </c>
      <c r="B2101" s="11" t="s">
        <v>447</v>
      </c>
      <c r="C2101" s="5" t="s">
        <v>26</v>
      </c>
      <c r="D2101">
        <v>400</v>
      </c>
      <c r="E2101">
        <v>4</v>
      </c>
      <c r="F2101">
        <v>12</v>
      </c>
      <c r="G2101" s="11">
        <v>6</v>
      </c>
      <c r="H2101" s="5">
        <v>0.1152</v>
      </c>
      <c r="I2101" s="11">
        <v>424320</v>
      </c>
      <c r="J2101" s="20">
        <v>2545920</v>
      </c>
      <c r="K21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2" spans="1:11" hidden="1" x14ac:dyDescent="0.25">
      <c r="A2102" s="11"/>
      <c r="B2102" s="11"/>
      <c r="C2102" s="5"/>
      <c r="G2102" s="11"/>
      <c r="H2102" s="5"/>
      <c r="I2102" s="11"/>
      <c r="J2102" s="20"/>
      <c r="K21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3" spans="1:11" x14ac:dyDescent="0.25">
      <c r="A2103" s="11"/>
      <c r="B2103" s="11" t="s">
        <v>485</v>
      </c>
      <c r="C2103" s="5" t="s">
        <v>74</v>
      </c>
      <c r="D2103">
        <v>150</v>
      </c>
      <c r="E2103">
        <v>6</v>
      </c>
      <c r="F2103">
        <v>15</v>
      </c>
      <c r="G2103" s="11">
        <v>1</v>
      </c>
      <c r="H2103" s="5">
        <v>1.35E-2</v>
      </c>
      <c r="I2103" s="11">
        <v>259200</v>
      </c>
      <c r="J2103" s="20">
        <v>259200</v>
      </c>
      <c r="K21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04" spans="1:11" hidden="1" x14ac:dyDescent="0.25">
      <c r="A2104" s="11"/>
      <c r="B2104" s="11"/>
      <c r="C2104" s="5"/>
      <c r="G2104" s="11"/>
      <c r="H2104" s="5"/>
      <c r="I2104" s="11"/>
      <c r="J2104" s="20"/>
      <c r="K21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5" spans="1:11" x14ac:dyDescent="0.25">
      <c r="A2105" s="11"/>
      <c r="B2105" s="11" t="s">
        <v>479</v>
      </c>
      <c r="C2105" s="5" t="s">
        <v>65</v>
      </c>
      <c r="D2105">
        <v>240</v>
      </c>
      <c r="E2105">
        <v>6</v>
      </c>
      <c r="F2105">
        <v>15</v>
      </c>
      <c r="G2105" s="11">
        <v>6</v>
      </c>
      <c r="H2105" s="5">
        <v>0.12959999999999999</v>
      </c>
      <c r="I2105" s="11">
        <v>444960</v>
      </c>
      <c r="J2105" s="20">
        <v>2669760</v>
      </c>
      <c r="K21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06" spans="1:11" hidden="1" x14ac:dyDescent="0.25">
      <c r="A2106" s="11"/>
      <c r="B2106" s="11"/>
      <c r="C2106" s="5"/>
      <c r="G2106" s="11"/>
      <c r="H2106" s="5"/>
      <c r="I2106" s="11"/>
      <c r="J2106" s="20"/>
      <c r="K21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7" spans="1:11" x14ac:dyDescent="0.25">
      <c r="A2107" s="11"/>
      <c r="B2107" s="11" t="s">
        <v>451</v>
      </c>
      <c r="C2107" s="5" t="s">
        <v>30</v>
      </c>
      <c r="D2107">
        <v>90</v>
      </c>
      <c r="E2107">
        <v>6</v>
      </c>
      <c r="F2107">
        <v>15</v>
      </c>
      <c r="G2107" s="11">
        <v>3</v>
      </c>
      <c r="H2107" s="5">
        <v>2.4299999999999999E-2</v>
      </c>
      <c r="I2107" s="11">
        <v>155520</v>
      </c>
      <c r="J2107" s="20">
        <v>466560</v>
      </c>
      <c r="K21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08" spans="1:11" hidden="1" x14ac:dyDescent="0.25">
      <c r="A2108" s="11"/>
      <c r="B2108" s="11"/>
      <c r="C2108" s="5"/>
      <c r="G2108" s="11"/>
      <c r="H2108" s="5"/>
      <c r="I2108" s="11"/>
      <c r="J2108" s="20"/>
      <c r="K21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09" spans="1:11" hidden="1" x14ac:dyDescent="0.25">
      <c r="A2109" s="11"/>
      <c r="B2109" s="11"/>
      <c r="C2109" s="5"/>
      <c r="G2109" s="11"/>
      <c r="H2109" s="5"/>
      <c r="I2109" s="11"/>
      <c r="J2109" s="20"/>
      <c r="K21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0" spans="1:11" x14ac:dyDescent="0.25">
      <c r="A2110" s="11" t="s">
        <v>271</v>
      </c>
      <c r="B2110" s="11" t="s">
        <v>460</v>
      </c>
      <c r="C2110" s="5" t="s">
        <v>41</v>
      </c>
      <c r="D2110">
        <v>500</v>
      </c>
      <c r="E2110">
        <v>5</v>
      </c>
      <c r="F2110">
        <v>20</v>
      </c>
      <c r="G2110" s="11">
        <v>3</v>
      </c>
      <c r="H2110" s="5">
        <v>0.15</v>
      </c>
      <c r="I2110" s="11">
        <v>1175000</v>
      </c>
      <c r="J2110" s="20">
        <v>3525000</v>
      </c>
      <c r="K21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111" spans="1:11" hidden="1" x14ac:dyDescent="0.25">
      <c r="A2111" s="11"/>
      <c r="B2111" s="11"/>
      <c r="C2111" s="5"/>
      <c r="G2111" s="11"/>
      <c r="H2111" s="5"/>
      <c r="I2111" s="11"/>
      <c r="J2111" s="20"/>
      <c r="K21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2" spans="1:11" hidden="1" x14ac:dyDescent="0.25">
      <c r="A2112" s="11"/>
      <c r="B2112" s="11"/>
      <c r="C2112" s="5"/>
      <c r="G2112" s="11"/>
      <c r="H2112" s="5"/>
      <c r="I2112" s="11"/>
      <c r="J2112" s="20"/>
      <c r="K21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3" spans="1:11" x14ac:dyDescent="0.25">
      <c r="A2113" s="11" t="s">
        <v>273</v>
      </c>
      <c r="B2113" s="11" t="s">
        <v>575</v>
      </c>
      <c r="C2113" s="5" t="s">
        <v>272</v>
      </c>
      <c r="D2113">
        <v>400</v>
      </c>
      <c r="E2113">
        <v>6</v>
      </c>
      <c r="F2113">
        <v>12</v>
      </c>
      <c r="G2113" s="11">
        <v>30</v>
      </c>
      <c r="H2113" s="5">
        <v>0.86399999999999999</v>
      </c>
      <c r="I2113" s="11">
        <v>203040</v>
      </c>
      <c r="J2113" s="20">
        <v>6091200</v>
      </c>
      <c r="K21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14" spans="1:11" hidden="1" x14ac:dyDescent="0.25">
      <c r="A2114" s="11"/>
      <c r="B2114" s="11"/>
      <c r="C2114" s="5"/>
      <c r="G2114" s="11"/>
      <c r="H2114" s="5"/>
      <c r="I2114" s="11"/>
      <c r="J2114" s="20"/>
      <c r="K21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5" spans="1:11" x14ac:dyDescent="0.25">
      <c r="A2115" s="11"/>
      <c r="B2115" s="11" t="s">
        <v>553</v>
      </c>
      <c r="C2115" s="5" t="s">
        <v>194</v>
      </c>
      <c r="D2115">
        <v>400</v>
      </c>
      <c r="E2115">
        <v>3</v>
      </c>
      <c r="F2115">
        <v>30</v>
      </c>
      <c r="G2115" s="11">
        <v>4</v>
      </c>
      <c r="H2115" s="5">
        <v>0.14399999999999999</v>
      </c>
      <c r="I2115" s="11">
        <v>307800</v>
      </c>
      <c r="J2115" s="20">
        <v>1231200</v>
      </c>
      <c r="K21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6" spans="1:11" hidden="1" x14ac:dyDescent="0.25">
      <c r="A2116" s="11"/>
      <c r="B2116" s="11"/>
      <c r="C2116" s="5"/>
      <c r="G2116" s="11"/>
      <c r="H2116" s="5"/>
      <c r="I2116" s="11"/>
      <c r="J2116" s="20"/>
      <c r="K21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7" spans="1:11" x14ac:dyDescent="0.25">
      <c r="A2117" s="11"/>
      <c r="B2117" s="11" t="s">
        <v>564</v>
      </c>
      <c r="C2117" s="5" t="s">
        <v>233</v>
      </c>
      <c r="D2117">
        <v>400</v>
      </c>
      <c r="E2117">
        <v>4</v>
      </c>
      <c r="F2117">
        <v>25</v>
      </c>
      <c r="G2117" s="11">
        <v>15</v>
      </c>
      <c r="H2117" s="5">
        <v>0.6</v>
      </c>
      <c r="I2117" s="11">
        <v>322000</v>
      </c>
      <c r="J2117" s="20">
        <v>4830000</v>
      </c>
      <c r="K21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8" spans="1:11" hidden="1" x14ac:dyDescent="0.25">
      <c r="A2118" s="11"/>
      <c r="B2118" s="11"/>
      <c r="C2118" s="5"/>
      <c r="G2118" s="11"/>
      <c r="H2118" s="5"/>
      <c r="I2118" s="11"/>
      <c r="J2118" s="20"/>
      <c r="K21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19" spans="1:11" x14ac:dyDescent="0.25">
      <c r="A2119" s="11"/>
      <c r="B2119" s="11" t="s">
        <v>560</v>
      </c>
      <c r="C2119" s="5" t="s">
        <v>214</v>
      </c>
      <c r="D2119">
        <v>400</v>
      </c>
      <c r="E2119">
        <v>3</v>
      </c>
      <c r="F2119">
        <v>25</v>
      </c>
      <c r="G2119" s="11">
        <v>6</v>
      </c>
      <c r="H2119" s="5">
        <v>0.18</v>
      </c>
      <c r="I2119" s="11">
        <v>241500</v>
      </c>
      <c r="J2119" s="20">
        <v>1449000</v>
      </c>
      <c r="K21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0" spans="1:11" hidden="1" x14ac:dyDescent="0.25">
      <c r="A2120" s="11"/>
      <c r="B2120" s="11"/>
      <c r="C2120" s="5"/>
      <c r="G2120" s="11"/>
      <c r="H2120" s="5"/>
      <c r="I2120" s="11"/>
      <c r="J2120" s="20"/>
      <c r="K21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1" spans="1:11" x14ac:dyDescent="0.25">
      <c r="A2121" s="11"/>
      <c r="B2121" s="11" t="s">
        <v>462</v>
      </c>
      <c r="C2121" s="5" t="s">
        <v>44</v>
      </c>
      <c r="D2121">
        <v>400</v>
      </c>
      <c r="E2121">
        <v>6</v>
      </c>
      <c r="F2121">
        <v>15</v>
      </c>
      <c r="G2121" s="11">
        <v>30</v>
      </c>
      <c r="H2121" s="5">
        <v>1.08</v>
      </c>
      <c r="I2121" s="11">
        <v>253800</v>
      </c>
      <c r="J2121" s="20">
        <v>7614000</v>
      </c>
      <c r="K21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22" spans="1:11" hidden="1" x14ac:dyDescent="0.25">
      <c r="A2122" s="11"/>
      <c r="B2122" s="11"/>
      <c r="C2122" s="5"/>
      <c r="G2122" s="11"/>
      <c r="H2122" s="5"/>
      <c r="I2122" s="11"/>
      <c r="J2122" s="20"/>
      <c r="K21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3" spans="1:11" hidden="1" x14ac:dyDescent="0.25">
      <c r="A2123" s="11"/>
      <c r="B2123" s="11"/>
      <c r="C2123" s="5"/>
      <c r="G2123" s="11"/>
      <c r="H2123" s="5"/>
      <c r="I2123" s="11"/>
      <c r="J2123" s="20"/>
      <c r="K21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4" spans="1:11" x14ac:dyDescent="0.25">
      <c r="A2124" s="11" t="s">
        <v>273</v>
      </c>
      <c r="B2124" s="11" t="s">
        <v>543</v>
      </c>
      <c r="C2124" s="5" t="s">
        <v>174</v>
      </c>
      <c r="D2124">
        <v>300</v>
      </c>
      <c r="E2124">
        <v>6</v>
      </c>
      <c r="F2124">
        <v>17</v>
      </c>
      <c r="G2124" s="11">
        <v>1</v>
      </c>
      <c r="H2124" s="5">
        <v>3.0599999999999999E-2</v>
      </c>
      <c r="I2124" s="11">
        <v>660960</v>
      </c>
      <c r="J2124" s="20">
        <v>660960</v>
      </c>
      <c r="K21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25" spans="1:11" hidden="1" x14ac:dyDescent="0.25">
      <c r="A2125" s="11"/>
      <c r="B2125" s="11"/>
      <c r="C2125" s="5"/>
      <c r="G2125" s="11"/>
      <c r="H2125" s="5"/>
      <c r="I2125" s="11"/>
      <c r="J2125" s="20"/>
      <c r="K21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6" spans="1:11" x14ac:dyDescent="0.25">
      <c r="A2126" s="11"/>
      <c r="B2126" s="11" t="s">
        <v>555</v>
      </c>
      <c r="C2126" s="5" t="s">
        <v>201</v>
      </c>
      <c r="D2126">
        <v>400</v>
      </c>
      <c r="E2126">
        <v>6</v>
      </c>
      <c r="F2126">
        <v>17</v>
      </c>
      <c r="G2126" s="11">
        <v>2</v>
      </c>
      <c r="H2126" s="5">
        <v>8.1600000000000006E-2</v>
      </c>
      <c r="I2126" s="11">
        <v>881280</v>
      </c>
      <c r="J2126" s="20">
        <v>1762560</v>
      </c>
      <c r="K21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27" spans="1:11" hidden="1" x14ac:dyDescent="0.25">
      <c r="A2127" s="11"/>
      <c r="B2127" s="11"/>
      <c r="C2127" s="5"/>
      <c r="G2127" s="11"/>
      <c r="H2127" s="5"/>
      <c r="I2127" s="11"/>
      <c r="J2127" s="20"/>
      <c r="K21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28" spans="1:11" x14ac:dyDescent="0.25">
      <c r="A2128" s="11"/>
      <c r="B2128" s="11" t="s">
        <v>556</v>
      </c>
      <c r="C2128" s="5" t="s">
        <v>202</v>
      </c>
      <c r="D2128">
        <v>250</v>
      </c>
      <c r="E2128">
        <v>6</v>
      </c>
      <c r="F2128">
        <v>17</v>
      </c>
      <c r="G2128" s="11">
        <v>3</v>
      </c>
      <c r="H2128" s="5">
        <v>7.6499999999999999E-2</v>
      </c>
      <c r="I2128" s="11">
        <v>550800</v>
      </c>
      <c r="J2128" s="20">
        <v>1652400</v>
      </c>
      <c r="K21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29" spans="1:11" hidden="1" x14ac:dyDescent="0.25">
      <c r="A2129" s="11"/>
      <c r="B2129" s="11"/>
      <c r="C2129" s="5"/>
      <c r="G2129" s="11"/>
      <c r="H2129" s="5"/>
      <c r="I2129" s="11"/>
      <c r="J2129" s="20"/>
      <c r="K21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0" spans="1:11" x14ac:dyDescent="0.25">
      <c r="A2130" s="11"/>
      <c r="B2130" s="11" t="s">
        <v>576</v>
      </c>
      <c r="C2130" s="5" t="s">
        <v>274</v>
      </c>
      <c r="D2130">
        <v>220</v>
      </c>
      <c r="E2130">
        <v>6</v>
      </c>
      <c r="F2130">
        <v>17</v>
      </c>
      <c r="G2130" s="11">
        <v>4</v>
      </c>
      <c r="H2130" s="5">
        <v>8.9800000000000005E-2</v>
      </c>
      <c r="I2130" s="11">
        <v>474880</v>
      </c>
      <c r="J2130" s="20">
        <v>1899520</v>
      </c>
      <c r="K21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31" spans="1:11" hidden="1" x14ac:dyDescent="0.25">
      <c r="A2131" s="11"/>
      <c r="B2131" s="11"/>
      <c r="C2131" s="5"/>
      <c r="G2131" s="11"/>
      <c r="H2131" s="5"/>
      <c r="I2131" s="11"/>
      <c r="J2131" s="20"/>
      <c r="K21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2" spans="1:11" hidden="1" x14ac:dyDescent="0.25">
      <c r="A2132" s="11"/>
      <c r="B2132" s="11"/>
      <c r="C2132" s="5"/>
      <c r="G2132" s="11"/>
      <c r="H2132" s="5"/>
      <c r="I2132" s="11"/>
      <c r="J2132" s="20"/>
      <c r="K21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3" spans="1:11" x14ac:dyDescent="0.25">
      <c r="A2133" s="11" t="s">
        <v>273</v>
      </c>
      <c r="B2133" s="11" t="s">
        <v>476</v>
      </c>
      <c r="C2133" s="5" t="s">
        <v>62</v>
      </c>
      <c r="D2133">
        <v>400</v>
      </c>
      <c r="E2133">
        <v>3</v>
      </c>
      <c r="F2133">
        <v>20</v>
      </c>
      <c r="G2133" s="11">
        <v>25</v>
      </c>
      <c r="H2133" s="5">
        <v>0.6</v>
      </c>
      <c r="I2133" s="11">
        <v>208800</v>
      </c>
      <c r="J2133" s="20">
        <v>5220000</v>
      </c>
      <c r="K21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4" spans="1:11" hidden="1" x14ac:dyDescent="0.25">
      <c r="A2134" s="11"/>
      <c r="B2134" s="11"/>
      <c r="C2134" s="5"/>
      <c r="G2134" s="11"/>
      <c r="H2134" s="5"/>
      <c r="I2134" s="11"/>
      <c r="J2134" s="20"/>
      <c r="K21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5" spans="1:11" hidden="1" x14ac:dyDescent="0.25">
      <c r="A2135" s="11"/>
      <c r="B2135" s="11"/>
      <c r="C2135" s="5"/>
      <c r="G2135" s="11"/>
      <c r="H2135" s="5"/>
      <c r="I2135" s="11"/>
      <c r="J2135" s="20"/>
      <c r="K21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6" spans="1:11" x14ac:dyDescent="0.25">
      <c r="A2136" s="11" t="s">
        <v>273</v>
      </c>
      <c r="B2136" s="11" t="s">
        <v>511</v>
      </c>
      <c r="C2136" s="5" t="s">
        <v>111</v>
      </c>
      <c r="D2136">
        <v>400</v>
      </c>
      <c r="E2136">
        <v>8</v>
      </c>
      <c r="F2136">
        <v>12</v>
      </c>
      <c r="G2136" s="11">
        <v>19</v>
      </c>
      <c r="H2136" s="5">
        <v>0.72960000000000003</v>
      </c>
      <c r="I2136" s="11">
        <v>349440</v>
      </c>
      <c r="J2136" s="20">
        <v>6639360</v>
      </c>
      <c r="K21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137" spans="1:11" hidden="1" x14ac:dyDescent="0.25">
      <c r="A2137" s="11"/>
      <c r="B2137" s="11"/>
      <c r="C2137" s="5"/>
      <c r="G2137" s="11"/>
      <c r="H2137" s="5"/>
      <c r="I2137" s="11"/>
      <c r="J2137" s="20"/>
      <c r="K21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8" spans="1:11" hidden="1" x14ac:dyDescent="0.25">
      <c r="A2138" s="11"/>
      <c r="B2138" s="11"/>
      <c r="C2138" s="5"/>
      <c r="G2138" s="11"/>
      <c r="H2138" s="5"/>
      <c r="I2138" s="11"/>
      <c r="J2138" s="20"/>
      <c r="K21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39" spans="1:11" x14ac:dyDescent="0.25">
      <c r="A2139" s="11" t="s">
        <v>273</v>
      </c>
      <c r="B2139" s="11" t="s">
        <v>481</v>
      </c>
      <c r="C2139" s="5" t="s">
        <v>68</v>
      </c>
      <c r="D2139">
        <v>400</v>
      </c>
      <c r="E2139">
        <v>6</v>
      </c>
      <c r="F2139">
        <v>15</v>
      </c>
      <c r="G2139" s="11">
        <v>10</v>
      </c>
      <c r="H2139" s="5">
        <v>0.36</v>
      </c>
      <c r="I2139" s="11">
        <v>313200</v>
      </c>
      <c r="J2139" s="20">
        <v>3132000</v>
      </c>
      <c r="K21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40" spans="1:11" hidden="1" x14ac:dyDescent="0.25">
      <c r="A2140" s="11"/>
      <c r="B2140" s="11"/>
      <c r="C2140" s="5"/>
      <c r="G2140" s="11"/>
      <c r="H2140" s="5"/>
      <c r="I2140" s="11"/>
      <c r="J2140" s="20"/>
      <c r="K21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1" spans="1:11" hidden="1" x14ac:dyDescent="0.25">
      <c r="A2141" s="11"/>
      <c r="B2141" s="11"/>
      <c r="C2141" s="5"/>
      <c r="G2141" s="11"/>
      <c r="H2141" s="5"/>
      <c r="I2141" s="11"/>
      <c r="J2141" s="20"/>
      <c r="K21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2" spans="1:11" x14ac:dyDescent="0.25">
      <c r="A2142" s="11" t="s">
        <v>275</v>
      </c>
      <c r="B2142" s="11" t="s">
        <v>544</v>
      </c>
      <c r="C2142" s="5" t="s">
        <v>176</v>
      </c>
      <c r="D2142">
        <v>400</v>
      </c>
      <c r="E2142">
        <v>3</v>
      </c>
      <c r="F2142">
        <v>4</v>
      </c>
      <c r="G2142" s="11">
        <v>20</v>
      </c>
      <c r="H2142" s="5">
        <v>9.6000000000000002E-2</v>
      </c>
      <c r="I2142" s="11">
        <v>41760</v>
      </c>
      <c r="J2142" s="20">
        <v>835200</v>
      </c>
      <c r="K21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3" spans="1:11" hidden="1" x14ac:dyDescent="0.25">
      <c r="A2143" s="11"/>
      <c r="B2143" s="11"/>
      <c r="C2143" s="5"/>
      <c r="G2143" s="11"/>
      <c r="H2143" s="5"/>
      <c r="I2143" s="11"/>
      <c r="J2143" s="20"/>
      <c r="K21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4" spans="1:11" hidden="1" x14ac:dyDescent="0.25">
      <c r="A2144" s="11"/>
      <c r="B2144" s="11"/>
      <c r="C2144" s="5"/>
      <c r="G2144" s="11"/>
      <c r="H2144" s="5"/>
      <c r="I2144" s="11"/>
      <c r="J2144" s="20"/>
      <c r="K21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5" spans="1:11" x14ac:dyDescent="0.25">
      <c r="A2145" s="11" t="s">
        <v>275</v>
      </c>
      <c r="B2145" s="11" t="s">
        <v>456</v>
      </c>
      <c r="C2145" s="5" t="s">
        <v>37</v>
      </c>
      <c r="D2145">
        <v>250</v>
      </c>
      <c r="E2145">
        <v>4</v>
      </c>
      <c r="F2145">
        <v>25</v>
      </c>
      <c r="G2145" s="11">
        <v>4</v>
      </c>
      <c r="H2145" s="5">
        <v>0.1</v>
      </c>
      <c r="I2145" s="11">
        <v>572500</v>
      </c>
      <c r="J2145" s="20">
        <v>2290000</v>
      </c>
      <c r="K21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6" spans="1:11" hidden="1" x14ac:dyDescent="0.25">
      <c r="A2146" s="11"/>
      <c r="B2146" s="11"/>
      <c r="C2146" s="5"/>
      <c r="G2146" s="11"/>
      <c r="H2146" s="5"/>
      <c r="I2146" s="11"/>
      <c r="J2146" s="20"/>
      <c r="K21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7" spans="1:11" x14ac:dyDescent="0.25">
      <c r="A2147" s="11"/>
      <c r="B2147" s="11" t="s">
        <v>457</v>
      </c>
      <c r="C2147" s="5" t="s">
        <v>38</v>
      </c>
      <c r="D2147">
        <v>300</v>
      </c>
      <c r="E2147">
        <v>4</v>
      </c>
      <c r="F2147">
        <v>25</v>
      </c>
      <c r="G2147" s="11">
        <v>2</v>
      </c>
      <c r="H2147" s="5">
        <v>0.06</v>
      </c>
      <c r="I2147" s="11">
        <v>687000</v>
      </c>
      <c r="J2147" s="20">
        <v>1374000</v>
      </c>
      <c r="K21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8" spans="1:11" hidden="1" x14ac:dyDescent="0.25">
      <c r="A2148" s="11"/>
      <c r="B2148" s="11"/>
      <c r="C2148" s="5"/>
      <c r="G2148" s="11"/>
      <c r="H2148" s="5"/>
      <c r="I2148" s="11"/>
      <c r="J2148" s="20"/>
      <c r="K21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49" spans="1:11" x14ac:dyDescent="0.25">
      <c r="A2149" s="11"/>
      <c r="B2149" s="11" t="s">
        <v>512</v>
      </c>
      <c r="C2149" s="5" t="s">
        <v>113</v>
      </c>
      <c r="D2149">
        <v>450</v>
      </c>
      <c r="E2149">
        <v>3</v>
      </c>
      <c r="F2149">
        <v>25</v>
      </c>
      <c r="G2149" s="11">
        <v>2</v>
      </c>
      <c r="H2149" s="5">
        <v>6.7500000000000004E-2</v>
      </c>
      <c r="I2149" s="11">
        <v>790920</v>
      </c>
      <c r="J2149" s="20">
        <v>1581840</v>
      </c>
      <c r="K21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0" spans="1:11" hidden="1" x14ac:dyDescent="0.25">
      <c r="A2150" s="11"/>
      <c r="B2150" s="11"/>
      <c r="C2150" s="5"/>
      <c r="G2150" s="11"/>
      <c r="H2150" s="5"/>
      <c r="I2150" s="11"/>
      <c r="J2150" s="20"/>
      <c r="K21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1" spans="1:11" x14ac:dyDescent="0.25">
      <c r="A2151" s="11"/>
      <c r="B2151" s="11" t="s">
        <v>432</v>
      </c>
      <c r="C2151" s="5" t="s">
        <v>7</v>
      </c>
      <c r="D2151">
        <v>500</v>
      </c>
      <c r="E2151">
        <v>3</v>
      </c>
      <c r="F2151">
        <v>35</v>
      </c>
      <c r="G2151" s="11">
        <v>2</v>
      </c>
      <c r="H2151" s="5">
        <v>0.105</v>
      </c>
      <c r="I2151" s="11">
        <v>1275750</v>
      </c>
      <c r="J2151" s="20">
        <v>2551500</v>
      </c>
      <c r="K21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2" spans="1:11" hidden="1" x14ac:dyDescent="0.25">
      <c r="A2152" s="11"/>
      <c r="B2152" s="11"/>
      <c r="C2152" s="5"/>
      <c r="G2152" s="11"/>
      <c r="H2152" s="5"/>
      <c r="I2152" s="11"/>
      <c r="J2152" s="20"/>
      <c r="K21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3" spans="1:11" x14ac:dyDescent="0.25">
      <c r="A2153" s="11"/>
      <c r="B2153" s="11" t="s">
        <v>477</v>
      </c>
      <c r="C2153" s="5" t="s">
        <v>63</v>
      </c>
      <c r="D2153">
        <v>100</v>
      </c>
      <c r="E2153">
        <v>6</v>
      </c>
      <c r="F2153">
        <v>15</v>
      </c>
      <c r="G2153" s="11">
        <v>2</v>
      </c>
      <c r="H2153" s="5">
        <v>1.7999999999999999E-2</v>
      </c>
      <c r="I2153" s="11">
        <v>172800</v>
      </c>
      <c r="J2153" s="20">
        <v>345600</v>
      </c>
      <c r="K21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54" spans="1:11" hidden="1" x14ac:dyDescent="0.25">
      <c r="A2154" s="11"/>
      <c r="B2154" s="11"/>
      <c r="C2154" s="5"/>
      <c r="G2154" s="11"/>
      <c r="H2154" s="5"/>
      <c r="I2154" s="11"/>
      <c r="J2154" s="20"/>
      <c r="K21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5" spans="1:11" x14ac:dyDescent="0.25">
      <c r="A2155" s="11"/>
      <c r="B2155" s="11" t="s">
        <v>536</v>
      </c>
      <c r="C2155" s="5" t="s">
        <v>155</v>
      </c>
      <c r="D2155">
        <v>170</v>
      </c>
      <c r="E2155">
        <v>6</v>
      </c>
      <c r="F2155">
        <v>15</v>
      </c>
      <c r="G2155" s="11">
        <v>1</v>
      </c>
      <c r="H2155" s="5">
        <v>1.5299999999999999E-2</v>
      </c>
      <c r="I2155" s="11">
        <v>293760</v>
      </c>
      <c r="J2155" s="20">
        <v>293760</v>
      </c>
      <c r="K21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56" spans="1:11" hidden="1" x14ac:dyDescent="0.25">
      <c r="A2156" s="11"/>
      <c r="B2156" s="11"/>
      <c r="C2156" s="5"/>
      <c r="G2156" s="11"/>
      <c r="H2156" s="5"/>
      <c r="I2156" s="11"/>
      <c r="J2156" s="20"/>
      <c r="K21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7" spans="1:11" x14ac:dyDescent="0.25">
      <c r="A2157" s="11"/>
      <c r="B2157" s="11" t="s">
        <v>501</v>
      </c>
      <c r="C2157" s="5" t="s">
        <v>96</v>
      </c>
      <c r="D2157">
        <v>250</v>
      </c>
      <c r="E2157">
        <v>6</v>
      </c>
      <c r="F2157">
        <v>15</v>
      </c>
      <c r="G2157" s="11">
        <v>6</v>
      </c>
      <c r="H2157" s="5">
        <v>0.13500000000000001</v>
      </c>
      <c r="I2157" s="11">
        <v>477000</v>
      </c>
      <c r="J2157" s="20">
        <v>2862000</v>
      </c>
      <c r="K21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58" spans="1:11" hidden="1" x14ac:dyDescent="0.25">
      <c r="A2158" s="11"/>
      <c r="B2158" s="11"/>
      <c r="C2158" s="5"/>
      <c r="G2158" s="11"/>
      <c r="H2158" s="5"/>
      <c r="I2158" s="11"/>
      <c r="J2158" s="20"/>
      <c r="K21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59" spans="1:11" hidden="1" x14ac:dyDescent="0.25">
      <c r="A2159" s="11"/>
      <c r="B2159" s="11"/>
      <c r="C2159" s="5"/>
      <c r="G2159" s="11"/>
      <c r="H2159" s="5"/>
      <c r="I2159" s="11"/>
      <c r="J2159" s="20"/>
      <c r="K21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0" spans="1:11" x14ac:dyDescent="0.25">
      <c r="A2160" s="11" t="s">
        <v>276</v>
      </c>
      <c r="B2160" s="11" t="s">
        <v>533</v>
      </c>
      <c r="C2160" s="5" t="s">
        <v>152</v>
      </c>
      <c r="D2160">
        <v>400</v>
      </c>
      <c r="E2160">
        <v>3</v>
      </c>
      <c r="F2160">
        <v>20</v>
      </c>
      <c r="G2160" s="11">
        <v>1</v>
      </c>
      <c r="H2160" s="5">
        <v>2.4E-2</v>
      </c>
      <c r="I2160" s="11">
        <v>553200</v>
      </c>
      <c r="J2160" s="20">
        <v>553200</v>
      </c>
      <c r="K21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1" spans="1:11" hidden="1" x14ac:dyDescent="0.25">
      <c r="A2161" s="11"/>
      <c r="B2161" s="11"/>
      <c r="C2161" s="5"/>
      <c r="G2161" s="11"/>
      <c r="H2161" s="5"/>
      <c r="I2161" s="11"/>
      <c r="J2161" s="20"/>
      <c r="K21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2" spans="1:11" x14ac:dyDescent="0.25">
      <c r="A2162" s="11"/>
      <c r="B2162" s="11" t="s">
        <v>554</v>
      </c>
      <c r="C2162" s="5" t="s">
        <v>196</v>
      </c>
      <c r="D2162">
        <v>400</v>
      </c>
      <c r="E2162">
        <v>3</v>
      </c>
      <c r="F2162">
        <v>35</v>
      </c>
      <c r="G2162" s="11">
        <v>2</v>
      </c>
      <c r="H2162" s="5">
        <v>8.4000000000000005E-2</v>
      </c>
      <c r="I2162" s="11">
        <v>1010100</v>
      </c>
      <c r="J2162" s="20">
        <v>2020200</v>
      </c>
      <c r="K21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3" spans="1:11" hidden="1" x14ac:dyDescent="0.25">
      <c r="A2163" s="11"/>
      <c r="B2163" s="11"/>
      <c r="C2163" s="5"/>
      <c r="G2163" s="11"/>
      <c r="H2163" s="5"/>
      <c r="I2163" s="11"/>
      <c r="J2163" s="20"/>
      <c r="K21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4" spans="1:11" x14ac:dyDescent="0.25">
      <c r="A2164" s="11"/>
      <c r="B2164" s="11" t="s">
        <v>489</v>
      </c>
      <c r="C2164" s="5" t="s">
        <v>80</v>
      </c>
      <c r="D2164">
        <v>400</v>
      </c>
      <c r="E2164">
        <v>5</v>
      </c>
      <c r="F2164">
        <v>20</v>
      </c>
      <c r="G2164" s="11">
        <v>2</v>
      </c>
      <c r="H2164" s="5">
        <v>0.08</v>
      </c>
      <c r="I2164" s="11">
        <v>930000</v>
      </c>
      <c r="J2164" s="20">
        <v>1860000</v>
      </c>
      <c r="K21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165" spans="1:11" hidden="1" x14ac:dyDescent="0.25">
      <c r="A2165" s="11"/>
      <c r="B2165" s="11"/>
      <c r="C2165" s="5"/>
      <c r="G2165" s="11"/>
      <c r="H2165" s="5"/>
      <c r="I2165" s="11"/>
      <c r="J2165" s="20"/>
      <c r="K21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6" spans="1:11" x14ac:dyDescent="0.25">
      <c r="A2166" s="11"/>
      <c r="B2166" s="11" t="s">
        <v>503</v>
      </c>
      <c r="C2166" s="5" t="s">
        <v>99</v>
      </c>
      <c r="D2166">
        <v>300</v>
      </c>
      <c r="E2166">
        <v>6</v>
      </c>
      <c r="F2166">
        <v>15</v>
      </c>
      <c r="G2166" s="11">
        <v>17</v>
      </c>
      <c r="H2166" s="5">
        <v>0.45900000000000002</v>
      </c>
      <c r="I2166" s="11">
        <v>241650</v>
      </c>
      <c r="J2166" s="20">
        <v>4108050</v>
      </c>
      <c r="K21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67" spans="1:11" hidden="1" x14ac:dyDescent="0.25">
      <c r="A2167" s="11"/>
      <c r="B2167" s="11"/>
      <c r="C2167" s="5"/>
      <c r="G2167" s="11"/>
      <c r="H2167" s="5"/>
      <c r="I2167" s="11"/>
      <c r="J2167" s="20"/>
      <c r="K21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68" spans="1:11" x14ac:dyDescent="0.25">
      <c r="A2168" s="11"/>
      <c r="B2168" s="11" t="s">
        <v>502</v>
      </c>
      <c r="C2168" s="5" t="s">
        <v>98</v>
      </c>
      <c r="D2168">
        <v>400</v>
      </c>
      <c r="E2168">
        <v>5</v>
      </c>
      <c r="F2168">
        <v>15</v>
      </c>
      <c r="G2168" s="11">
        <v>15</v>
      </c>
      <c r="H2168" s="5">
        <v>0.45</v>
      </c>
      <c r="I2168" s="11">
        <v>280500</v>
      </c>
      <c r="J2168" s="20">
        <v>4207500</v>
      </c>
      <c r="K21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69" spans="1:11" hidden="1" x14ac:dyDescent="0.25">
      <c r="A2169" s="11"/>
      <c r="B2169" s="11"/>
      <c r="C2169" s="5"/>
      <c r="G2169" s="11"/>
      <c r="H2169" s="5"/>
      <c r="I2169" s="11"/>
      <c r="J2169" s="20"/>
      <c r="K21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0" spans="1:11" hidden="1" x14ac:dyDescent="0.25">
      <c r="A2170" s="11"/>
      <c r="B2170" s="11"/>
      <c r="C2170" s="5"/>
      <c r="G2170" s="11"/>
      <c r="H2170" s="5"/>
      <c r="I2170" s="11"/>
      <c r="J2170" s="20"/>
      <c r="K21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1" spans="1:11" x14ac:dyDescent="0.25">
      <c r="A2171" s="11" t="s">
        <v>276</v>
      </c>
      <c r="B2171" s="11" t="s">
        <v>439</v>
      </c>
      <c r="C2171" s="5" t="s">
        <v>16</v>
      </c>
      <c r="D2171">
        <v>400</v>
      </c>
      <c r="E2171">
        <v>3</v>
      </c>
      <c r="F2171">
        <v>30</v>
      </c>
      <c r="G2171" s="11">
        <v>5</v>
      </c>
      <c r="H2171" s="5">
        <v>0.18</v>
      </c>
      <c r="I2171" s="11">
        <v>342000</v>
      </c>
      <c r="J2171" s="20">
        <v>1710000</v>
      </c>
      <c r="K21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2" spans="1:11" hidden="1" x14ac:dyDescent="0.25">
      <c r="A2172" s="11"/>
      <c r="B2172" s="11"/>
      <c r="C2172" s="5"/>
      <c r="G2172" s="11"/>
      <c r="H2172" s="5"/>
      <c r="I2172" s="11"/>
      <c r="J2172" s="20"/>
      <c r="K21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3" spans="1:11" x14ac:dyDescent="0.25">
      <c r="A2173" s="11"/>
      <c r="B2173" s="11" t="s">
        <v>433</v>
      </c>
      <c r="C2173" s="5" t="s">
        <v>9</v>
      </c>
      <c r="D2173">
        <v>400</v>
      </c>
      <c r="E2173">
        <v>4</v>
      </c>
      <c r="F2173">
        <v>20</v>
      </c>
      <c r="G2173" s="11">
        <v>2</v>
      </c>
      <c r="H2173" s="5">
        <v>6.4000000000000001E-2</v>
      </c>
      <c r="I2173" s="11">
        <v>294400</v>
      </c>
      <c r="J2173" s="20">
        <v>588800</v>
      </c>
      <c r="K21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4" spans="1:11" hidden="1" x14ac:dyDescent="0.25">
      <c r="A2174" s="11"/>
      <c r="B2174" s="11"/>
      <c r="C2174" s="5"/>
      <c r="G2174" s="11"/>
      <c r="H2174" s="5"/>
      <c r="I2174" s="11"/>
      <c r="J2174" s="20"/>
      <c r="K21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5" spans="1:11" x14ac:dyDescent="0.25">
      <c r="A2175" s="11"/>
      <c r="B2175" s="11" t="s">
        <v>443</v>
      </c>
      <c r="C2175" s="5" t="s">
        <v>21</v>
      </c>
      <c r="D2175">
        <v>400</v>
      </c>
      <c r="E2175">
        <v>4</v>
      </c>
      <c r="F2175">
        <v>25</v>
      </c>
      <c r="G2175" s="11">
        <v>2</v>
      </c>
      <c r="H2175" s="5">
        <v>0.08</v>
      </c>
      <c r="I2175" s="11">
        <v>372000</v>
      </c>
      <c r="J2175" s="20">
        <v>744000</v>
      </c>
      <c r="K21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6" spans="1:11" hidden="1" x14ac:dyDescent="0.25">
      <c r="A2176" s="11"/>
      <c r="B2176" s="11"/>
      <c r="C2176" s="5"/>
      <c r="G2176" s="11"/>
      <c r="H2176" s="5"/>
      <c r="I2176" s="11"/>
      <c r="J2176" s="20"/>
      <c r="K21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7" spans="1:11" x14ac:dyDescent="0.25">
      <c r="A2177" s="11"/>
      <c r="B2177" s="11" t="s">
        <v>440</v>
      </c>
      <c r="C2177" s="5" t="s">
        <v>17</v>
      </c>
      <c r="D2177">
        <v>500</v>
      </c>
      <c r="E2177">
        <v>4</v>
      </c>
      <c r="F2177">
        <v>25</v>
      </c>
      <c r="G2177" s="11">
        <v>5</v>
      </c>
      <c r="H2177" s="5">
        <v>0.25</v>
      </c>
      <c r="I2177" s="11">
        <v>465000</v>
      </c>
      <c r="J2177" s="20">
        <v>2325000</v>
      </c>
      <c r="K21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8" spans="1:11" hidden="1" x14ac:dyDescent="0.25">
      <c r="A2178" s="11"/>
      <c r="B2178" s="11"/>
      <c r="C2178" s="5"/>
      <c r="G2178" s="11"/>
      <c r="H2178" s="5"/>
      <c r="I2178" s="11"/>
      <c r="J2178" s="20"/>
      <c r="K21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79" spans="1:11" hidden="1" x14ac:dyDescent="0.25">
      <c r="A2179" s="11"/>
      <c r="B2179" s="11"/>
      <c r="C2179" s="5"/>
      <c r="G2179" s="11"/>
      <c r="H2179" s="5"/>
      <c r="I2179" s="11"/>
      <c r="J2179" s="20"/>
      <c r="K21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0" spans="1:11" x14ac:dyDescent="0.25">
      <c r="A2180" s="11" t="s">
        <v>276</v>
      </c>
      <c r="B2180" s="11" t="s">
        <v>481</v>
      </c>
      <c r="C2180" s="5" t="s">
        <v>68</v>
      </c>
      <c r="D2180">
        <v>400</v>
      </c>
      <c r="E2180">
        <v>6</v>
      </c>
      <c r="F2180">
        <v>15</v>
      </c>
      <c r="G2180" s="11">
        <v>5</v>
      </c>
      <c r="H2180" s="5">
        <v>0.18</v>
      </c>
      <c r="I2180" s="11">
        <v>313200</v>
      </c>
      <c r="J2180" s="20">
        <v>1566000</v>
      </c>
      <c r="K21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81" spans="1:11" hidden="1" x14ac:dyDescent="0.25">
      <c r="A2181" s="11"/>
      <c r="B2181" s="11"/>
      <c r="C2181" s="5"/>
      <c r="G2181" s="11"/>
      <c r="H2181" s="5"/>
      <c r="I2181" s="11"/>
      <c r="J2181" s="20"/>
      <c r="K21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2" spans="1:11" x14ac:dyDescent="0.25">
      <c r="A2182" s="11"/>
      <c r="B2182" s="11" t="s">
        <v>491</v>
      </c>
      <c r="C2182" s="5" t="s">
        <v>83</v>
      </c>
      <c r="D2182">
        <v>450</v>
      </c>
      <c r="E2182">
        <v>6</v>
      </c>
      <c r="F2182">
        <v>15</v>
      </c>
      <c r="G2182" s="11">
        <v>1</v>
      </c>
      <c r="H2182" s="5">
        <v>4.0500000000000001E-2</v>
      </c>
      <c r="I2182" s="11">
        <v>372600</v>
      </c>
      <c r="J2182" s="20">
        <v>372600</v>
      </c>
      <c r="K21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83" spans="1:11" hidden="1" x14ac:dyDescent="0.25">
      <c r="A2183" s="11"/>
      <c r="B2183" s="11"/>
      <c r="C2183" s="5"/>
      <c r="G2183" s="11"/>
      <c r="H2183" s="5"/>
      <c r="I2183" s="11"/>
      <c r="J2183" s="20"/>
      <c r="K21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4" spans="1:11" hidden="1" x14ac:dyDescent="0.25">
      <c r="A2184" s="11"/>
      <c r="B2184" s="11"/>
      <c r="C2184" s="5"/>
      <c r="G2184" s="11"/>
      <c r="H2184" s="5"/>
      <c r="I2184" s="11"/>
      <c r="J2184" s="20"/>
      <c r="K21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5" spans="1:11" x14ac:dyDescent="0.25">
      <c r="A2185" s="11" t="s">
        <v>276</v>
      </c>
      <c r="B2185" s="11" t="s">
        <v>493</v>
      </c>
      <c r="C2185" s="5" t="s">
        <v>86</v>
      </c>
      <c r="D2185">
        <v>300</v>
      </c>
      <c r="E2185">
        <v>4</v>
      </c>
      <c r="F2185">
        <v>25</v>
      </c>
      <c r="G2185" s="11">
        <v>5</v>
      </c>
      <c r="H2185" s="5">
        <v>0.15</v>
      </c>
      <c r="I2185" s="11">
        <v>279000</v>
      </c>
      <c r="J2185" s="20">
        <v>1395000</v>
      </c>
      <c r="K21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6" spans="1:11" hidden="1" x14ac:dyDescent="0.25">
      <c r="A2186" s="11"/>
      <c r="B2186" s="11"/>
      <c r="C2186" s="5"/>
      <c r="G2186" s="11"/>
      <c r="H2186" s="5"/>
      <c r="I2186" s="11"/>
      <c r="J2186" s="20"/>
      <c r="K21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7" spans="1:11" x14ac:dyDescent="0.25">
      <c r="A2187" s="11"/>
      <c r="B2187" s="11" t="s">
        <v>443</v>
      </c>
      <c r="C2187" s="5" t="s">
        <v>21</v>
      </c>
      <c r="D2187">
        <v>400</v>
      </c>
      <c r="E2187">
        <v>4</v>
      </c>
      <c r="F2187">
        <v>25</v>
      </c>
      <c r="G2187" s="11">
        <v>18</v>
      </c>
      <c r="H2187" s="5">
        <v>0.72</v>
      </c>
      <c r="I2187" s="11">
        <v>372000</v>
      </c>
      <c r="J2187" s="20">
        <v>6696000</v>
      </c>
      <c r="K21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8" spans="1:11" hidden="1" x14ac:dyDescent="0.25">
      <c r="A2188" s="11"/>
      <c r="B2188" s="11"/>
      <c r="C2188" s="5"/>
      <c r="G2188" s="11"/>
      <c r="H2188" s="5"/>
      <c r="I2188" s="11"/>
      <c r="J2188" s="20"/>
      <c r="K21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89" spans="1:11" x14ac:dyDescent="0.25">
      <c r="A2189" s="11"/>
      <c r="B2189" s="11" t="s">
        <v>502</v>
      </c>
      <c r="C2189" s="5" t="s">
        <v>98</v>
      </c>
      <c r="D2189">
        <v>400</v>
      </c>
      <c r="E2189">
        <v>5</v>
      </c>
      <c r="F2189">
        <v>15</v>
      </c>
      <c r="G2189" s="11">
        <v>2</v>
      </c>
      <c r="H2189" s="5">
        <v>0.06</v>
      </c>
      <c r="I2189" s="11">
        <v>273000</v>
      </c>
      <c r="J2189" s="20">
        <v>546000</v>
      </c>
      <c r="K21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90" spans="1:11" hidden="1" x14ac:dyDescent="0.25">
      <c r="A2190" s="11"/>
      <c r="B2190" s="11"/>
      <c r="C2190" s="5"/>
      <c r="G2190" s="11"/>
      <c r="H2190" s="5"/>
      <c r="I2190" s="11"/>
      <c r="J2190" s="20"/>
      <c r="K21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1" spans="1:11" x14ac:dyDescent="0.25">
      <c r="A2191" s="11"/>
      <c r="B2191" s="11" t="s">
        <v>440</v>
      </c>
      <c r="C2191" s="5" t="s">
        <v>17</v>
      </c>
      <c r="D2191">
        <v>500</v>
      </c>
      <c r="E2191">
        <v>4</v>
      </c>
      <c r="F2191">
        <v>25</v>
      </c>
      <c r="G2191" s="11">
        <v>9</v>
      </c>
      <c r="H2191" s="5">
        <v>0.45</v>
      </c>
      <c r="I2191" s="11">
        <v>465000</v>
      </c>
      <c r="J2191" s="20">
        <v>4185000</v>
      </c>
      <c r="K21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2" spans="1:11" hidden="1" x14ac:dyDescent="0.25">
      <c r="A2192" s="11"/>
      <c r="B2192" s="11"/>
      <c r="C2192" s="5"/>
      <c r="G2192" s="11"/>
      <c r="H2192" s="5"/>
      <c r="I2192" s="11"/>
      <c r="J2192" s="20"/>
      <c r="K21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3" spans="1:11" x14ac:dyDescent="0.25">
      <c r="A2193" s="11"/>
      <c r="B2193" s="11" t="s">
        <v>471</v>
      </c>
      <c r="C2193" s="5" t="s">
        <v>56</v>
      </c>
      <c r="D2193">
        <v>500</v>
      </c>
      <c r="E2193">
        <v>5</v>
      </c>
      <c r="F2193">
        <v>15</v>
      </c>
      <c r="G2193" s="11">
        <v>1</v>
      </c>
      <c r="H2193" s="5">
        <v>3.7499999999999999E-2</v>
      </c>
      <c r="I2193" s="11">
        <v>360000</v>
      </c>
      <c r="J2193" s="20">
        <v>360000</v>
      </c>
      <c r="K21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194" spans="1:11" hidden="1" x14ac:dyDescent="0.25">
      <c r="A2194" s="11"/>
      <c r="B2194" s="11"/>
      <c r="C2194" s="5"/>
      <c r="G2194" s="11"/>
      <c r="H2194" s="5"/>
      <c r="I2194" s="11"/>
      <c r="J2194" s="20"/>
      <c r="K21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5" spans="1:11" hidden="1" x14ac:dyDescent="0.25">
      <c r="A2195" s="11"/>
      <c r="B2195" s="11"/>
      <c r="C2195" s="5"/>
      <c r="G2195" s="11"/>
      <c r="H2195" s="5"/>
      <c r="I2195" s="11"/>
      <c r="J2195" s="20"/>
      <c r="K21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6" spans="1:11" x14ac:dyDescent="0.25">
      <c r="A2196" s="11" t="s">
        <v>276</v>
      </c>
      <c r="B2196" s="11" t="s">
        <v>476</v>
      </c>
      <c r="C2196" s="5" t="s">
        <v>62</v>
      </c>
      <c r="D2196">
        <v>400</v>
      </c>
      <c r="E2196">
        <v>3</v>
      </c>
      <c r="F2196">
        <v>20</v>
      </c>
      <c r="G2196" s="11">
        <v>10</v>
      </c>
      <c r="H2196" s="5">
        <v>0.24</v>
      </c>
      <c r="I2196" s="11">
        <v>208800</v>
      </c>
      <c r="J2196" s="20">
        <v>2088000</v>
      </c>
      <c r="K21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7" spans="1:11" hidden="1" x14ac:dyDescent="0.25">
      <c r="A2197" s="11"/>
      <c r="B2197" s="11"/>
      <c r="C2197" s="5"/>
      <c r="G2197" s="11"/>
      <c r="H2197" s="5"/>
      <c r="I2197" s="11"/>
      <c r="J2197" s="20"/>
      <c r="K21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8" spans="1:11" hidden="1" x14ac:dyDescent="0.25">
      <c r="A2198" s="11"/>
      <c r="B2198" s="11"/>
      <c r="C2198" s="5"/>
      <c r="G2198" s="11"/>
      <c r="H2198" s="5"/>
      <c r="I2198" s="11"/>
      <c r="J2198" s="20"/>
      <c r="K21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199" spans="1:11" x14ac:dyDescent="0.25">
      <c r="A2199" s="11" t="s">
        <v>276</v>
      </c>
      <c r="B2199" s="11" t="s">
        <v>440</v>
      </c>
      <c r="C2199" s="5" t="s">
        <v>17</v>
      </c>
      <c r="D2199">
        <v>500</v>
      </c>
      <c r="E2199">
        <v>4</v>
      </c>
      <c r="F2199">
        <v>25</v>
      </c>
      <c r="G2199" s="11">
        <v>2</v>
      </c>
      <c r="H2199" s="5">
        <v>0.1</v>
      </c>
      <c r="I2199" s="11">
        <v>465000</v>
      </c>
      <c r="J2199" s="20">
        <v>930000</v>
      </c>
      <c r="K21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0" spans="1:11" hidden="1" x14ac:dyDescent="0.25">
      <c r="A2200" s="11"/>
      <c r="B2200" s="11"/>
      <c r="C2200" s="5"/>
      <c r="G2200" s="11"/>
      <c r="H2200" s="5"/>
      <c r="I2200" s="11"/>
      <c r="J2200" s="20"/>
      <c r="K22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1" spans="1:11" hidden="1" x14ac:dyDescent="0.25">
      <c r="A2201" s="11"/>
      <c r="B2201" s="11"/>
      <c r="C2201" s="5"/>
      <c r="G2201" s="11"/>
      <c r="H2201" s="5"/>
      <c r="I2201" s="11"/>
      <c r="J2201" s="20"/>
      <c r="K22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2" spans="1:11" x14ac:dyDescent="0.25">
      <c r="A2202" s="11" t="s">
        <v>276</v>
      </c>
      <c r="B2202" s="11" t="s">
        <v>490</v>
      </c>
      <c r="C2202" s="5" t="s">
        <v>82</v>
      </c>
      <c r="D2202">
        <v>250</v>
      </c>
      <c r="E2202">
        <v>6</v>
      </c>
      <c r="F2202">
        <v>15</v>
      </c>
      <c r="G2202" s="11">
        <v>1</v>
      </c>
      <c r="H2202" s="5">
        <v>2.2499999999999999E-2</v>
      </c>
      <c r="I2202" s="11">
        <v>207000</v>
      </c>
      <c r="J2202" s="20">
        <v>207000</v>
      </c>
      <c r="K22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03" spans="1:11" hidden="1" x14ac:dyDescent="0.25">
      <c r="A2203" s="11"/>
      <c r="B2203" s="11"/>
      <c r="C2203" s="5"/>
      <c r="G2203" s="11"/>
      <c r="H2203" s="5"/>
      <c r="I2203" s="11"/>
      <c r="J2203" s="20"/>
      <c r="K22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4" spans="1:11" x14ac:dyDescent="0.25">
      <c r="A2204" s="11"/>
      <c r="B2204" s="11" t="s">
        <v>503</v>
      </c>
      <c r="C2204" s="5" t="s">
        <v>99</v>
      </c>
      <c r="D2204">
        <v>300</v>
      </c>
      <c r="E2204">
        <v>6</v>
      </c>
      <c r="F2204">
        <v>15</v>
      </c>
      <c r="G2204" s="11">
        <v>2</v>
      </c>
      <c r="H2204" s="5">
        <v>5.3999999999999999E-2</v>
      </c>
      <c r="I2204" s="11">
        <v>234900</v>
      </c>
      <c r="J2204" s="20">
        <v>469800</v>
      </c>
      <c r="K22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05" spans="1:11" hidden="1" x14ac:dyDescent="0.25">
      <c r="A2205" s="11"/>
      <c r="B2205" s="11"/>
      <c r="C2205" s="5"/>
      <c r="G2205" s="11"/>
      <c r="H2205" s="5"/>
      <c r="I2205" s="11"/>
      <c r="J2205" s="20"/>
      <c r="K22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6" spans="1:11" x14ac:dyDescent="0.25">
      <c r="A2206" s="11"/>
      <c r="B2206" s="11" t="s">
        <v>433</v>
      </c>
      <c r="C2206" s="5" t="s">
        <v>9</v>
      </c>
      <c r="D2206">
        <v>400</v>
      </c>
      <c r="E2206">
        <v>4</v>
      </c>
      <c r="F2206">
        <v>20</v>
      </c>
      <c r="G2206" s="11">
        <v>3</v>
      </c>
      <c r="H2206" s="5">
        <v>9.6000000000000002E-2</v>
      </c>
      <c r="I2206" s="11">
        <v>294400</v>
      </c>
      <c r="J2206" s="20">
        <v>883200</v>
      </c>
      <c r="K22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7" spans="1:11" hidden="1" x14ac:dyDescent="0.25">
      <c r="A2207" s="11"/>
      <c r="B2207" s="11"/>
      <c r="C2207" s="5"/>
      <c r="G2207" s="11"/>
      <c r="H2207" s="5"/>
      <c r="I2207" s="11"/>
      <c r="J2207" s="20"/>
      <c r="K22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8" spans="1:11" x14ac:dyDescent="0.25">
      <c r="A2208" s="11"/>
      <c r="B2208" s="11" t="s">
        <v>434</v>
      </c>
      <c r="C2208" s="5" t="s">
        <v>10</v>
      </c>
      <c r="D2208">
        <v>400</v>
      </c>
      <c r="E2208">
        <v>4</v>
      </c>
      <c r="F2208">
        <v>30</v>
      </c>
      <c r="G2208" s="11">
        <v>1</v>
      </c>
      <c r="H2208" s="5">
        <v>4.8000000000000001E-2</v>
      </c>
      <c r="I2208" s="11">
        <v>456000</v>
      </c>
      <c r="J2208" s="20">
        <v>456000</v>
      </c>
      <c r="K22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09" spans="1:11" hidden="1" x14ac:dyDescent="0.25">
      <c r="A2209" s="11"/>
      <c r="B2209" s="11"/>
      <c r="C2209" s="5"/>
      <c r="G2209" s="11"/>
      <c r="H2209" s="5"/>
      <c r="I2209" s="11"/>
      <c r="J2209" s="20"/>
      <c r="K22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0" spans="1:11" x14ac:dyDescent="0.25">
      <c r="A2210" s="11"/>
      <c r="B2210" s="11" t="s">
        <v>481</v>
      </c>
      <c r="C2210" s="5" t="s">
        <v>68</v>
      </c>
      <c r="D2210">
        <v>400</v>
      </c>
      <c r="E2210">
        <v>6</v>
      </c>
      <c r="F2210">
        <v>15</v>
      </c>
      <c r="G2210" s="11">
        <v>4</v>
      </c>
      <c r="H2210" s="5">
        <v>0.14399999999999999</v>
      </c>
      <c r="I2210" s="11">
        <v>313200</v>
      </c>
      <c r="J2210" s="20">
        <v>1252800</v>
      </c>
      <c r="K22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11" spans="1:11" hidden="1" x14ac:dyDescent="0.25">
      <c r="A2211" s="11"/>
      <c r="B2211" s="11"/>
      <c r="C2211" s="5"/>
      <c r="G2211" s="11"/>
      <c r="H2211" s="5"/>
      <c r="I2211" s="11"/>
      <c r="J2211" s="20"/>
      <c r="K22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2" spans="1:11" hidden="1" x14ac:dyDescent="0.25">
      <c r="A2212" s="11"/>
      <c r="B2212" s="11"/>
      <c r="C2212" s="5"/>
      <c r="G2212" s="11"/>
      <c r="H2212" s="5"/>
      <c r="I2212" s="11"/>
      <c r="J2212" s="20"/>
      <c r="K22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3" spans="1:11" x14ac:dyDescent="0.25">
      <c r="A2213" s="11" t="s">
        <v>277</v>
      </c>
      <c r="B2213" s="11" t="s">
        <v>477</v>
      </c>
      <c r="C2213" s="5" t="s">
        <v>63</v>
      </c>
      <c r="D2213">
        <v>100</v>
      </c>
      <c r="E2213">
        <v>6</v>
      </c>
      <c r="F2213">
        <v>15</v>
      </c>
      <c r="G2213" s="11">
        <v>1</v>
      </c>
      <c r="H2213" s="5">
        <v>8.9999999999999993E-3</v>
      </c>
      <c r="I2213" s="11">
        <v>172800</v>
      </c>
      <c r="J2213" s="20">
        <v>172800</v>
      </c>
      <c r="K22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14" spans="1:11" hidden="1" x14ac:dyDescent="0.25">
      <c r="A2214" s="11"/>
      <c r="B2214" s="11"/>
      <c r="C2214" s="5"/>
      <c r="G2214" s="11"/>
      <c r="H2214" s="5"/>
      <c r="I2214" s="11"/>
      <c r="J2214" s="20"/>
      <c r="K22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5" spans="1:11" hidden="1" x14ac:dyDescent="0.25">
      <c r="A2215" s="11"/>
      <c r="B2215" s="11"/>
      <c r="C2215" s="5"/>
      <c r="G2215" s="11"/>
      <c r="H2215" s="5"/>
      <c r="I2215" s="11"/>
      <c r="J2215" s="20"/>
      <c r="K22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6" spans="1:11" x14ac:dyDescent="0.25">
      <c r="A2216" s="11" t="s">
        <v>277</v>
      </c>
      <c r="B2216" s="11" t="s">
        <v>445</v>
      </c>
      <c r="C2216" s="5" t="s">
        <v>24</v>
      </c>
      <c r="D2216">
        <v>500</v>
      </c>
      <c r="E2216">
        <v>5</v>
      </c>
      <c r="F2216">
        <v>15</v>
      </c>
      <c r="G2216" s="11">
        <v>6</v>
      </c>
      <c r="H2216" s="5">
        <v>0.22500000000000001</v>
      </c>
      <c r="I2216" s="11">
        <v>828750</v>
      </c>
      <c r="J2216" s="20">
        <v>4972500</v>
      </c>
      <c r="K22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17" spans="1:11" hidden="1" x14ac:dyDescent="0.25">
      <c r="A2217" s="11"/>
      <c r="B2217" s="11"/>
      <c r="C2217" s="5"/>
      <c r="G2217" s="11"/>
      <c r="H2217" s="5"/>
      <c r="I2217" s="11"/>
      <c r="J2217" s="20"/>
      <c r="K22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8" spans="1:11" hidden="1" x14ac:dyDescent="0.25">
      <c r="A2218" s="11"/>
      <c r="B2218" s="11"/>
      <c r="C2218" s="5"/>
      <c r="G2218" s="11"/>
      <c r="H2218" s="5"/>
      <c r="I2218" s="11"/>
      <c r="J2218" s="20"/>
      <c r="K22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19" spans="1:11" x14ac:dyDescent="0.25">
      <c r="A2219" s="11" t="s">
        <v>277</v>
      </c>
      <c r="B2219" s="11" t="s">
        <v>503</v>
      </c>
      <c r="C2219" s="5" t="s">
        <v>99</v>
      </c>
      <c r="D2219">
        <v>300</v>
      </c>
      <c r="E2219">
        <v>6</v>
      </c>
      <c r="F2219">
        <v>15</v>
      </c>
      <c r="G2219" s="11">
        <v>15</v>
      </c>
      <c r="H2219" s="5">
        <v>0.40500000000000003</v>
      </c>
      <c r="I2219" s="11">
        <v>234900</v>
      </c>
      <c r="J2219" s="20">
        <v>3523500</v>
      </c>
      <c r="K22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20" spans="1:11" hidden="1" x14ac:dyDescent="0.25">
      <c r="A2220" s="11"/>
      <c r="B2220" s="11"/>
      <c r="C2220" s="5"/>
      <c r="G2220" s="11"/>
      <c r="H2220" s="5"/>
      <c r="I2220" s="11"/>
      <c r="J2220" s="20"/>
      <c r="K22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1" spans="1:11" x14ac:dyDescent="0.25">
      <c r="A2221" s="11"/>
      <c r="B2221" s="11" t="s">
        <v>481</v>
      </c>
      <c r="C2221" s="5" t="s">
        <v>68</v>
      </c>
      <c r="D2221">
        <v>400</v>
      </c>
      <c r="E2221">
        <v>6</v>
      </c>
      <c r="F2221">
        <v>15</v>
      </c>
      <c r="G2221" s="11">
        <v>5</v>
      </c>
      <c r="H2221" s="5">
        <v>0.18</v>
      </c>
      <c r="I2221" s="11">
        <v>313200</v>
      </c>
      <c r="J2221" s="20">
        <v>1566000</v>
      </c>
      <c r="K22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22" spans="1:11" hidden="1" x14ac:dyDescent="0.25">
      <c r="A2222" s="11"/>
      <c r="B2222" s="11"/>
      <c r="C2222" s="5"/>
      <c r="G2222" s="11"/>
      <c r="H2222" s="5"/>
      <c r="I2222" s="11"/>
      <c r="J2222" s="20"/>
      <c r="K22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3" spans="1:11" hidden="1" x14ac:dyDescent="0.25">
      <c r="A2223" s="11"/>
      <c r="B2223" s="11"/>
      <c r="C2223" s="5"/>
      <c r="G2223" s="11"/>
      <c r="H2223" s="5"/>
      <c r="I2223" s="11"/>
      <c r="J2223" s="20"/>
      <c r="K22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4" spans="1:11" x14ac:dyDescent="0.25">
      <c r="A2224" s="11" t="s">
        <v>278</v>
      </c>
      <c r="B2224" s="11" t="s">
        <v>439</v>
      </c>
      <c r="C2224" s="5" t="s">
        <v>16</v>
      </c>
      <c r="D2224">
        <v>400</v>
      </c>
      <c r="E2224">
        <v>3</v>
      </c>
      <c r="F2224">
        <v>30</v>
      </c>
      <c r="G2224" s="11">
        <v>6</v>
      </c>
      <c r="H2224" s="5">
        <v>0.216</v>
      </c>
      <c r="I2224" s="11">
        <v>342000</v>
      </c>
      <c r="J2224" s="20">
        <v>2052000</v>
      </c>
      <c r="K22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5" spans="1:11" hidden="1" x14ac:dyDescent="0.25">
      <c r="A2225" s="11"/>
      <c r="B2225" s="11"/>
      <c r="C2225" s="5"/>
      <c r="G2225" s="11"/>
      <c r="H2225" s="5"/>
      <c r="I2225" s="11"/>
      <c r="J2225" s="20"/>
      <c r="K22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6" spans="1:11" x14ac:dyDescent="0.25">
      <c r="A2226" s="11"/>
      <c r="B2226" s="11" t="s">
        <v>433</v>
      </c>
      <c r="C2226" s="5" t="s">
        <v>9</v>
      </c>
      <c r="D2226">
        <v>400</v>
      </c>
      <c r="E2226">
        <v>4</v>
      </c>
      <c r="F2226">
        <v>20</v>
      </c>
      <c r="G2226" s="11">
        <v>10</v>
      </c>
      <c r="H2226" s="5">
        <v>0.32</v>
      </c>
      <c r="I2226" s="11">
        <v>294400</v>
      </c>
      <c r="J2226" s="20">
        <v>2944000</v>
      </c>
      <c r="K22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7" spans="1:11" hidden="1" x14ac:dyDescent="0.25">
      <c r="A2227" s="11"/>
      <c r="B2227" s="11"/>
      <c r="C2227" s="5"/>
      <c r="G2227" s="11"/>
      <c r="H2227" s="5"/>
      <c r="I2227" s="11"/>
      <c r="J2227" s="20"/>
      <c r="K22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28" spans="1:11" x14ac:dyDescent="0.25">
      <c r="A2228" s="11"/>
      <c r="B2228" s="11" t="s">
        <v>481</v>
      </c>
      <c r="C2228" s="5" t="s">
        <v>68</v>
      </c>
      <c r="D2228">
        <v>400</v>
      </c>
      <c r="E2228">
        <v>6</v>
      </c>
      <c r="F2228">
        <v>15</v>
      </c>
      <c r="G2228" s="11">
        <v>14</v>
      </c>
      <c r="H2228" s="5">
        <v>0.504</v>
      </c>
      <c r="I2228" s="11">
        <v>313200</v>
      </c>
      <c r="J2228" s="20">
        <v>4384800</v>
      </c>
      <c r="K22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29" spans="1:11" hidden="1" x14ac:dyDescent="0.25">
      <c r="A2229" s="11"/>
      <c r="B2229" s="11"/>
      <c r="C2229" s="5"/>
      <c r="G2229" s="11"/>
      <c r="H2229" s="5"/>
      <c r="I2229" s="11"/>
      <c r="J2229" s="20"/>
      <c r="K22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0" spans="1:11" x14ac:dyDescent="0.25">
      <c r="A2230" s="11"/>
      <c r="B2230" s="11" t="s">
        <v>491</v>
      </c>
      <c r="C2230" s="5" t="s">
        <v>83</v>
      </c>
      <c r="D2230">
        <v>450</v>
      </c>
      <c r="E2230">
        <v>6</v>
      </c>
      <c r="F2230">
        <v>15</v>
      </c>
      <c r="G2230" s="11">
        <v>5</v>
      </c>
      <c r="H2230" s="5">
        <v>0.20250000000000001</v>
      </c>
      <c r="I2230" s="11">
        <v>372600</v>
      </c>
      <c r="J2230" s="20">
        <v>1863000</v>
      </c>
      <c r="K22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31" spans="1:11" hidden="1" x14ac:dyDescent="0.25">
      <c r="A2231" s="11"/>
      <c r="B2231" s="11"/>
      <c r="C2231" s="5"/>
      <c r="G2231" s="11"/>
      <c r="H2231" s="5"/>
      <c r="I2231" s="11"/>
      <c r="J2231" s="20"/>
      <c r="K22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2" spans="1:11" x14ac:dyDescent="0.25">
      <c r="A2232" s="11"/>
      <c r="B2232" s="11" t="s">
        <v>463</v>
      </c>
      <c r="C2232" s="5" t="s">
        <v>45</v>
      </c>
      <c r="D2232">
        <v>500</v>
      </c>
      <c r="E2232">
        <v>4</v>
      </c>
      <c r="F2232">
        <v>30</v>
      </c>
      <c r="G2232" s="11">
        <v>5</v>
      </c>
      <c r="H2232" s="5">
        <v>0.3</v>
      </c>
      <c r="I2232" s="11">
        <v>570000</v>
      </c>
      <c r="J2232" s="20">
        <v>2850000</v>
      </c>
      <c r="K22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3" spans="1:11" hidden="1" x14ac:dyDescent="0.25">
      <c r="A2233" s="11"/>
      <c r="B2233" s="11"/>
      <c r="C2233" s="5"/>
      <c r="G2233" s="11"/>
      <c r="H2233" s="5"/>
      <c r="I2233" s="11"/>
      <c r="J2233" s="20"/>
      <c r="K22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4" spans="1:11" hidden="1" x14ac:dyDescent="0.25">
      <c r="A2234" s="11"/>
      <c r="B2234" s="11"/>
      <c r="C2234" s="5"/>
      <c r="G2234" s="11"/>
      <c r="H2234" s="5"/>
      <c r="I2234" s="11"/>
      <c r="J2234" s="20"/>
      <c r="K22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5" spans="1:11" x14ac:dyDescent="0.25">
      <c r="A2235" s="11" t="s">
        <v>278</v>
      </c>
      <c r="B2235" s="11" t="s">
        <v>438</v>
      </c>
      <c r="C2235" s="5" t="s">
        <v>15</v>
      </c>
      <c r="D2235">
        <v>400</v>
      </c>
      <c r="E2235">
        <v>3</v>
      </c>
      <c r="F2235">
        <v>25</v>
      </c>
      <c r="G2235" s="11">
        <v>1</v>
      </c>
      <c r="H2235" s="5">
        <v>0.03</v>
      </c>
      <c r="I2235" s="11">
        <v>279000</v>
      </c>
      <c r="J2235" s="20">
        <v>279000</v>
      </c>
      <c r="K22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6" spans="1:11" hidden="1" x14ac:dyDescent="0.25">
      <c r="A2236" s="11"/>
      <c r="B2236" s="11"/>
      <c r="C2236" s="5"/>
      <c r="G2236" s="11"/>
      <c r="H2236" s="5"/>
      <c r="I2236" s="11"/>
      <c r="J2236" s="20"/>
      <c r="K22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7" spans="1:11" x14ac:dyDescent="0.25">
      <c r="A2237" s="11"/>
      <c r="B2237" s="11" t="s">
        <v>439</v>
      </c>
      <c r="C2237" s="5" t="s">
        <v>16</v>
      </c>
      <c r="D2237">
        <v>400</v>
      </c>
      <c r="E2237">
        <v>3</v>
      </c>
      <c r="F2237">
        <v>30</v>
      </c>
      <c r="G2237" s="11">
        <v>8</v>
      </c>
      <c r="H2237" s="5">
        <v>0.28799999999999998</v>
      </c>
      <c r="I2237" s="11">
        <v>342000</v>
      </c>
      <c r="J2237" s="20">
        <v>2736000</v>
      </c>
      <c r="K22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8" spans="1:11" hidden="1" x14ac:dyDescent="0.25">
      <c r="A2238" s="11"/>
      <c r="B2238" s="11"/>
      <c r="C2238" s="5"/>
      <c r="G2238" s="11"/>
      <c r="H2238" s="5"/>
      <c r="I2238" s="11"/>
      <c r="J2238" s="20"/>
      <c r="K22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39" spans="1:11" x14ac:dyDescent="0.25">
      <c r="A2239" s="11"/>
      <c r="B2239" s="11" t="s">
        <v>433</v>
      </c>
      <c r="C2239" s="5" t="s">
        <v>9</v>
      </c>
      <c r="D2239">
        <v>400</v>
      </c>
      <c r="E2239">
        <v>4</v>
      </c>
      <c r="F2239">
        <v>20</v>
      </c>
      <c r="G2239" s="11">
        <v>1</v>
      </c>
      <c r="H2239" s="5">
        <v>3.2000000000000001E-2</v>
      </c>
      <c r="I2239" s="11">
        <v>294400</v>
      </c>
      <c r="J2239" s="20">
        <v>294400</v>
      </c>
      <c r="K22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0" spans="1:11" hidden="1" x14ac:dyDescent="0.25">
      <c r="A2240" s="11"/>
      <c r="B2240" s="11"/>
      <c r="C2240" s="5"/>
      <c r="G2240" s="11"/>
      <c r="H2240" s="5"/>
      <c r="I2240" s="11"/>
      <c r="J2240" s="20"/>
      <c r="K22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1" spans="1:11" x14ac:dyDescent="0.25">
      <c r="A2241" s="11"/>
      <c r="B2241" s="11" t="s">
        <v>435</v>
      </c>
      <c r="C2241" s="5" t="s">
        <v>11</v>
      </c>
      <c r="D2241">
        <v>400</v>
      </c>
      <c r="E2241">
        <v>6</v>
      </c>
      <c r="F2241">
        <v>12</v>
      </c>
      <c r="G2241" s="11">
        <v>10</v>
      </c>
      <c r="H2241" s="5">
        <v>0.28799999999999998</v>
      </c>
      <c r="I2241" s="11">
        <v>250560</v>
      </c>
      <c r="J2241" s="20">
        <v>2505600</v>
      </c>
      <c r="K22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42" spans="1:11" hidden="1" x14ac:dyDescent="0.25">
      <c r="A2242" s="11"/>
      <c r="B2242" s="11"/>
      <c r="C2242" s="5"/>
      <c r="G2242" s="11"/>
      <c r="H2242" s="5"/>
      <c r="I2242" s="11"/>
      <c r="J2242" s="20"/>
      <c r="K22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3" spans="1:11" x14ac:dyDescent="0.25">
      <c r="A2243" s="11"/>
      <c r="B2243" s="11" t="s">
        <v>523</v>
      </c>
      <c r="C2243" s="5" t="s">
        <v>133</v>
      </c>
      <c r="D2243">
        <v>500</v>
      </c>
      <c r="E2243">
        <v>4</v>
      </c>
      <c r="F2243">
        <v>20</v>
      </c>
      <c r="G2243" s="11">
        <v>1</v>
      </c>
      <c r="H2243" s="5">
        <v>0.04</v>
      </c>
      <c r="I2243" s="11">
        <v>368000</v>
      </c>
      <c r="J2243" s="20">
        <v>368000</v>
      </c>
      <c r="K22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4" spans="1:11" hidden="1" x14ac:dyDescent="0.25">
      <c r="A2244" s="11"/>
      <c r="B2244" s="11"/>
      <c r="C2244" s="5"/>
      <c r="G2244" s="11"/>
      <c r="H2244" s="5"/>
      <c r="I2244" s="11"/>
      <c r="J2244" s="20"/>
      <c r="K22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5" spans="1:11" hidden="1" x14ac:dyDescent="0.25">
      <c r="A2245" s="11"/>
      <c r="B2245" s="11"/>
      <c r="C2245" s="5"/>
      <c r="G2245" s="11"/>
      <c r="H2245" s="5"/>
      <c r="I2245" s="11"/>
      <c r="J2245" s="20"/>
      <c r="K22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6" spans="1:11" x14ac:dyDescent="0.25">
      <c r="A2246" s="11" t="s">
        <v>278</v>
      </c>
      <c r="B2246" s="11" t="s">
        <v>476</v>
      </c>
      <c r="C2246" s="5" t="s">
        <v>62</v>
      </c>
      <c r="D2246">
        <v>400</v>
      </c>
      <c r="E2246">
        <v>3</v>
      </c>
      <c r="F2246">
        <v>20</v>
      </c>
      <c r="G2246" s="11">
        <v>1</v>
      </c>
      <c r="H2246" s="5">
        <v>2.4E-2</v>
      </c>
      <c r="I2246" s="11">
        <v>208800</v>
      </c>
      <c r="J2246" s="20">
        <v>208800</v>
      </c>
      <c r="K22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7" spans="1:11" hidden="1" x14ac:dyDescent="0.25">
      <c r="A2247" s="11"/>
      <c r="B2247" s="11"/>
      <c r="C2247" s="5"/>
      <c r="G2247" s="11"/>
      <c r="H2247" s="5"/>
      <c r="I2247" s="11"/>
      <c r="J2247" s="20"/>
      <c r="K22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8" spans="1:11" x14ac:dyDescent="0.25">
      <c r="A2248" s="11"/>
      <c r="B2248" s="11" t="s">
        <v>440</v>
      </c>
      <c r="C2248" s="5" t="s">
        <v>17</v>
      </c>
      <c r="D2248">
        <v>500</v>
      </c>
      <c r="E2248">
        <v>4</v>
      </c>
      <c r="F2248">
        <v>25</v>
      </c>
      <c r="G2248" s="11">
        <v>3</v>
      </c>
      <c r="H2248" s="5">
        <v>0.15</v>
      </c>
      <c r="I2248" s="11">
        <v>465000</v>
      </c>
      <c r="J2248" s="20">
        <v>1395000</v>
      </c>
      <c r="K22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49" spans="1:11" hidden="1" x14ac:dyDescent="0.25">
      <c r="A2249" s="11"/>
      <c r="B2249" s="11"/>
      <c r="C2249" s="5"/>
      <c r="G2249" s="11"/>
      <c r="H2249" s="5"/>
      <c r="I2249" s="11"/>
      <c r="J2249" s="20"/>
      <c r="K22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0" spans="1:11" hidden="1" x14ac:dyDescent="0.25">
      <c r="A2250" s="11"/>
      <c r="B2250" s="11"/>
      <c r="C2250" s="5"/>
      <c r="G2250" s="11"/>
      <c r="H2250" s="5"/>
      <c r="I2250" s="11"/>
      <c r="J2250" s="20"/>
      <c r="K22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1" spans="1:11" x14ac:dyDescent="0.25">
      <c r="A2251" s="11" t="s">
        <v>278</v>
      </c>
      <c r="B2251" s="11" t="s">
        <v>445</v>
      </c>
      <c r="C2251" s="5" t="s">
        <v>24</v>
      </c>
      <c r="D2251">
        <v>500</v>
      </c>
      <c r="E2251">
        <v>5</v>
      </c>
      <c r="F2251">
        <v>15</v>
      </c>
      <c r="G2251" s="11">
        <v>8</v>
      </c>
      <c r="H2251" s="5">
        <v>0.3</v>
      </c>
      <c r="I2251" s="11">
        <v>828750</v>
      </c>
      <c r="J2251" s="20">
        <v>6630000</v>
      </c>
      <c r="K22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52" spans="1:11" hidden="1" x14ac:dyDescent="0.25">
      <c r="A2252" s="11"/>
      <c r="B2252" s="11"/>
      <c r="C2252" s="5"/>
      <c r="G2252" s="11"/>
      <c r="H2252" s="5"/>
      <c r="I2252" s="11"/>
      <c r="J2252" s="20"/>
      <c r="K22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3" spans="1:11" hidden="1" x14ac:dyDescent="0.25">
      <c r="A2253" s="11"/>
      <c r="B2253" s="11"/>
      <c r="C2253" s="5"/>
      <c r="G2253" s="11"/>
      <c r="H2253" s="5"/>
      <c r="I2253" s="11"/>
      <c r="J2253" s="20"/>
      <c r="K22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4" spans="1:11" x14ac:dyDescent="0.25">
      <c r="A2254" s="11" t="s">
        <v>278</v>
      </c>
      <c r="B2254" s="11" t="s">
        <v>478</v>
      </c>
      <c r="C2254" s="5" t="s">
        <v>64</v>
      </c>
      <c r="D2254">
        <v>180</v>
      </c>
      <c r="E2254">
        <v>6</v>
      </c>
      <c r="F2254">
        <v>15</v>
      </c>
      <c r="G2254" s="11">
        <v>2</v>
      </c>
      <c r="H2254" s="5">
        <v>3.2399999999999998E-2</v>
      </c>
      <c r="I2254" s="11">
        <v>311040</v>
      </c>
      <c r="J2254" s="20">
        <v>622080</v>
      </c>
      <c r="K22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55" spans="1:11" hidden="1" x14ac:dyDescent="0.25">
      <c r="A2255" s="11"/>
      <c r="B2255" s="11"/>
      <c r="C2255" s="5"/>
      <c r="G2255" s="11"/>
      <c r="H2255" s="5"/>
      <c r="I2255" s="11"/>
      <c r="J2255" s="20"/>
      <c r="K22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6" spans="1:11" x14ac:dyDescent="0.25">
      <c r="A2256" s="11"/>
      <c r="B2256" s="11" t="s">
        <v>441</v>
      </c>
      <c r="C2256" s="5" t="s">
        <v>19</v>
      </c>
      <c r="D2256">
        <v>230</v>
      </c>
      <c r="E2256">
        <v>6</v>
      </c>
      <c r="F2256">
        <v>15</v>
      </c>
      <c r="G2256" s="11">
        <v>4</v>
      </c>
      <c r="H2256" s="5">
        <v>8.2799999999999999E-2</v>
      </c>
      <c r="I2256" s="11">
        <v>426420</v>
      </c>
      <c r="J2256" s="20">
        <v>1705680</v>
      </c>
      <c r="K22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57" spans="1:11" hidden="1" x14ac:dyDescent="0.25">
      <c r="A2257" s="11"/>
      <c r="B2257" s="11"/>
      <c r="C2257" s="5"/>
      <c r="G2257" s="11"/>
      <c r="H2257" s="5"/>
      <c r="I2257" s="11"/>
      <c r="J2257" s="20"/>
      <c r="K22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8" spans="1:11" hidden="1" x14ac:dyDescent="0.25">
      <c r="A2258" s="11"/>
      <c r="B2258" s="11"/>
      <c r="C2258" s="5"/>
      <c r="G2258" s="11"/>
      <c r="H2258" s="5"/>
      <c r="I2258" s="11"/>
      <c r="J2258" s="20"/>
      <c r="K22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59" spans="1:11" x14ac:dyDescent="0.25">
      <c r="A2259" s="11" t="s">
        <v>279</v>
      </c>
      <c r="B2259" s="11" t="s">
        <v>504</v>
      </c>
      <c r="C2259" s="5" t="s">
        <v>100</v>
      </c>
      <c r="D2259">
        <v>250</v>
      </c>
      <c r="E2259">
        <v>6</v>
      </c>
      <c r="F2259">
        <v>15</v>
      </c>
      <c r="G2259" s="11">
        <v>7</v>
      </c>
      <c r="H2259" s="5">
        <v>0.1575</v>
      </c>
      <c r="I2259" s="11">
        <v>486000</v>
      </c>
      <c r="J2259" s="20">
        <v>3402000</v>
      </c>
      <c r="K22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60" spans="1:11" hidden="1" x14ac:dyDescent="0.25">
      <c r="A2260" s="11"/>
      <c r="B2260" s="11"/>
      <c r="C2260" s="5"/>
      <c r="G2260" s="11"/>
      <c r="H2260" s="5"/>
      <c r="I2260" s="11"/>
      <c r="J2260" s="20"/>
      <c r="K22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1" spans="1:11" hidden="1" x14ac:dyDescent="0.25">
      <c r="A2261" s="11"/>
      <c r="B2261" s="11"/>
      <c r="C2261" s="5"/>
      <c r="G2261" s="11"/>
      <c r="H2261" s="5"/>
      <c r="I2261" s="11"/>
      <c r="J2261" s="20"/>
      <c r="K22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2" spans="1:11" x14ac:dyDescent="0.25">
      <c r="A2262" s="11" t="s">
        <v>280</v>
      </c>
      <c r="B2262" s="11" t="s">
        <v>462</v>
      </c>
      <c r="C2262" s="5" t="s">
        <v>44</v>
      </c>
      <c r="D2262">
        <v>400</v>
      </c>
      <c r="E2262">
        <v>6</v>
      </c>
      <c r="F2262">
        <v>15</v>
      </c>
      <c r="G2262" s="11">
        <v>6</v>
      </c>
      <c r="H2262" s="5">
        <v>0.216</v>
      </c>
      <c r="I2262" s="11">
        <v>244800</v>
      </c>
      <c r="J2262" s="20">
        <v>1468800</v>
      </c>
      <c r="K22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63" spans="1:11" hidden="1" x14ac:dyDescent="0.25">
      <c r="A2263" s="11"/>
      <c r="B2263" s="11"/>
      <c r="C2263" s="5"/>
      <c r="G2263" s="11"/>
      <c r="H2263" s="5"/>
      <c r="I2263" s="11"/>
      <c r="J2263" s="20"/>
      <c r="K22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4" spans="1:11" x14ac:dyDescent="0.25">
      <c r="A2264" s="11"/>
      <c r="B2264" s="11" t="s">
        <v>433</v>
      </c>
      <c r="C2264" s="5" t="s">
        <v>9</v>
      </c>
      <c r="D2264">
        <v>400</v>
      </c>
      <c r="E2264">
        <v>4</v>
      </c>
      <c r="F2264">
        <v>20</v>
      </c>
      <c r="G2264" s="11">
        <v>1</v>
      </c>
      <c r="H2264" s="5">
        <v>3.2000000000000001E-2</v>
      </c>
      <c r="I2264" s="11">
        <v>294400</v>
      </c>
      <c r="J2264" s="20">
        <v>294400</v>
      </c>
      <c r="K22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5" spans="1:11" hidden="1" x14ac:dyDescent="0.25">
      <c r="A2265" s="11"/>
      <c r="B2265" s="11"/>
      <c r="C2265" s="5"/>
      <c r="G2265" s="11"/>
      <c r="H2265" s="5"/>
      <c r="I2265" s="11"/>
      <c r="J2265" s="20"/>
      <c r="K22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6" spans="1:11" x14ac:dyDescent="0.25">
      <c r="A2266" s="11"/>
      <c r="B2266" s="11" t="s">
        <v>443</v>
      </c>
      <c r="C2266" s="5" t="s">
        <v>21</v>
      </c>
      <c r="D2266">
        <v>400</v>
      </c>
      <c r="E2266">
        <v>4</v>
      </c>
      <c r="F2266">
        <v>25</v>
      </c>
      <c r="G2266" s="11">
        <v>1</v>
      </c>
      <c r="H2266" s="5">
        <v>0.04</v>
      </c>
      <c r="I2266" s="11">
        <v>372000</v>
      </c>
      <c r="J2266" s="20">
        <v>372000</v>
      </c>
      <c r="K22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7" spans="1:11" hidden="1" x14ac:dyDescent="0.25">
      <c r="A2267" s="11"/>
      <c r="B2267" s="11"/>
      <c r="C2267" s="5"/>
      <c r="G2267" s="11"/>
      <c r="H2267" s="5"/>
      <c r="I2267" s="11"/>
      <c r="J2267" s="20"/>
      <c r="K22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68" spans="1:11" x14ac:dyDescent="0.25">
      <c r="A2268" s="11"/>
      <c r="B2268" s="11" t="s">
        <v>481</v>
      </c>
      <c r="C2268" s="5" t="s">
        <v>68</v>
      </c>
      <c r="D2268">
        <v>400</v>
      </c>
      <c r="E2268">
        <v>6</v>
      </c>
      <c r="F2268">
        <v>15</v>
      </c>
      <c r="G2268" s="11">
        <v>12</v>
      </c>
      <c r="H2268" s="5">
        <v>0.432</v>
      </c>
      <c r="I2268" s="11">
        <v>313200</v>
      </c>
      <c r="J2268" s="20">
        <v>3758400</v>
      </c>
      <c r="K22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69" spans="1:11" hidden="1" x14ac:dyDescent="0.25">
      <c r="A2269" s="11"/>
      <c r="B2269" s="11"/>
      <c r="C2269" s="5"/>
      <c r="G2269" s="11"/>
      <c r="H2269" s="5"/>
      <c r="I2269" s="11"/>
      <c r="J2269" s="20"/>
      <c r="K22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0" spans="1:11" hidden="1" x14ac:dyDescent="0.25">
      <c r="A2270" s="11"/>
      <c r="B2270" s="11"/>
      <c r="C2270" s="5"/>
      <c r="G2270" s="11"/>
      <c r="H2270" s="5"/>
      <c r="I2270" s="11"/>
      <c r="J2270" s="20"/>
      <c r="K22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1" spans="1:11" x14ac:dyDescent="0.25">
      <c r="A2271" s="11" t="s">
        <v>281</v>
      </c>
      <c r="B2271" s="11" t="s">
        <v>544</v>
      </c>
      <c r="C2271" s="5" t="s">
        <v>176</v>
      </c>
      <c r="D2271">
        <v>400</v>
      </c>
      <c r="E2271">
        <v>3</v>
      </c>
      <c r="F2271">
        <v>4</v>
      </c>
      <c r="G2271" s="11">
        <v>30</v>
      </c>
      <c r="H2271" s="5">
        <v>0.14399999999999999</v>
      </c>
      <c r="I2271" s="11">
        <v>41760</v>
      </c>
      <c r="J2271" s="20">
        <v>1252800</v>
      </c>
      <c r="K22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2" spans="1:11" hidden="1" x14ac:dyDescent="0.25">
      <c r="A2272" s="11"/>
      <c r="B2272" s="11"/>
      <c r="C2272" s="5"/>
      <c r="G2272" s="11"/>
      <c r="H2272" s="5"/>
      <c r="I2272" s="11"/>
      <c r="J2272" s="20"/>
      <c r="K22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3" spans="1:11" x14ac:dyDescent="0.25">
      <c r="A2273" s="11"/>
      <c r="B2273" s="11" t="s">
        <v>539</v>
      </c>
      <c r="C2273" s="5" t="s">
        <v>163</v>
      </c>
      <c r="D2273">
        <v>400</v>
      </c>
      <c r="E2273">
        <v>5</v>
      </c>
      <c r="F2273">
        <v>7</v>
      </c>
      <c r="G2273" s="11">
        <v>10</v>
      </c>
      <c r="H2273" s="5">
        <v>0.14000000000000001</v>
      </c>
      <c r="I2273" s="11">
        <v>116200</v>
      </c>
      <c r="J2273" s="20">
        <v>1162000</v>
      </c>
      <c r="K22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2274" spans="1:11" hidden="1" x14ac:dyDescent="0.25">
      <c r="A2274" s="11"/>
      <c r="B2274" s="11"/>
      <c r="C2274" s="5"/>
      <c r="G2274" s="11"/>
      <c r="H2274" s="5"/>
      <c r="I2274" s="11"/>
      <c r="J2274" s="20"/>
      <c r="K22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5" spans="1:11" hidden="1" x14ac:dyDescent="0.25">
      <c r="A2275" s="11"/>
      <c r="B2275" s="11"/>
      <c r="C2275" s="5"/>
      <c r="G2275" s="11"/>
      <c r="H2275" s="5"/>
      <c r="I2275" s="11"/>
      <c r="J2275" s="20"/>
      <c r="K22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6" spans="1:11" x14ac:dyDescent="0.25">
      <c r="A2276" s="11" t="s">
        <v>281</v>
      </c>
      <c r="B2276" s="11" t="s">
        <v>498</v>
      </c>
      <c r="C2276" s="5" t="s">
        <v>92</v>
      </c>
      <c r="D2276">
        <v>500</v>
      </c>
      <c r="E2276">
        <v>6</v>
      </c>
      <c r="F2276">
        <v>15</v>
      </c>
      <c r="G2276" s="11">
        <v>14</v>
      </c>
      <c r="H2276" s="5">
        <v>0.63</v>
      </c>
      <c r="I2276" s="11">
        <v>414000</v>
      </c>
      <c r="J2276" s="20">
        <v>5796000</v>
      </c>
      <c r="K22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77" spans="1:11" hidden="1" x14ac:dyDescent="0.25">
      <c r="A2277" s="11"/>
      <c r="B2277" s="11"/>
      <c r="C2277" s="5"/>
      <c r="G2277" s="11"/>
      <c r="H2277" s="5"/>
      <c r="I2277" s="11"/>
      <c r="J2277" s="20"/>
      <c r="K22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8" spans="1:11" hidden="1" x14ac:dyDescent="0.25">
      <c r="A2278" s="11"/>
      <c r="B2278" s="11"/>
      <c r="C2278" s="5"/>
      <c r="G2278" s="11"/>
      <c r="H2278" s="5"/>
      <c r="I2278" s="11"/>
      <c r="J2278" s="20"/>
      <c r="K22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79" spans="1:11" x14ac:dyDescent="0.25">
      <c r="A2279" s="11" t="s">
        <v>281</v>
      </c>
      <c r="B2279" s="11" t="s">
        <v>433</v>
      </c>
      <c r="C2279" s="5" t="s">
        <v>9</v>
      </c>
      <c r="D2279">
        <v>400</v>
      </c>
      <c r="E2279">
        <v>4</v>
      </c>
      <c r="F2279">
        <v>20</v>
      </c>
      <c r="G2279" s="11">
        <v>3</v>
      </c>
      <c r="H2279" s="5">
        <v>9.6000000000000002E-2</v>
      </c>
      <c r="I2279" s="11">
        <v>294400</v>
      </c>
      <c r="J2279" s="20">
        <v>883200</v>
      </c>
      <c r="K22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0" spans="1:11" hidden="1" x14ac:dyDescent="0.25">
      <c r="A2280" s="11"/>
      <c r="B2280" s="11"/>
      <c r="C2280" s="5"/>
      <c r="G2280" s="11"/>
      <c r="H2280" s="5"/>
      <c r="I2280" s="11"/>
      <c r="J2280" s="20"/>
      <c r="K22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1" spans="1:11" hidden="1" x14ac:dyDescent="0.25">
      <c r="A2281" s="11"/>
      <c r="B2281" s="11"/>
      <c r="C2281" s="5"/>
      <c r="G2281" s="11"/>
      <c r="H2281" s="5"/>
      <c r="I2281" s="11"/>
      <c r="J2281" s="20"/>
      <c r="K22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2" spans="1:11" x14ac:dyDescent="0.25">
      <c r="A2282" s="11" t="s">
        <v>282</v>
      </c>
      <c r="B2282" s="11" t="s">
        <v>438</v>
      </c>
      <c r="C2282" s="5" t="s">
        <v>15</v>
      </c>
      <c r="D2282">
        <v>400</v>
      </c>
      <c r="E2282">
        <v>3</v>
      </c>
      <c r="F2282">
        <v>25</v>
      </c>
      <c r="G2282" s="11">
        <v>4</v>
      </c>
      <c r="H2282" s="5">
        <v>0.12</v>
      </c>
      <c r="I2282" s="11">
        <v>279000</v>
      </c>
      <c r="J2282" s="20">
        <v>1116000</v>
      </c>
      <c r="K22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3" spans="1:11" hidden="1" x14ac:dyDescent="0.25">
      <c r="A2283" s="11"/>
      <c r="B2283" s="11"/>
      <c r="C2283" s="5"/>
      <c r="G2283" s="11"/>
      <c r="H2283" s="5"/>
      <c r="I2283" s="11"/>
      <c r="J2283" s="20"/>
      <c r="K22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4" spans="1:11" x14ac:dyDescent="0.25">
      <c r="A2284" s="11"/>
      <c r="B2284" s="11" t="s">
        <v>433</v>
      </c>
      <c r="C2284" s="5" t="s">
        <v>9</v>
      </c>
      <c r="D2284">
        <v>400</v>
      </c>
      <c r="E2284">
        <v>4</v>
      </c>
      <c r="F2284">
        <v>20</v>
      </c>
      <c r="G2284" s="11">
        <v>4</v>
      </c>
      <c r="H2284" s="5">
        <v>0.128</v>
      </c>
      <c r="I2284" s="11">
        <v>294400</v>
      </c>
      <c r="J2284" s="20">
        <v>1177600</v>
      </c>
      <c r="K22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5" spans="1:11" hidden="1" x14ac:dyDescent="0.25">
      <c r="A2285" s="11"/>
      <c r="B2285" s="11"/>
      <c r="C2285" s="5"/>
      <c r="G2285" s="11"/>
      <c r="H2285" s="5"/>
      <c r="I2285" s="11"/>
      <c r="J2285" s="20"/>
      <c r="K22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6" spans="1:11" x14ac:dyDescent="0.25">
      <c r="A2286" s="11"/>
      <c r="B2286" s="11" t="s">
        <v>443</v>
      </c>
      <c r="C2286" s="5" t="s">
        <v>21</v>
      </c>
      <c r="D2286">
        <v>400</v>
      </c>
      <c r="E2286">
        <v>4</v>
      </c>
      <c r="F2286">
        <v>25</v>
      </c>
      <c r="G2286" s="11">
        <v>3</v>
      </c>
      <c r="H2286" s="5">
        <v>0.12</v>
      </c>
      <c r="I2286" s="11">
        <v>372000</v>
      </c>
      <c r="J2286" s="20">
        <v>1116000</v>
      </c>
      <c r="K22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7" spans="1:11" hidden="1" x14ac:dyDescent="0.25">
      <c r="A2287" s="11"/>
      <c r="B2287" s="11"/>
      <c r="C2287" s="5"/>
      <c r="G2287" s="11"/>
      <c r="H2287" s="5"/>
      <c r="I2287" s="11"/>
      <c r="J2287" s="20"/>
      <c r="K22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88" spans="1:11" x14ac:dyDescent="0.25">
      <c r="A2288" s="11"/>
      <c r="B2288" s="11" t="s">
        <v>481</v>
      </c>
      <c r="C2288" s="5" t="s">
        <v>68</v>
      </c>
      <c r="D2288">
        <v>400</v>
      </c>
      <c r="E2288">
        <v>6</v>
      </c>
      <c r="F2288">
        <v>15</v>
      </c>
      <c r="G2288" s="11">
        <v>20</v>
      </c>
      <c r="H2288" s="5">
        <v>0.72</v>
      </c>
      <c r="I2288" s="11">
        <v>313200</v>
      </c>
      <c r="J2288" s="20">
        <v>6264000</v>
      </c>
      <c r="K22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89" spans="1:11" hidden="1" x14ac:dyDescent="0.25">
      <c r="A2289" s="11"/>
      <c r="B2289" s="11"/>
      <c r="C2289" s="5"/>
      <c r="G2289" s="11"/>
      <c r="H2289" s="5"/>
      <c r="I2289" s="11"/>
      <c r="J2289" s="20"/>
      <c r="K22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0" spans="1:11" hidden="1" x14ac:dyDescent="0.25">
      <c r="A2290" s="11"/>
      <c r="B2290" s="11"/>
      <c r="C2290" s="5"/>
      <c r="G2290" s="11"/>
      <c r="H2290" s="5"/>
      <c r="I2290" s="11"/>
      <c r="J2290" s="20"/>
      <c r="K22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1" spans="1:11" x14ac:dyDescent="0.25">
      <c r="A2291" s="11" t="s">
        <v>282</v>
      </c>
      <c r="B2291" s="11" t="s">
        <v>435</v>
      </c>
      <c r="C2291" s="5" t="s">
        <v>11</v>
      </c>
      <c r="D2291">
        <v>400</v>
      </c>
      <c r="E2291">
        <v>6</v>
      </c>
      <c r="F2291">
        <v>12</v>
      </c>
      <c r="G2291" s="11">
        <v>3</v>
      </c>
      <c r="H2291" s="5">
        <v>8.6400000000000005E-2</v>
      </c>
      <c r="I2291" s="11">
        <v>250560</v>
      </c>
      <c r="J2291" s="20">
        <v>751680</v>
      </c>
      <c r="K22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92" spans="1:11" hidden="1" x14ac:dyDescent="0.25">
      <c r="A2292" s="11"/>
      <c r="B2292" s="11"/>
      <c r="C2292" s="5"/>
      <c r="G2292" s="11"/>
      <c r="H2292" s="5"/>
      <c r="I2292" s="11"/>
      <c r="J2292" s="20"/>
      <c r="K22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3" spans="1:11" hidden="1" x14ac:dyDescent="0.25">
      <c r="A2293" s="11"/>
      <c r="B2293" s="11"/>
      <c r="C2293" s="5"/>
      <c r="G2293" s="11"/>
      <c r="H2293" s="5"/>
      <c r="I2293" s="11"/>
      <c r="J2293" s="20"/>
      <c r="K22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4" spans="1:11" x14ac:dyDescent="0.25">
      <c r="A2294" s="11" t="s">
        <v>283</v>
      </c>
      <c r="B2294" s="11" t="s">
        <v>436</v>
      </c>
      <c r="C2294" s="5" t="s">
        <v>12</v>
      </c>
      <c r="D2294">
        <v>400</v>
      </c>
      <c r="E2294">
        <v>6</v>
      </c>
      <c r="F2294">
        <v>17</v>
      </c>
      <c r="G2294" s="11">
        <v>1</v>
      </c>
      <c r="H2294" s="5">
        <v>4.0800000000000003E-2</v>
      </c>
      <c r="I2294" s="11">
        <v>371280</v>
      </c>
      <c r="J2294" s="20">
        <v>371280</v>
      </c>
      <c r="K22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295" spans="1:11" hidden="1" x14ac:dyDescent="0.25">
      <c r="A2295" s="11"/>
      <c r="B2295" s="11"/>
      <c r="C2295" s="5"/>
      <c r="G2295" s="11"/>
      <c r="H2295" s="5"/>
      <c r="I2295" s="11"/>
      <c r="J2295" s="20"/>
      <c r="K22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6" spans="1:11" hidden="1" x14ac:dyDescent="0.25">
      <c r="A2296" s="11"/>
      <c r="B2296" s="11"/>
      <c r="C2296" s="5"/>
      <c r="G2296" s="11"/>
      <c r="H2296" s="5"/>
      <c r="I2296" s="11"/>
      <c r="J2296" s="20"/>
      <c r="K22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7" spans="1:11" x14ac:dyDescent="0.25">
      <c r="A2297" s="11" t="s">
        <v>283</v>
      </c>
      <c r="B2297" s="11" t="s">
        <v>482</v>
      </c>
      <c r="C2297" s="5" t="s">
        <v>69</v>
      </c>
      <c r="D2297">
        <v>400</v>
      </c>
      <c r="E2297">
        <v>2</v>
      </c>
      <c r="F2297">
        <v>20</v>
      </c>
      <c r="G2297" s="11">
        <v>25</v>
      </c>
      <c r="H2297" s="5">
        <v>0.4</v>
      </c>
      <c r="I2297" s="11">
        <v>398400</v>
      </c>
      <c r="J2297" s="20">
        <v>9960000</v>
      </c>
      <c r="K22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8" spans="1:11" hidden="1" x14ac:dyDescent="0.25">
      <c r="A2298" s="11"/>
      <c r="B2298" s="11"/>
      <c r="C2298" s="5"/>
      <c r="G2298" s="11"/>
      <c r="H2298" s="5"/>
      <c r="I2298" s="11"/>
      <c r="J2298" s="20"/>
      <c r="K22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299" spans="1:11" x14ac:dyDescent="0.25">
      <c r="A2299" s="11"/>
      <c r="B2299" s="11" t="s">
        <v>483</v>
      </c>
      <c r="C2299" s="5" t="s">
        <v>70</v>
      </c>
      <c r="D2299">
        <v>450</v>
      </c>
      <c r="E2299">
        <v>2</v>
      </c>
      <c r="F2299">
        <v>20</v>
      </c>
      <c r="G2299" s="11">
        <v>30</v>
      </c>
      <c r="H2299" s="5">
        <v>0.54</v>
      </c>
      <c r="I2299" s="11">
        <v>448200</v>
      </c>
      <c r="J2299" s="20">
        <v>13446000</v>
      </c>
      <c r="K22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0" spans="1:11" hidden="1" x14ac:dyDescent="0.25">
      <c r="A2300" s="11"/>
      <c r="B2300" s="11"/>
      <c r="C2300" s="5"/>
      <c r="G2300" s="11"/>
      <c r="H2300" s="5"/>
      <c r="I2300" s="11"/>
      <c r="J2300" s="20"/>
      <c r="K23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1" spans="1:11" hidden="1" x14ac:dyDescent="0.25">
      <c r="A2301" s="11"/>
      <c r="B2301" s="11"/>
      <c r="C2301" s="5"/>
      <c r="G2301" s="11"/>
      <c r="H2301" s="5"/>
      <c r="I2301" s="11"/>
      <c r="J2301" s="20"/>
      <c r="K23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2" spans="1:11" x14ac:dyDescent="0.25">
      <c r="A2302" s="11" t="s">
        <v>283</v>
      </c>
      <c r="B2302" s="11" t="s">
        <v>502</v>
      </c>
      <c r="C2302" s="5" t="s">
        <v>98</v>
      </c>
      <c r="D2302">
        <v>400</v>
      </c>
      <c r="E2302">
        <v>5</v>
      </c>
      <c r="F2302">
        <v>15</v>
      </c>
      <c r="G2302" s="11">
        <v>6</v>
      </c>
      <c r="H2302" s="5">
        <v>0.18</v>
      </c>
      <c r="I2302" s="11">
        <v>273000</v>
      </c>
      <c r="J2302" s="20">
        <v>1638000</v>
      </c>
      <c r="K23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03" spans="1:11" hidden="1" x14ac:dyDescent="0.25">
      <c r="A2303" s="11"/>
      <c r="B2303" s="11"/>
      <c r="C2303" s="5"/>
      <c r="G2303" s="11"/>
      <c r="H2303" s="5"/>
      <c r="I2303" s="11"/>
      <c r="J2303" s="20"/>
      <c r="K23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4" spans="1:11" hidden="1" x14ac:dyDescent="0.25">
      <c r="A2304" s="11"/>
      <c r="B2304" s="11"/>
      <c r="C2304" s="5"/>
      <c r="G2304" s="11"/>
      <c r="H2304" s="5"/>
      <c r="I2304" s="11"/>
      <c r="J2304" s="20"/>
      <c r="K23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5" spans="1:11" x14ac:dyDescent="0.25">
      <c r="A2305" s="11" t="s">
        <v>283</v>
      </c>
      <c r="B2305" s="11" t="s">
        <v>482</v>
      </c>
      <c r="C2305" s="5" t="s">
        <v>69</v>
      </c>
      <c r="D2305">
        <v>400</v>
      </c>
      <c r="E2305">
        <v>2</v>
      </c>
      <c r="F2305">
        <v>20</v>
      </c>
      <c r="G2305" s="11">
        <v>1</v>
      </c>
      <c r="H2305" s="5">
        <v>1.6E-2</v>
      </c>
      <c r="I2305" s="11">
        <v>398400</v>
      </c>
      <c r="J2305" s="20">
        <v>398400</v>
      </c>
      <c r="K23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6" spans="1:11" hidden="1" x14ac:dyDescent="0.25">
      <c r="A2306" s="11"/>
      <c r="B2306" s="11"/>
      <c r="C2306" s="5"/>
      <c r="G2306" s="11"/>
      <c r="H2306" s="5"/>
      <c r="I2306" s="11"/>
      <c r="J2306" s="20"/>
      <c r="K23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7" spans="1:11" hidden="1" x14ac:dyDescent="0.25">
      <c r="A2307" s="11"/>
      <c r="B2307" s="11"/>
      <c r="C2307" s="5"/>
      <c r="G2307" s="11"/>
      <c r="H2307" s="5"/>
      <c r="I2307" s="11"/>
      <c r="J2307" s="20"/>
      <c r="K23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08" spans="1:11" x14ac:dyDescent="0.25">
      <c r="A2308" s="11" t="s">
        <v>283</v>
      </c>
      <c r="B2308" s="11" t="s">
        <v>577</v>
      </c>
      <c r="C2308" s="5" t="s">
        <v>284</v>
      </c>
      <c r="D2308">
        <v>400</v>
      </c>
      <c r="E2308">
        <v>8</v>
      </c>
      <c r="F2308">
        <v>15</v>
      </c>
      <c r="G2308" s="11">
        <v>1</v>
      </c>
      <c r="H2308" s="5">
        <v>4.8000000000000001E-2</v>
      </c>
      <c r="I2308" s="11">
        <v>417600</v>
      </c>
      <c r="J2308" s="20">
        <v>417600</v>
      </c>
      <c r="K23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09" spans="1:11" hidden="1" x14ac:dyDescent="0.25">
      <c r="A2309" s="11"/>
      <c r="B2309" s="11"/>
      <c r="C2309" s="5"/>
      <c r="G2309" s="11"/>
      <c r="H2309" s="5"/>
      <c r="I2309" s="11"/>
      <c r="J2309" s="20"/>
      <c r="K23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0" spans="1:11" x14ac:dyDescent="0.25">
      <c r="A2310" s="11"/>
      <c r="B2310" s="11" t="s">
        <v>435</v>
      </c>
      <c r="C2310" s="5" t="s">
        <v>11</v>
      </c>
      <c r="D2310">
        <v>400</v>
      </c>
      <c r="E2310">
        <v>6</v>
      </c>
      <c r="F2310">
        <v>12</v>
      </c>
      <c r="G2310" s="11">
        <v>2</v>
      </c>
      <c r="H2310" s="5">
        <v>5.7599999999999998E-2</v>
      </c>
      <c r="I2310" s="11">
        <v>250560</v>
      </c>
      <c r="J2310" s="20">
        <v>501120</v>
      </c>
      <c r="K23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11" spans="1:11" hidden="1" x14ac:dyDescent="0.25">
      <c r="A2311" s="11"/>
      <c r="B2311" s="11"/>
      <c r="C2311" s="5"/>
      <c r="G2311" s="11"/>
      <c r="H2311" s="5"/>
      <c r="I2311" s="11"/>
      <c r="J2311" s="20"/>
      <c r="K23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2" spans="1:11" hidden="1" x14ac:dyDescent="0.25">
      <c r="A2312" s="11"/>
      <c r="B2312" s="11"/>
      <c r="C2312" s="5"/>
      <c r="G2312" s="11"/>
      <c r="H2312" s="5"/>
      <c r="I2312" s="11"/>
      <c r="J2312" s="20"/>
      <c r="K23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3" spans="1:11" x14ac:dyDescent="0.25">
      <c r="A2313" s="11" t="s">
        <v>283</v>
      </c>
      <c r="B2313" s="11" t="s">
        <v>439</v>
      </c>
      <c r="C2313" s="5" t="s">
        <v>16</v>
      </c>
      <c r="D2313">
        <v>400</v>
      </c>
      <c r="E2313">
        <v>3</v>
      </c>
      <c r="F2313">
        <v>30</v>
      </c>
      <c r="G2313" s="11">
        <v>4</v>
      </c>
      <c r="H2313" s="5">
        <v>0.14399999999999999</v>
      </c>
      <c r="I2313" s="11">
        <v>342000</v>
      </c>
      <c r="J2313" s="20">
        <v>1368000</v>
      </c>
      <c r="K23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4" spans="1:11" hidden="1" x14ac:dyDescent="0.25">
      <c r="A2314" s="11"/>
      <c r="B2314" s="11"/>
      <c r="C2314" s="5"/>
      <c r="G2314" s="11"/>
      <c r="H2314" s="5"/>
      <c r="I2314" s="11"/>
      <c r="J2314" s="20"/>
      <c r="K23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5" spans="1:11" x14ac:dyDescent="0.25">
      <c r="A2315" s="11"/>
      <c r="B2315" s="11" t="s">
        <v>433</v>
      </c>
      <c r="C2315" s="5" t="s">
        <v>9</v>
      </c>
      <c r="D2315">
        <v>400</v>
      </c>
      <c r="E2315">
        <v>4</v>
      </c>
      <c r="F2315">
        <v>20</v>
      </c>
      <c r="G2315" s="11">
        <v>2</v>
      </c>
      <c r="H2315" s="5">
        <v>6.4000000000000001E-2</v>
      </c>
      <c r="I2315" s="11">
        <v>294400</v>
      </c>
      <c r="J2315" s="20">
        <v>588800</v>
      </c>
      <c r="K23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6" spans="1:11" hidden="1" x14ac:dyDescent="0.25">
      <c r="A2316" s="11"/>
      <c r="B2316" s="11"/>
      <c r="C2316" s="5"/>
      <c r="G2316" s="11"/>
      <c r="H2316" s="5"/>
      <c r="I2316" s="11"/>
      <c r="J2316" s="20"/>
      <c r="K23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7" spans="1:11" x14ac:dyDescent="0.25">
      <c r="A2317" s="11"/>
      <c r="B2317" s="11" t="s">
        <v>443</v>
      </c>
      <c r="C2317" s="5" t="s">
        <v>21</v>
      </c>
      <c r="D2317">
        <v>400</v>
      </c>
      <c r="E2317">
        <v>4</v>
      </c>
      <c r="F2317">
        <v>25</v>
      </c>
      <c r="G2317" s="11">
        <v>3</v>
      </c>
      <c r="H2317" s="5">
        <v>0.12</v>
      </c>
      <c r="I2317" s="11">
        <v>372000</v>
      </c>
      <c r="J2317" s="20">
        <v>1116000</v>
      </c>
      <c r="K23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8" spans="1:11" hidden="1" x14ac:dyDescent="0.25">
      <c r="A2318" s="11"/>
      <c r="B2318" s="11"/>
      <c r="C2318" s="5"/>
      <c r="G2318" s="11"/>
      <c r="H2318" s="5"/>
      <c r="I2318" s="11"/>
      <c r="J2318" s="20"/>
      <c r="K23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19" spans="1:11" x14ac:dyDescent="0.25">
      <c r="A2319" s="11"/>
      <c r="B2319" s="11" t="s">
        <v>434</v>
      </c>
      <c r="C2319" s="5" t="s">
        <v>10</v>
      </c>
      <c r="D2319">
        <v>400</v>
      </c>
      <c r="E2319">
        <v>4</v>
      </c>
      <c r="F2319">
        <v>30</v>
      </c>
      <c r="G2319" s="11">
        <v>1</v>
      </c>
      <c r="H2319" s="5">
        <v>4.8000000000000001E-2</v>
      </c>
      <c r="I2319" s="11">
        <v>456000</v>
      </c>
      <c r="J2319" s="20">
        <v>456000</v>
      </c>
      <c r="K23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0" spans="1:11" hidden="1" x14ac:dyDescent="0.25">
      <c r="A2320" s="11"/>
      <c r="B2320" s="11"/>
      <c r="C2320" s="5"/>
      <c r="G2320" s="11"/>
      <c r="H2320" s="5"/>
      <c r="I2320" s="11"/>
      <c r="J2320" s="20"/>
      <c r="K23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1" spans="1:11" hidden="1" x14ac:dyDescent="0.25">
      <c r="A2321" s="11"/>
      <c r="B2321" s="11"/>
      <c r="C2321" s="5"/>
      <c r="G2321" s="11"/>
      <c r="H2321" s="5"/>
      <c r="I2321" s="11"/>
      <c r="J2321" s="20"/>
      <c r="K23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2" spans="1:11" x14ac:dyDescent="0.25">
      <c r="A2322" s="11" t="s">
        <v>283</v>
      </c>
      <c r="B2322" s="11" t="s">
        <v>443</v>
      </c>
      <c r="C2322" s="5" t="s">
        <v>21</v>
      </c>
      <c r="D2322">
        <v>400</v>
      </c>
      <c r="E2322">
        <v>4</v>
      </c>
      <c r="F2322">
        <v>25</v>
      </c>
      <c r="G2322" s="11">
        <v>1</v>
      </c>
      <c r="H2322" s="5">
        <v>0.04</v>
      </c>
      <c r="I2322" s="11">
        <v>372000</v>
      </c>
      <c r="J2322" s="20">
        <v>372000</v>
      </c>
      <c r="K23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3" spans="1:11" hidden="1" x14ac:dyDescent="0.25">
      <c r="A2323" s="11"/>
      <c r="B2323" s="11"/>
      <c r="C2323" s="5"/>
      <c r="G2323" s="11"/>
      <c r="H2323" s="5"/>
      <c r="I2323" s="11"/>
      <c r="J2323" s="20"/>
      <c r="K23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4" spans="1:11" hidden="1" x14ac:dyDescent="0.25">
      <c r="A2324" s="11"/>
      <c r="B2324" s="11"/>
      <c r="C2324" s="5"/>
      <c r="G2324" s="11"/>
      <c r="H2324" s="5"/>
      <c r="I2324" s="11"/>
      <c r="J2324" s="20"/>
      <c r="K23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5" spans="1:11" x14ac:dyDescent="0.25">
      <c r="A2325" s="11" t="s">
        <v>283</v>
      </c>
      <c r="B2325" s="11" t="s">
        <v>492</v>
      </c>
      <c r="C2325" s="5" t="s">
        <v>84</v>
      </c>
      <c r="D2325">
        <v>400</v>
      </c>
      <c r="E2325">
        <v>4</v>
      </c>
      <c r="F2325">
        <v>6</v>
      </c>
      <c r="G2325" s="11">
        <v>5</v>
      </c>
      <c r="H2325" s="5">
        <v>4.8000000000000001E-2</v>
      </c>
      <c r="I2325" s="11">
        <v>79680</v>
      </c>
      <c r="J2325" s="20">
        <v>398400</v>
      </c>
      <c r="K23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6" spans="1:11" hidden="1" x14ac:dyDescent="0.25">
      <c r="A2326" s="11"/>
      <c r="B2326" s="11"/>
      <c r="C2326" s="5"/>
      <c r="G2326" s="11"/>
      <c r="H2326" s="5"/>
      <c r="I2326" s="11"/>
      <c r="J2326" s="20"/>
      <c r="K23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7" spans="1:11" x14ac:dyDescent="0.25">
      <c r="A2327" s="11"/>
      <c r="B2327" s="11" t="s">
        <v>476</v>
      </c>
      <c r="C2327" s="5" t="s">
        <v>62</v>
      </c>
      <c r="D2327">
        <v>400</v>
      </c>
      <c r="E2327">
        <v>3</v>
      </c>
      <c r="F2327">
        <v>20</v>
      </c>
      <c r="G2327" s="11">
        <v>1</v>
      </c>
      <c r="H2327" s="5">
        <v>2.4E-2</v>
      </c>
      <c r="I2327" s="11">
        <v>208800</v>
      </c>
      <c r="J2327" s="20">
        <v>208800</v>
      </c>
      <c r="K23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8" spans="1:11" hidden="1" x14ac:dyDescent="0.25">
      <c r="A2328" s="11"/>
      <c r="B2328" s="11"/>
      <c r="C2328" s="5"/>
      <c r="G2328" s="11"/>
      <c r="H2328" s="5"/>
      <c r="I2328" s="11"/>
      <c r="J2328" s="20"/>
      <c r="K23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29" spans="1:11" hidden="1" x14ac:dyDescent="0.25">
      <c r="A2329" s="11"/>
      <c r="B2329" s="11"/>
      <c r="C2329" s="5"/>
      <c r="G2329" s="11"/>
      <c r="H2329" s="5"/>
      <c r="I2329" s="11"/>
      <c r="J2329" s="20"/>
      <c r="K23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0" spans="1:11" x14ac:dyDescent="0.25">
      <c r="A2330" s="11" t="s">
        <v>283</v>
      </c>
      <c r="B2330" s="11" t="s">
        <v>482</v>
      </c>
      <c r="C2330" s="5" t="s">
        <v>69</v>
      </c>
      <c r="D2330">
        <v>400</v>
      </c>
      <c r="E2330">
        <v>2</v>
      </c>
      <c r="F2330">
        <v>20</v>
      </c>
      <c r="G2330" s="11">
        <v>4</v>
      </c>
      <c r="H2330" s="5">
        <v>6.4000000000000001E-2</v>
      </c>
      <c r="I2330" s="11">
        <v>398400</v>
      </c>
      <c r="J2330" s="20">
        <v>1593600</v>
      </c>
      <c r="K23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1" spans="1:11" hidden="1" x14ac:dyDescent="0.25">
      <c r="A2331" s="11"/>
      <c r="B2331" s="11"/>
      <c r="C2331" s="5"/>
      <c r="G2331" s="11"/>
      <c r="H2331" s="5"/>
      <c r="I2331" s="11"/>
      <c r="J2331" s="20"/>
      <c r="K23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2" spans="1:11" hidden="1" x14ac:dyDescent="0.25">
      <c r="A2332" s="11"/>
      <c r="B2332" s="11"/>
      <c r="C2332" s="5"/>
      <c r="G2332" s="11"/>
      <c r="H2332" s="5"/>
      <c r="I2332" s="11"/>
      <c r="J2332" s="20"/>
      <c r="K23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3" spans="1:11" x14ac:dyDescent="0.25">
      <c r="A2333" s="11" t="s">
        <v>283</v>
      </c>
      <c r="B2333" s="11" t="s">
        <v>503</v>
      </c>
      <c r="C2333" s="5" t="s">
        <v>99</v>
      </c>
      <c r="D2333">
        <v>300</v>
      </c>
      <c r="E2333">
        <v>6</v>
      </c>
      <c r="F2333">
        <v>15</v>
      </c>
      <c r="G2333" s="11">
        <v>8</v>
      </c>
      <c r="H2333" s="5">
        <v>0.216</v>
      </c>
      <c r="I2333" s="11">
        <v>234900</v>
      </c>
      <c r="J2333" s="20">
        <v>1879200</v>
      </c>
      <c r="K23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34" spans="1:11" hidden="1" x14ac:dyDescent="0.25">
      <c r="A2334" s="11"/>
      <c r="B2334" s="11"/>
      <c r="C2334" s="5"/>
      <c r="G2334" s="11"/>
      <c r="H2334" s="5"/>
      <c r="I2334" s="11"/>
      <c r="J2334" s="20"/>
      <c r="K23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5" spans="1:11" hidden="1" x14ac:dyDescent="0.25">
      <c r="A2335" s="11"/>
      <c r="B2335" s="11"/>
      <c r="C2335" s="5"/>
      <c r="G2335" s="11"/>
      <c r="H2335" s="5"/>
      <c r="I2335" s="11"/>
      <c r="J2335" s="20"/>
      <c r="K23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6" spans="1:11" x14ac:dyDescent="0.25">
      <c r="A2336" s="11" t="s">
        <v>285</v>
      </c>
      <c r="B2336" s="11" t="s">
        <v>484</v>
      </c>
      <c r="C2336" s="5" t="s">
        <v>72</v>
      </c>
      <c r="D2336">
        <v>500</v>
      </c>
      <c r="E2336">
        <v>3</v>
      </c>
      <c r="F2336">
        <v>30</v>
      </c>
      <c r="G2336" s="11">
        <v>1</v>
      </c>
      <c r="H2336" s="5">
        <v>4.4999999999999998E-2</v>
      </c>
      <c r="I2336" s="11">
        <v>1075500</v>
      </c>
      <c r="J2336" s="20">
        <v>1075500</v>
      </c>
      <c r="K23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7" spans="1:11" hidden="1" x14ac:dyDescent="0.25">
      <c r="A2337" s="11"/>
      <c r="B2337" s="11"/>
      <c r="C2337" s="5"/>
      <c r="G2337" s="11"/>
      <c r="H2337" s="5"/>
      <c r="I2337" s="11"/>
      <c r="J2337" s="20"/>
      <c r="K23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8" spans="1:11" hidden="1" x14ac:dyDescent="0.25">
      <c r="A2338" s="11"/>
      <c r="B2338" s="11"/>
      <c r="C2338" s="5"/>
      <c r="G2338" s="11"/>
      <c r="H2338" s="5"/>
      <c r="I2338" s="11"/>
      <c r="J2338" s="20"/>
      <c r="K23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39" spans="1:11" x14ac:dyDescent="0.25">
      <c r="A2339" s="11" t="s">
        <v>286</v>
      </c>
      <c r="B2339" s="11" t="s">
        <v>558</v>
      </c>
      <c r="C2339" s="5" t="s">
        <v>207</v>
      </c>
      <c r="D2339">
        <v>400</v>
      </c>
      <c r="E2339">
        <v>2</v>
      </c>
      <c r="F2339">
        <v>25</v>
      </c>
      <c r="G2339" s="11">
        <v>3</v>
      </c>
      <c r="H2339" s="5">
        <v>0.06</v>
      </c>
      <c r="I2339" s="11">
        <v>500000</v>
      </c>
      <c r="J2339" s="20">
        <v>1500000</v>
      </c>
      <c r="K23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0" spans="1:11" hidden="1" x14ac:dyDescent="0.25">
      <c r="A2340" s="11"/>
      <c r="B2340" s="11"/>
      <c r="C2340" s="5"/>
      <c r="G2340" s="11"/>
      <c r="H2340" s="5"/>
      <c r="I2340" s="11"/>
      <c r="J2340" s="20"/>
      <c r="K23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1" spans="1:11" x14ac:dyDescent="0.25">
      <c r="A2341" s="11"/>
      <c r="B2341" s="11" t="s">
        <v>578</v>
      </c>
      <c r="C2341" s="5" t="s">
        <v>287</v>
      </c>
      <c r="D2341">
        <v>500</v>
      </c>
      <c r="E2341">
        <v>2</v>
      </c>
      <c r="F2341">
        <v>20</v>
      </c>
      <c r="G2341" s="11">
        <v>1</v>
      </c>
      <c r="H2341" s="5">
        <v>0.02</v>
      </c>
      <c r="I2341" s="11">
        <v>498000</v>
      </c>
      <c r="J2341" s="20">
        <v>498000</v>
      </c>
      <c r="K23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2" spans="1:11" hidden="1" x14ac:dyDescent="0.25">
      <c r="A2342" s="11"/>
      <c r="B2342" s="11"/>
      <c r="C2342" s="5"/>
      <c r="G2342" s="11"/>
      <c r="H2342" s="5"/>
      <c r="I2342" s="11"/>
      <c r="J2342" s="20"/>
      <c r="K23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3" spans="1:11" hidden="1" x14ac:dyDescent="0.25">
      <c r="A2343" s="11"/>
      <c r="B2343" s="11"/>
      <c r="C2343" s="5"/>
      <c r="G2343" s="11"/>
      <c r="H2343" s="5"/>
      <c r="I2343" s="11"/>
      <c r="J2343" s="20"/>
      <c r="K23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4" spans="1:11" x14ac:dyDescent="0.25">
      <c r="A2344" s="11" t="s">
        <v>288</v>
      </c>
      <c r="B2344" s="11" t="s">
        <v>496</v>
      </c>
      <c r="C2344" s="5" t="s">
        <v>89</v>
      </c>
      <c r="D2344">
        <v>400</v>
      </c>
      <c r="E2344">
        <v>5</v>
      </c>
      <c r="F2344">
        <v>30</v>
      </c>
      <c r="G2344" s="11">
        <v>2</v>
      </c>
      <c r="H2344" s="5">
        <v>0.12</v>
      </c>
      <c r="I2344" s="11">
        <v>1404000</v>
      </c>
      <c r="J2344" s="20">
        <v>2808000</v>
      </c>
      <c r="K23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45" spans="1:11" hidden="1" x14ac:dyDescent="0.25">
      <c r="A2345" s="11"/>
      <c r="B2345" s="11"/>
      <c r="C2345" s="5"/>
      <c r="G2345" s="11"/>
      <c r="H2345" s="5"/>
      <c r="I2345" s="11"/>
      <c r="J2345" s="20"/>
      <c r="K23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6" spans="1:11" x14ac:dyDescent="0.25">
      <c r="A2346" s="11"/>
      <c r="B2346" s="11" t="s">
        <v>445</v>
      </c>
      <c r="C2346" s="5" t="s">
        <v>24</v>
      </c>
      <c r="D2346">
        <v>500</v>
      </c>
      <c r="E2346">
        <v>5</v>
      </c>
      <c r="F2346">
        <v>15</v>
      </c>
      <c r="G2346" s="11">
        <v>11</v>
      </c>
      <c r="H2346" s="5">
        <v>0.41249999999999998</v>
      </c>
      <c r="I2346" s="11">
        <v>828750</v>
      </c>
      <c r="J2346" s="20">
        <v>9116250</v>
      </c>
      <c r="K23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47" spans="1:11" hidden="1" x14ac:dyDescent="0.25">
      <c r="A2347" s="11"/>
      <c r="B2347" s="11"/>
      <c r="C2347" s="5"/>
      <c r="G2347" s="11"/>
      <c r="H2347" s="5"/>
      <c r="I2347" s="11"/>
      <c r="J2347" s="20"/>
      <c r="K23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8" spans="1:11" hidden="1" x14ac:dyDescent="0.25">
      <c r="A2348" s="11"/>
      <c r="B2348" s="11"/>
      <c r="C2348" s="5"/>
      <c r="G2348" s="11"/>
      <c r="H2348" s="5"/>
      <c r="I2348" s="11"/>
      <c r="J2348" s="20"/>
      <c r="K23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49" spans="1:11" x14ac:dyDescent="0.25">
      <c r="A2349" s="11" t="s">
        <v>288</v>
      </c>
      <c r="B2349" s="11" t="s">
        <v>524</v>
      </c>
      <c r="C2349" s="5" t="s">
        <v>137</v>
      </c>
      <c r="D2349">
        <v>400</v>
      </c>
      <c r="E2349">
        <v>4</v>
      </c>
      <c r="F2349">
        <v>30</v>
      </c>
      <c r="G2349" s="11">
        <v>1</v>
      </c>
      <c r="H2349" s="5">
        <v>4.8000000000000001E-2</v>
      </c>
      <c r="I2349" s="11">
        <v>1135200</v>
      </c>
      <c r="J2349" s="20">
        <v>1135200</v>
      </c>
      <c r="K23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0" spans="1:11" hidden="1" x14ac:dyDescent="0.25">
      <c r="A2350" s="11"/>
      <c r="B2350" s="11"/>
      <c r="C2350" s="5"/>
      <c r="G2350" s="11"/>
      <c r="H2350" s="5"/>
      <c r="I2350" s="11"/>
      <c r="J2350" s="20"/>
      <c r="K23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1" spans="1:11" x14ac:dyDescent="0.25">
      <c r="A2351" s="11"/>
      <c r="B2351" s="11" t="s">
        <v>517</v>
      </c>
      <c r="C2351" s="5" t="s">
        <v>122</v>
      </c>
      <c r="D2351">
        <v>400</v>
      </c>
      <c r="E2351">
        <v>6</v>
      </c>
      <c r="F2351">
        <v>15</v>
      </c>
      <c r="G2351" s="11">
        <v>1</v>
      </c>
      <c r="H2351" s="5">
        <v>3.5999999999999997E-2</v>
      </c>
      <c r="I2351" s="11">
        <v>768600</v>
      </c>
      <c r="J2351" s="20">
        <v>768600</v>
      </c>
      <c r="K23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52" spans="1:11" hidden="1" x14ac:dyDescent="0.25">
      <c r="A2352" s="11"/>
      <c r="B2352" s="11"/>
      <c r="C2352" s="5"/>
      <c r="G2352" s="11"/>
      <c r="H2352" s="5"/>
      <c r="I2352" s="11"/>
      <c r="J2352" s="20"/>
      <c r="K23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3" spans="1:11" x14ac:dyDescent="0.25">
      <c r="A2353" s="11"/>
      <c r="B2353" s="11" t="s">
        <v>579</v>
      </c>
      <c r="C2353" s="5" t="s">
        <v>289</v>
      </c>
      <c r="D2353">
        <v>500</v>
      </c>
      <c r="E2353">
        <v>4</v>
      </c>
      <c r="F2353">
        <v>35</v>
      </c>
      <c r="G2353" s="11">
        <v>5</v>
      </c>
      <c r="H2353" s="5">
        <v>0.35</v>
      </c>
      <c r="I2353" s="11">
        <v>1722000</v>
      </c>
      <c r="J2353" s="20">
        <v>8610000</v>
      </c>
      <c r="K23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4" spans="1:11" hidden="1" x14ac:dyDescent="0.25">
      <c r="A2354" s="11"/>
      <c r="B2354" s="11"/>
      <c r="C2354" s="5"/>
      <c r="G2354" s="11"/>
      <c r="H2354" s="5"/>
      <c r="I2354" s="11"/>
      <c r="J2354" s="20"/>
      <c r="K23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5" spans="1:11" hidden="1" x14ac:dyDescent="0.25">
      <c r="A2355" s="11"/>
      <c r="B2355" s="11"/>
      <c r="C2355" s="5"/>
      <c r="G2355" s="11"/>
      <c r="H2355" s="5"/>
      <c r="I2355" s="11"/>
      <c r="J2355" s="20"/>
      <c r="K23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6" spans="1:11" x14ac:dyDescent="0.25">
      <c r="A2356" s="11" t="s">
        <v>288</v>
      </c>
      <c r="B2356" s="11" t="s">
        <v>489</v>
      </c>
      <c r="C2356" s="5" t="s">
        <v>80</v>
      </c>
      <c r="D2356">
        <v>400</v>
      </c>
      <c r="E2356">
        <v>5</v>
      </c>
      <c r="F2356">
        <v>20</v>
      </c>
      <c r="G2356" s="11">
        <v>1</v>
      </c>
      <c r="H2356" s="5">
        <v>0.04</v>
      </c>
      <c r="I2356" s="11">
        <v>920000</v>
      </c>
      <c r="J2356" s="20">
        <v>920000</v>
      </c>
      <c r="K23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57" spans="1:11" hidden="1" x14ac:dyDescent="0.25">
      <c r="A2357" s="11"/>
      <c r="B2357" s="11"/>
      <c r="C2357" s="5"/>
      <c r="G2357" s="11"/>
      <c r="H2357" s="5"/>
      <c r="I2357" s="11"/>
      <c r="J2357" s="20"/>
      <c r="K23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58" spans="1:11" x14ac:dyDescent="0.25">
      <c r="A2358" s="11"/>
      <c r="B2358" s="11" t="s">
        <v>517</v>
      </c>
      <c r="C2358" s="5" t="s">
        <v>122</v>
      </c>
      <c r="D2358">
        <v>400</v>
      </c>
      <c r="E2358">
        <v>6</v>
      </c>
      <c r="F2358">
        <v>15</v>
      </c>
      <c r="G2358" s="11">
        <v>1</v>
      </c>
      <c r="H2358" s="5">
        <v>3.5999999999999997E-2</v>
      </c>
      <c r="I2358" s="11">
        <v>759600</v>
      </c>
      <c r="J2358" s="20">
        <v>759600</v>
      </c>
      <c r="K23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59" spans="1:11" hidden="1" x14ac:dyDescent="0.25">
      <c r="A2359" s="11"/>
      <c r="B2359" s="11"/>
      <c r="C2359" s="5"/>
      <c r="G2359" s="11"/>
      <c r="H2359" s="5"/>
      <c r="I2359" s="11"/>
      <c r="J2359" s="20"/>
      <c r="K23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0" spans="1:11" x14ac:dyDescent="0.25">
      <c r="A2360" s="11"/>
      <c r="B2360" s="11" t="s">
        <v>448</v>
      </c>
      <c r="C2360" s="5" t="s">
        <v>27</v>
      </c>
      <c r="D2360">
        <v>400</v>
      </c>
      <c r="E2360">
        <v>8</v>
      </c>
      <c r="F2360">
        <v>15</v>
      </c>
      <c r="G2360" s="11">
        <v>3</v>
      </c>
      <c r="H2360" s="5">
        <v>0.14399999999999999</v>
      </c>
      <c r="I2360" s="11">
        <v>1036800</v>
      </c>
      <c r="J2360" s="20">
        <v>3110400</v>
      </c>
      <c r="K23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61" spans="1:11" hidden="1" x14ac:dyDescent="0.25">
      <c r="A2361" s="11"/>
      <c r="B2361" s="11"/>
      <c r="C2361" s="5"/>
      <c r="G2361" s="11"/>
      <c r="H2361" s="5"/>
      <c r="I2361" s="11"/>
      <c r="J2361" s="20"/>
      <c r="K23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2" spans="1:11" x14ac:dyDescent="0.25">
      <c r="A2362" s="11"/>
      <c r="B2362" s="11" t="s">
        <v>466</v>
      </c>
      <c r="C2362" s="5" t="s">
        <v>49</v>
      </c>
      <c r="D2362">
        <v>500</v>
      </c>
      <c r="E2362">
        <v>5</v>
      </c>
      <c r="F2362">
        <v>30</v>
      </c>
      <c r="G2362" s="11">
        <v>3</v>
      </c>
      <c r="H2362" s="5">
        <v>0.22500000000000001</v>
      </c>
      <c r="I2362" s="11">
        <v>1792500</v>
      </c>
      <c r="J2362" s="20">
        <v>5377500</v>
      </c>
      <c r="K23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63" spans="1:11" hidden="1" x14ac:dyDescent="0.25">
      <c r="A2363" s="11"/>
      <c r="B2363" s="11"/>
      <c r="C2363" s="5"/>
      <c r="G2363" s="11"/>
      <c r="H2363" s="5"/>
      <c r="I2363" s="11"/>
      <c r="J2363" s="20"/>
      <c r="K23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4" spans="1:11" x14ac:dyDescent="0.25">
      <c r="A2364" s="11"/>
      <c r="B2364" s="11" t="s">
        <v>580</v>
      </c>
      <c r="C2364" s="5" t="s">
        <v>290</v>
      </c>
      <c r="D2364">
        <v>500</v>
      </c>
      <c r="E2364">
        <v>5</v>
      </c>
      <c r="F2364">
        <v>40</v>
      </c>
      <c r="G2364" s="11">
        <v>1</v>
      </c>
      <c r="H2364" s="5">
        <v>0.1</v>
      </c>
      <c r="I2364" s="11">
        <v>2530000</v>
      </c>
      <c r="J2364" s="20">
        <v>2530000</v>
      </c>
      <c r="K23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65" spans="1:11" hidden="1" x14ac:dyDescent="0.25">
      <c r="A2365" s="11"/>
      <c r="B2365" s="11"/>
      <c r="C2365" s="5"/>
      <c r="G2365" s="11"/>
      <c r="H2365" s="5"/>
      <c r="I2365" s="11"/>
      <c r="J2365" s="20"/>
      <c r="K23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6" spans="1:11" hidden="1" x14ac:dyDescent="0.25">
      <c r="A2366" s="11"/>
      <c r="B2366" s="11"/>
      <c r="C2366" s="5"/>
      <c r="G2366" s="11"/>
      <c r="H2366" s="5"/>
      <c r="I2366" s="11"/>
      <c r="J2366" s="20"/>
      <c r="K23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7" spans="1:11" x14ac:dyDescent="0.25">
      <c r="A2367" s="11" t="s">
        <v>291</v>
      </c>
      <c r="B2367" s="11" t="s">
        <v>448</v>
      </c>
      <c r="C2367" s="5" t="s">
        <v>27</v>
      </c>
      <c r="D2367">
        <v>400</v>
      </c>
      <c r="E2367">
        <v>8</v>
      </c>
      <c r="F2367">
        <v>15</v>
      </c>
      <c r="G2367" s="11">
        <v>10</v>
      </c>
      <c r="H2367" s="5">
        <v>0.48</v>
      </c>
      <c r="I2367" s="11">
        <v>1036800</v>
      </c>
      <c r="J2367" s="20">
        <v>10368000</v>
      </c>
      <c r="K23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68" spans="1:11" hidden="1" x14ac:dyDescent="0.25">
      <c r="A2368" s="11"/>
      <c r="B2368" s="11"/>
      <c r="C2368" s="5"/>
      <c r="G2368" s="11"/>
      <c r="H2368" s="5"/>
      <c r="I2368" s="11"/>
      <c r="J2368" s="20"/>
      <c r="K23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69" spans="1:11" x14ac:dyDescent="0.25">
      <c r="A2369" s="11"/>
      <c r="B2369" s="11" t="s">
        <v>443</v>
      </c>
      <c r="C2369" s="5" t="s">
        <v>21</v>
      </c>
      <c r="D2369">
        <v>400</v>
      </c>
      <c r="E2369">
        <v>4</v>
      </c>
      <c r="F2369">
        <v>25</v>
      </c>
      <c r="G2369" s="11">
        <v>6</v>
      </c>
      <c r="H2369" s="5">
        <v>0.24</v>
      </c>
      <c r="I2369" s="11">
        <v>372000</v>
      </c>
      <c r="J2369" s="20">
        <v>2232000</v>
      </c>
      <c r="K23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0" spans="1:11" hidden="1" x14ac:dyDescent="0.25">
      <c r="A2370" s="11"/>
      <c r="B2370" s="11"/>
      <c r="C2370" s="5"/>
      <c r="G2370" s="11"/>
      <c r="H2370" s="5"/>
      <c r="I2370" s="11"/>
      <c r="J2370" s="20"/>
      <c r="K23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1" spans="1:11" hidden="1" x14ac:dyDescent="0.25">
      <c r="A2371" s="11"/>
      <c r="B2371" s="11"/>
      <c r="C2371" s="5"/>
      <c r="G2371" s="11"/>
      <c r="H2371" s="5"/>
      <c r="I2371" s="11"/>
      <c r="J2371" s="20"/>
      <c r="K23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2" spans="1:11" x14ac:dyDescent="0.25">
      <c r="A2372" s="11" t="s">
        <v>291</v>
      </c>
      <c r="B2372" s="11" t="s">
        <v>438</v>
      </c>
      <c r="C2372" s="5" t="s">
        <v>15</v>
      </c>
      <c r="D2372">
        <v>400</v>
      </c>
      <c r="E2372">
        <v>3</v>
      </c>
      <c r="F2372">
        <v>25</v>
      </c>
      <c r="G2372" s="11">
        <v>10</v>
      </c>
      <c r="H2372" s="5">
        <v>0.3</v>
      </c>
      <c r="I2372" s="11">
        <v>279000</v>
      </c>
      <c r="J2372" s="20">
        <v>2790000</v>
      </c>
      <c r="K23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3" spans="1:11" hidden="1" x14ac:dyDescent="0.25">
      <c r="A2373" s="11"/>
      <c r="B2373" s="11"/>
      <c r="C2373" s="5"/>
      <c r="G2373" s="11"/>
      <c r="H2373" s="5"/>
      <c r="I2373" s="11"/>
      <c r="J2373" s="20"/>
      <c r="K23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4" spans="1:11" x14ac:dyDescent="0.25">
      <c r="A2374" s="11"/>
      <c r="B2374" s="11" t="s">
        <v>453</v>
      </c>
      <c r="C2374" s="5" t="s">
        <v>34</v>
      </c>
      <c r="D2374">
        <v>400</v>
      </c>
      <c r="E2374">
        <v>5</v>
      </c>
      <c r="F2374">
        <v>20</v>
      </c>
      <c r="G2374" s="11">
        <v>2</v>
      </c>
      <c r="H2374" s="5">
        <v>0.08</v>
      </c>
      <c r="I2374" s="11">
        <v>380000</v>
      </c>
      <c r="J2374" s="20">
        <v>760000</v>
      </c>
      <c r="K23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75" spans="1:11" hidden="1" x14ac:dyDescent="0.25">
      <c r="A2375" s="11"/>
      <c r="B2375" s="11"/>
      <c r="C2375" s="5"/>
      <c r="G2375" s="11"/>
      <c r="H2375" s="5"/>
      <c r="I2375" s="11"/>
      <c r="J2375" s="20"/>
      <c r="K23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6" spans="1:11" x14ac:dyDescent="0.25">
      <c r="A2376" s="11"/>
      <c r="B2376" s="11" t="s">
        <v>440</v>
      </c>
      <c r="C2376" s="5" t="s">
        <v>17</v>
      </c>
      <c r="D2376">
        <v>500</v>
      </c>
      <c r="E2376">
        <v>4</v>
      </c>
      <c r="F2376">
        <v>25</v>
      </c>
      <c r="G2376" s="11">
        <v>7</v>
      </c>
      <c r="H2376" s="5">
        <v>0.35</v>
      </c>
      <c r="I2376" s="11">
        <v>465000</v>
      </c>
      <c r="J2376" s="20">
        <v>3255000</v>
      </c>
      <c r="K23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7" spans="1:11" hidden="1" x14ac:dyDescent="0.25">
      <c r="A2377" s="11"/>
      <c r="B2377" s="11"/>
      <c r="C2377" s="5"/>
      <c r="G2377" s="11"/>
      <c r="H2377" s="5"/>
      <c r="I2377" s="11"/>
      <c r="J2377" s="20"/>
      <c r="K23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78" spans="1:11" x14ac:dyDescent="0.25">
      <c r="A2378" s="11"/>
      <c r="B2378" s="11" t="s">
        <v>471</v>
      </c>
      <c r="C2378" s="5" t="s">
        <v>56</v>
      </c>
      <c r="D2378">
        <v>500</v>
      </c>
      <c r="E2378">
        <v>5</v>
      </c>
      <c r="F2378">
        <v>15</v>
      </c>
      <c r="G2378" s="11">
        <v>8</v>
      </c>
      <c r="H2378" s="5">
        <v>0.3</v>
      </c>
      <c r="I2378" s="11">
        <v>360000</v>
      </c>
      <c r="J2378" s="20">
        <v>2880000</v>
      </c>
      <c r="K23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79" spans="1:11" hidden="1" x14ac:dyDescent="0.25">
      <c r="A2379" s="11"/>
      <c r="B2379" s="11"/>
      <c r="C2379" s="5"/>
      <c r="G2379" s="11"/>
      <c r="H2379" s="5"/>
      <c r="I2379" s="11"/>
      <c r="J2379" s="20"/>
      <c r="K23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0" spans="1:11" hidden="1" x14ac:dyDescent="0.25">
      <c r="A2380" s="11"/>
      <c r="B2380" s="11"/>
      <c r="C2380" s="5"/>
      <c r="G2380" s="11"/>
      <c r="H2380" s="5"/>
      <c r="I2380" s="11"/>
      <c r="J2380" s="20"/>
      <c r="K23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1" spans="1:11" x14ac:dyDescent="0.25">
      <c r="A2381" s="11" t="s">
        <v>292</v>
      </c>
      <c r="B2381" s="11" t="s">
        <v>433</v>
      </c>
      <c r="C2381" s="5" t="s">
        <v>9</v>
      </c>
      <c r="D2381">
        <v>400</v>
      </c>
      <c r="E2381">
        <v>4</v>
      </c>
      <c r="F2381">
        <v>20</v>
      </c>
      <c r="G2381" s="11">
        <v>6</v>
      </c>
      <c r="H2381" s="5">
        <v>0.192</v>
      </c>
      <c r="I2381" s="11">
        <v>294400</v>
      </c>
      <c r="J2381" s="20">
        <v>1766400</v>
      </c>
      <c r="K23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2" spans="1:11" hidden="1" x14ac:dyDescent="0.25">
      <c r="A2382" s="11"/>
      <c r="B2382" s="11"/>
      <c r="C2382" s="5"/>
      <c r="G2382" s="11"/>
      <c r="H2382" s="5"/>
      <c r="I2382" s="11"/>
      <c r="J2382" s="20"/>
      <c r="K23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3" spans="1:11" x14ac:dyDescent="0.25">
      <c r="A2383" s="11"/>
      <c r="B2383" s="11" t="s">
        <v>481</v>
      </c>
      <c r="C2383" s="5" t="s">
        <v>68</v>
      </c>
      <c r="D2383">
        <v>400</v>
      </c>
      <c r="E2383">
        <v>6</v>
      </c>
      <c r="F2383">
        <v>15</v>
      </c>
      <c r="G2383" s="11">
        <v>4</v>
      </c>
      <c r="H2383" s="5">
        <v>0.14399999999999999</v>
      </c>
      <c r="I2383" s="11">
        <v>313200</v>
      </c>
      <c r="J2383" s="20">
        <v>1252800</v>
      </c>
      <c r="K23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84" spans="1:11" hidden="1" x14ac:dyDescent="0.25">
      <c r="A2384" s="11"/>
      <c r="B2384" s="11"/>
      <c r="C2384" s="5"/>
      <c r="G2384" s="11"/>
      <c r="H2384" s="5"/>
      <c r="I2384" s="11"/>
      <c r="J2384" s="20"/>
      <c r="K23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5" spans="1:11" x14ac:dyDescent="0.25">
      <c r="A2385" s="11"/>
      <c r="B2385" s="11" t="s">
        <v>511</v>
      </c>
      <c r="C2385" s="5" t="s">
        <v>111</v>
      </c>
      <c r="D2385">
        <v>400</v>
      </c>
      <c r="E2385">
        <v>8</v>
      </c>
      <c r="F2385">
        <v>12</v>
      </c>
      <c r="G2385" s="11">
        <v>6</v>
      </c>
      <c r="H2385" s="5">
        <v>0.23039999999999999</v>
      </c>
      <c r="I2385" s="11">
        <v>349440</v>
      </c>
      <c r="J2385" s="20">
        <v>2096640</v>
      </c>
      <c r="K23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386" spans="1:11" hidden="1" x14ac:dyDescent="0.25">
      <c r="A2386" s="11"/>
      <c r="B2386" s="11"/>
      <c r="C2386" s="5"/>
      <c r="G2386" s="11"/>
      <c r="H2386" s="5"/>
      <c r="I2386" s="11"/>
      <c r="J2386" s="20"/>
      <c r="K23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7" spans="1:11" hidden="1" x14ac:dyDescent="0.25">
      <c r="A2387" s="11"/>
      <c r="B2387" s="11"/>
      <c r="C2387" s="5"/>
      <c r="G2387" s="11"/>
      <c r="H2387" s="5"/>
      <c r="I2387" s="11"/>
      <c r="J2387" s="20"/>
      <c r="K23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88" spans="1:11" x14ac:dyDescent="0.25">
      <c r="A2388" s="11" t="s">
        <v>292</v>
      </c>
      <c r="B2388" s="11" t="s">
        <v>509</v>
      </c>
      <c r="C2388" s="5" t="s">
        <v>109</v>
      </c>
      <c r="D2388">
        <v>400</v>
      </c>
      <c r="E2388">
        <v>5</v>
      </c>
      <c r="F2388">
        <v>7</v>
      </c>
      <c r="G2388" s="11">
        <v>1</v>
      </c>
      <c r="H2388" s="5">
        <v>1.4E-2</v>
      </c>
      <c r="I2388" s="11">
        <v>295400</v>
      </c>
      <c r="J2388" s="20">
        <v>295400</v>
      </c>
      <c r="K23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2389" spans="1:11" hidden="1" x14ac:dyDescent="0.25">
      <c r="A2389" s="11"/>
      <c r="B2389" s="11"/>
      <c r="C2389" s="5"/>
      <c r="G2389" s="11"/>
      <c r="H2389" s="5"/>
      <c r="I2389" s="11"/>
      <c r="J2389" s="20"/>
      <c r="K23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0" spans="1:11" hidden="1" x14ac:dyDescent="0.25">
      <c r="A2390" s="11"/>
      <c r="B2390" s="11"/>
      <c r="C2390" s="5"/>
      <c r="G2390" s="11"/>
      <c r="H2390" s="5"/>
      <c r="I2390" s="11"/>
      <c r="J2390" s="20"/>
      <c r="K23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1" spans="1:11" x14ac:dyDescent="0.25">
      <c r="A2391" s="11" t="s">
        <v>292</v>
      </c>
      <c r="B2391" s="11" t="s">
        <v>503</v>
      </c>
      <c r="C2391" s="5" t="s">
        <v>99</v>
      </c>
      <c r="D2391">
        <v>300</v>
      </c>
      <c r="E2391">
        <v>6</v>
      </c>
      <c r="F2391">
        <v>15</v>
      </c>
      <c r="G2391" s="11">
        <v>1</v>
      </c>
      <c r="H2391" s="5">
        <v>2.7E-2</v>
      </c>
      <c r="I2391" s="11">
        <v>234900</v>
      </c>
      <c r="J2391" s="20">
        <v>234900</v>
      </c>
      <c r="K23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92" spans="1:11" hidden="1" x14ac:dyDescent="0.25">
      <c r="A2392" s="11"/>
      <c r="B2392" s="11"/>
      <c r="C2392" s="5"/>
      <c r="G2392" s="11"/>
      <c r="H2392" s="5"/>
      <c r="I2392" s="11"/>
      <c r="J2392" s="20"/>
      <c r="K23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3" spans="1:11" x14ac:dyDescent="0.25">
      <c r="A2393" s="11"/>
      <c r="B2393" s="11" t="s">
        <v>433</v>
      </c>
      <c r="C2393" s="5" t="s">
        <v>9</v>
      </c>
      <c r="D2393">
        <v>400</v>
      </c>
      <c r="E2393">
        <v>4</v>
      </c>
      <c r="F2393">
        <v>20</v>
      </c>
      <c r="G2393" s="11">
        <v>1</v>
      </c>
      <c r="H2393" s="5">
        <v>3.2000000000000001E-2</v>
      </c>
      <c r="I2393" s="11">
        <v>294400</v>
      </c>
      <c r="J2393" s="20">
        <v>294400</v>
      </c>
      <c r="K23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4" spans="1:11" hidden="1" x14ac:dyDescent="0.25">
      <c r="A2394" s="11"/>
      <c r="B2394" s="11"/>
      <c r="C2394" s="5"/>
      <c r="G2394" s="11"/>
      <c r="H2394" s="5"/>
      <c r="I2394" s="11"/>
      <c r="J2394" s="20"/>
      <c r="K23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5" spans="1:11" x14ac:dyDescent="0.25">
      <c r="A2395" s="11"/>
      <c r="B2395" s="11" t="s">
        <v>481</v>
      </c>
      <c r="C2395" s="5" t="s">
        <v>68</v>
      </c>
      <c r="D2395">
        <v>400</v>
      </c>
      <c r="E2395">
        <v>6</v>
      </c>
      <c r="F2395">
        <v>15</v>
      </c>
      <c r="G2395" s="11">
        <v>1</v>
      </c>
      <c r="H2395" s="5">
        <v>3.5999999999999997E-2</v>
      </c>
      <c r="I2395" s="11">
        <v>313200</v>
      </c>
      <c r="J2395" s="20">
        <v>313200</v>
      </c>
      <c r="K23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96" spans="1:11" hidden="1" x14ac:dyDescent="0.25">
      <c r="A2396" s="11"/>
      <c r="B2396" s="11"/>
      <c r="C2396" s="5"/>
      <c r="G2396" s="11"/>
      <c r="H2396" s="5"/>
      <c r="I2396" s="11"/>
      <c r="J2396" s="20"/>
      <c r="K23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7" spans="1:11" hidden="1" x14ac:dyDescent="0.25">
      <c r="A2397" s="11"/>
      <c r="B2397" s="11"/>
      <c r="C2397" s="5"/>
      <c r="G2397" s="11"/>
      <c r="H2397" s="5"/>
      <c r="I2397" s="11"/>
      <c r="J2397" s="20"/>
      <c r="K23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398" spans="1:11" x14ac:dyDescent="0.25">
      <c r="A2398" s="11" t="s">
        <v>293</v>
      </c>
      <c r="B2398" s="11" t="s">
        <v>435</v>
      </c>
      <c r="C2398" s="5" t="s">
        <v>11</v>
      </c>
      <c r="D2398">
        <v>400</v>
      </c>
      <c r="E2398">
        <v>6</v>
      </c>
      <c r="F2398">
        <v>12</v>
      </c>
      <c r="G2398" s="11">
        <v>8</v>
      </c>
      <c r="H2398" s="5">
        <v>0.23039999999999999</v>
      </c>
      <c r="I2398" s="11">
        <v>250560</v>
      </c>
      <c r="J2398" s="20">
        <v>2004480</v>
      </c>
      <c r="K23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399" spans="1:11" hidden="1" x14ac:dyDescent="0.25">
      <c r="A2399" s="11"/>
      <c r="B2399" s="11"/>
      <c r="C2399" s="5"/>
      <c r="G2399" s="11"/>
      <c r="H2399" s="5"/>
      <c r="I2399" s="11"/>
      <c r="J2399" s="20"/>
      <c r="K23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0" spans="1:11" hidden="1" x14ac:dyDescent="0.25">
      <c r="A2400" s="11"/>
      <c r="B2400" s="11"/>
      <c r="C2400" s="5"/>
      <c r="G2400" s="11"/>
      <c r="H2400" s="5"/>
      <c r="I2400" s="11"/>
      <c r="J2400" s="20"/>
      <c r="K24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1" spans="1:11" x14ac:dyDescent="0.25">
      <c r="A2401" s="11" t="s">
        <v>293</v>
      </c>
      <c r="B2401" s="11" t="s">
        <v>440</v>
      </c>
      <c r="C2401" s="5" t="s">
        <v>17</v>
      </c>
      <c r="D2401">
        <v>500</v>
      </c>
      <c r="E2401">
        <v>4</v>
      </c>
      <c r="F2401">
        <v>25</v>
      </c>
      <c r="G2401" s="11">
        <v>8</v>
      </c>
      <c r="H2401" s="5">
        <v>0.4</v>
      </c>
      <c r="I2401" s="11">
        <v>465000</v>
      </c>
      <c r="J2401" s="20">
        <v>3720000</v>
      </c>
      <c r="K24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2" spans="1:11" hidden="1" x14ac:dyDescent="0.25">
      <c r="A2402" s="11"/>
      <c r="B2402" s="11"/>
      <c r="C2402" s="5"/>
      <c r="G2402" s="11"/>
      <c r="H2402" s="5"/>
      <c r="I2402" s="11"/>
      <c r="J2402" s="20"/>
      <c r="K24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3" spans="1:11" hidden="1" x14ac:dyDescent="0.25">
      <c r="A2403" s="11"/>
      <c r="B2403" s="11"/>
      <c r="C2403" s="5"/>
      <c r="G2403" s="11"/>
      <c r="H2403" s="5"/>
      <c r="I2403" s="11"/>
      <c r="J2403" s="20"/>
      <c r="K24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4" spans="1:11" x14ac:dyDescent="0.25">
      <c r="A2404" s="11" t="s">
        <v>293</v>
      </c>
      <c r="B2404" s="11" t="s">
        <v>506</v>
      </c>
      <c r="C2404" s="5" t="s">
        <v>103</v>
      </c>
      <c r="D2404">
        <v>400</v>
      </c>
      <c r="E2404">
        <v>3</v>
      </c>
      <c r="F2404">
        <v>30</v>
      </c>
      <c r="G2404" s="11">
        <v>2</v>
      </c>
      <c r="H2404" s="5">
        <v>7.1999999999999995E-2</v>
      </c>
      <c r="I2404" s="11">
        <v>842400</v>
      </c>
      <c r="J2404" s="20">
        <v>1684800</v>
      </c>
      <c r="K24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5" spans="1:11" hidden="1" x14ac:dyDescent="0.25">
      <c r="A2405" s="11"/>
      <c r="B2405" s="11"/>
      <c r="C2405" s="5"/>
      <c r="G2405" s="11"/>
      <c r="H2405" s="5"/>
      <c r="I2405" s="11"/>
      <c r="J2405" s="20"/>
      <c r="K24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6" spans="1:11" x14ac:dyDescent="0.25">
      <c r="A2406" s="11"/>
      <c r="B2406" s="11" t="s">
        <v>495</v>
      </c>
      <c r="C2406" s="5" t="s">
        <v>88</v>
      </c>
      <c r="D2406">
        <v>400</v>
      </c>
      <c r="E2406">
        <v>8</v>
      </c>
      <c r="F2406">
        <v>12</v>
      </c>
      <c r="G2406" s="11">
        <v>2</v>
      </c>
      <c r="H2406" s="5">
        <v>7.6799999999999993E-2</v>
      </c>
      <c r="I2406" s="11">
        <v>829440</v>
      </c>
      <c r="J2406" s="20">
        <v>1658880</v>
      </c>
      <c r="K24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407" spans="1:11" hidden="1" x14ac:dyDescent="0.25">
      <c r="A2407" s="11"/>
      <c r="B2407" s="11"/>
      <c r="C2407" s="5"/>
      <c r="G2407" s="11"/>
      <c r="H2407" s="5"/>
      <c r="I2407" s="11"/>
      <c r="J2407" s="20"/>
      <c r="K24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08" spans="1:11" x14ac:dyDescent="0.25">
      <c r="A2408" s="11"/>
      <c r="B2408" s="11" t="s">
        <v>546</v>
      </c>
      <c r="C2408" s="5" t="s">
        <v>180</v>
      </c>
      <c r="D2408">
        <v>130</v>
      </c>
      <c r="E2408">
        <v>6</v>
      </c>
      <c r="F2408">
        <v>15</v>
      </c>
      <c r="G2408" s="11">
        <v>9</v>
      </c>
      <c r="H2408" s="5">
        <v>0.1053</v>
      </c>
      <c r="I2408" s="11">
        <v>224640</v>
      </c>
      <c r="J2408" s="20">
        <v>2021760</v>
      </c>
      <c r="K24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09" spans="1:11" hidden="1" x14ac:dyDescent="0.25">
      <c r="A2409" s="11"/>
      <c r="B2409" s="11"/>
      <c r="C2409" s="5"/>
      <c r="G2409" s="11"/>
      <c r="H2409" s="5"/>
      <c r="I2409" s="11"/>
      <c r="J2409" s="20"/>
      <c r="K24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0" spans="1:11" hidden="1" x14ac:dyDescent="0.25">
      <c r="A2410" s="11"/>
      <c r="B2410" s="11"/>
      <c r="C2410" s="5"/>
      <c r="G2410" s="11"/>
      <c r="H2410" s="5"/>
      <c r="I2410" s="11"/>
      <c r="J2410" s="20"/>
      <c r="K24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1" spans="1:11" x14ac:dyDescent="0.25">
      <c r="A2411" s="11" t="s">
        <v>294</v>
      </c>
      <c r="B2411" s="11" t="s">
        <v>476</v>
      </c>
      <c r="C2411" s="5" t="s">
        <v>62</v>
      </c>
      <c r="D2411">
        <v>400</v>
      </c>
      <c r="E2411">
        <v>3</v>
      </c>
      <c r="F2411">
        <v>20</v>
      </c>
      <c r="G2411" s="11">
        <v>6</v>
      </c>
      <c r="H2411" s="5">
        <v>0.14399999999999999</v>
      </c>
      <c r="I2411" s="11">
        <v>208800</v>
      </c>
      <c r="J2411" s="20">
        <v>1252800</v>
      </c>
      <c r="K24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2" spans="1:11" hidden="1" x14ac:dyDescent="0.25">
      <c r="A2412" s="11"/>
      <c r="B2412" s="11"/>
      <c r="C2412" s="5"/>
      <c r="G2412" s="11"/>
      <c r="H2412" s="5"/>
      <c r="I2412" s="11"/>
      <c r="J2412" s="20"/>
      <c r="K24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3" spans="1:11" x14ac:dyDescent="0.25">
      <c r="A2413" s="11"/>
      <c r="B2413" s="11" t="s">
        <v>493</v>
      </c>
      <c r="C2413" s="5" t="s">
        <v>86</v>
      </c>
      <c r="D2413">
        <v>300</v>
      </c>
      <c r="E2413">
        <v>4</v>
      </c>
      <c r="F2413">
        <v>25</v>
      </c>
      <c r="G2413" s="11">
        <v>3</v>
      </c>
      <c r="H2413" s="5">
        <v>0.09</v>
      </c>
      <c r="I2413" s="11">
        <v>279000</v>
      </c>
      <c r="J2413" s="20">
        <v>837000</v>
      </c>
      <c r="K24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4" spans="1:11" hidden="1" x14ac:dyDescent="0.25">
      <c r="A2414" s="11"/>
      <c r="B2414" s="11"/>
      <c r="C2414" s="5"/>
      <c r="G2414" s="11"/>
      <c r="H2414" s="5"/>
      <c r="I2414" s="11"/>
      <c r="J2414" s="20"/>
      <c r="K24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5" spans="1:11" x14ac:dyDescent="0.25">
      <c r="A2415" s="11"/>
      <c r="B2415" s="11" t="s">
        <v>438</v>
      </c>
      <c r="C2415" s="5" t="s">
        <v>15</v>
      </c>
      <c r="D2415">
        <v>400</v>
      </c>
      <c r="E2415">
        <v>3</v>
      </c>
      <c r="F2415">
        <v>25</v>
      </c>
      <c r="G2415" s="11">
        <v>8</v>
      </c>
      <c r="H2415" s="5">
        <v>0.24</v>
      </c>
      <c r="I2415" s="11">
        <v>279000</v>
      </c>
      <c r="J2415" s="20">
        <v>2232000</v>
      </c>
      <c r="K24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6" spans="1:11" hidden="1" x14ac:dyDescent="0.25">
      <c r="A2416" s="11"/>
      <c r="B2416" s="11"/>
      <c r="C2416" s="5"/>
      <c r="G2416" s="11"/>
      <c r="H2416" s="5"/>
      <c r="I2416" s="11"/>
      <c r="J2416" s="20"/>
      <c r="K24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7" spans="1:11" x14ac:dyDescent="0.25">
      <c r="A2417" s="11"/>
      <c r="B2417" s="11" t="s">
        <v>443</v>
      </c>
      <c r="C2417" s="5" t="s">
        <v>21</v>
      </c>
      <c r="D2417">
        <v>400</v>
      </c>
      <c r="E2417">
        <v>4</v>
      </c>
      <c r="F2417">
        <v>25</v>
      </c>
      <c r="G2417" s="11">
        <v>7</v>
      </c>
      <c r="H2417" s="5">
        <v>0.28000000000000003</v>
      </c>
      <c r="I2417" s="11">
        <v>372000</v>
      </c>
      <c r="J2417" s="20">
        <v>2604000</v>
      </c>
      <c r="K24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8" spans="1:11" hidden="1" x14ac:dyDescent="0.25">
      <c r="A2418" s="11"/>
      <c r="B2418" s="11"/>
      <c r="C2418" s="5"/>
      <c r="G2418" s="11"/>
      <c r="H2418" s="5"/>
      <c r="I2418" s="11"/>
      <c r="J2418" s="20"/>
      <c r="K24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19" spans="1:11" hidden="1" x14ac:dyDescent="0.25">
      <c r="A2419" s="11"/>
      <c r="B2419" s="11"/>
      <c r="C2419" s="5"/>
      <c r="G2419" s="11"/>
      <c r="H2419" s="5"/>
      <c r="I2419" s="11"/>
      <c r="J2419" s="20"/>
      <c r="K24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0" spans="1:11" x14ac:dyDescent="0.25">
      <c r="A2420" s="11" t="s">
        <v>294</v>
      </c>
      <c r="B2420" s="11" t="s">
        <v>468</v>
      </c>
      <c r="C2420" s="5" t="s">
        <v>51</v>
      </c>
      <c r="D2420">
        <v>500</v>
      </c>
      <c r="E2420">
        <v>6</v>
      </c>
      <c r="F2420">
        <v>15</v>
      </c>
      <c r="G2420" s="11">
        <v>22</v>
      </c>
      <c r="H2420" s="5">
        <v>0.99</v>
      </c>
      <c r="I2420" s="11">
        <v>972000</v>
      </c>
      <c r="J2420" s="20">
        <v>21384000</v>
      </c>
      <c r="K24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21" spans="1:11" hidden="1" x14ac:dyDescent="0.25">
      <c r="A2421" s="11"/>
      <c r="B2421" s="11"/>
      <c r="C2421" s="5"/>
      <c r="G2421" s="11"/>
      <c r="H2421" s="5"/>
      <c r="I2421" s="11"/>
      <c r="J2421" s="20"/>
      <c r="K24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2" spans="1:11" x14ac:dyDescent="0.25">
      <c r="A2422" s="11"/>
      <c r="B2422" s="11" t="s">
        <v>441</v>
      </c>
      <c r="C2422" s="5" t="s">
        <v>19</v>
      </c>
      <c r="D2422">
        <v>230</v>
      </c>
      <c r="E2422">
        <v>6</v>
      </c>
      <c r="F2422">
        <v>15</v>
      </c>
      <c r="G2422" s="11">
        <v>14</v>
      </c>
      <c r="H2422" s="5">
        <v>0.2898</v>
      </c>
      <c r="I2422" s="11">
        <v>426420</v>
      </c>
      <c r="J2422" s="20">
        <v>5969880</v>
      </c>
      <c r="K24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23" spans="1:11" hidden="1" x14ac:dyDescent="0.25">
      <c r="A2423" s="11"/>
      <c r="B2423" s="11"/>
      <c r="C2423" s="5"/>
      <c r="G2423" s="11"/>
      <c r="H2423" s="5"/>
      <c r="I2423" s="11"/>
      <c r="J2423" s="20"/>
      <c r="K24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4" spans="1:11" hidden="1" x14ac:dyDescent="0.25">
      <c r="A2424" s="11"/>
      <c r="B2424" s="11"/>
      <c r="C2424" s="5"/>
      <c r="G2424" s="11"/>
      <c r="H2424" s="5"/>
      <c r="I2424" s="11"/>
      <c r="J2424" s="20"/>
      <c r="K24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5" spans="1:11" x14ac:dyDescent="0.25">
      <c r="A2425" s="11" t="s">
        <v>294</v>
      </c>
      <c r="B2425" s="11" t="s">
        <v>544</v>
      </c>
      <c r="C2425" s="5" t="s">
        <v>176</v>
      </c>
      <c r="D2425">
        <v>400</v>
      </c>
      <c r="E2425">
        <v>3</v>
      </c>
      <c r="F2425">
        <v>4</v>
      </c>
      <c r="G2425" s="11">
        <v>4</v>
      </c>
      <c r="H2425" s="5">
        <v>1.9199999999999998E-2</v>
      </c>
      <c r="I2425" s="11">
        <v>41760</v>
      </c>
      <c r="J2425" s="20">
        <v>167040</v>
      </c>
      <c r="K24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6" spans="1:11" hidden="1" x14ac:dyDescent="0.25">
      <c r="A2426" s="11"/>
      <c r="B2426" s="11"/>
      <c r="C2426" s="5"/>
      <c r="G2426" s="11"/>
      <c r="H2426" s="5"/>
      <c r="I2426" s="11"/>
      <c r="J2426" s="20"/>
      <c r="K24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7" spans="1:11" x14ac:dyDescent="0.25">
      <c r="A2427" s="11"/>
      <c r="B2427" s="11" t="s">
        <v>539</v>
      </c>
      <c r="C2427" s="5" t="s">
        <v>163</v>
      </c>
      <c r="D2427">
        <v>400</v>
      </c>
      <c r="E2427">
        <v>5</v>
      </c>
      <c r="F2427">
        <v>7</v>
      </c>
      <c r="G2427" s="11">
        <v>1</v>
      </c>
      <c r="H2427" s="5">
        <v>1.4E-2</v>
      </c>
      <c r="I2427" s="11">
        <v>116200</v>
      </c>
      <c r="J2427" s="20">
        <v>116200</v>
      </c>
      <c r="K24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2428" spans="1:11" hidden="1" x14ac:dyDescent="0.25">
      <c r="A2428" s="11"/>
      <c r="B2428" s="11"/>
      <c r="C2428" s="5"/>
      <c r="G2428" s="11"/>
      <c r="H2428" s="5"/>
      <c r="I2428" s="11"/>
      <c r="J2428" s="20"/>
      <c r="K24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29" spans="1:11" hidden="1" x14ac:dyDescent="0.25">
      <c r="A2429" s="11"/>
      <c r="B2429" s="11"/>
      <c r="C2429" s="5"/>
      <c r="G2429" s="11"/>
      <c r="H2429" s="5"/>
      <c r="I2429" s="11"/>
      <c r="J2429" s="20"/>
      <c r="K24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0" spans="1:11" x14ac:dyDescent="0.25">
      <c r="A2430" s="11" t="s">
        <v>295</v>
      </c>
      <c r="B2430" s="11" t="s">
        <v>443</v>
      </c>
      <c r="C2430" s="5" t="s">
        <v>21</v>
      </c>
      <c r="D2430">
        <v>400</v>
      </c>
      <c r="E2430">
        <v>4</v>
      </c>
      <c r="F2430">
        <v>25</v>
      </c>
      <c r="G2430" s="11">
        <v>3</v>
      </c>
      <c r="H2430" s="5">
        <v>0.12</v>
      </c>
      <c r="I2430" s="11">
        <v>372000</v>
      </c>
      <c r="J2430" s="20">
        <v>1116000</v>
      </c>
      <c r="K24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1" spans="1:11" hidden="1" x14ac:dyDescent="0.25">
      <c r="A2431" s="11"/>
      <c r="B2431" s="11"/>
      <c r="C2431" s="5"/>
      <c r="G2431" s="11"/>
      <c r="H2431" s="5"/>
      <c r="I2431" s="11"/>
      <c r="J2431" s="20"/>
      <c r="K24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2" spans="1:11" hidden="1" x14ac:dyDescent="0.25">
      <c r="A2432" s="11"/>
      <c r="B2432" s="11"/>
      <c r="C2432" s="5"/>
      <c r="G2432" s="11"/>
      <c r="H2432" s="5"/>
      <c r="I2432" s="11"/>
      <c r="J2432" s="20"/>
      <c r="K24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3" spans="1:11" x14ac:dyDescent="0.25">
      <c r="A2433" s="11" t="s">
        <v>295</v>
      </c>
      <c r="B2433" s="11" t="s">
        <v>527</v>
      </c>
      <c r="C2433" s="5" t="s">
        <v>143</v>
      </c>
      <c r="D2433">
        <v>400</v>
      </c>
      <c r="E2433">
        <v>4</v>
      </c>
      <c r="F2433">
        <v>20</v>
      </c>
      <c r="G2433" s="11">
        <v>1</v>
      </c>
      <c r="H2433" s="5">
        <v>3.2000000000000001E-2</v>
      </c>
      <c r="I2433" s="11">
        <v>729600</v>
      </c>
      <c r="J2433" s="20">
        <v>729600</v>
      </c>
      <c r="K24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4" spans="1:11" hidden="1" x14ac:dyDescent="0.25">
      <c r="A2434" s="11"/>
      <c r="B2434" s="11"/>
      <c r="C2434" s="5"/>
      <c r="G2434" s="11"/>
      <c r="H2434" s="5"/>
      <c r="I2434" s="11"/>
      <c r="J2434" s="20"/>
      <c r="K24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5" spans="1:11" x14ac:dyDescent="0.25">
      <c r="A2435" s="11"/>
      <c r="B2435" s="11" t="s">
        <v>529</v>
      </c>
      <c r="C2435" s="5" t="s">
        <v>147</v>
      </c>
      <c r="D2435">
        <v>160</v>
      </c>
      <c r="E2435">
        <v>6</v>
      </c>
      <c r="F2435">
        <v>15</v>
      </c>
      <c r="G2435" s="11">
        <v>2</v>
      </c>
      <c r="H2435" s="5">
        <v>2.8799999999999999E-2</v>
      </c>
      <c r="I2435" s="11">
        <v>276480</v>
      </c>
      <c r="J2435" s="20">
        <v>552960</v>
      </c>
      <c r="K24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36" spans="1:11" hidden="1" x14ac:dyDescent="0.25">
      <c r="A2436" s="11"/>
      <c r="B2436" s="11"/>
      <c r="C2436" s="5"/>
      <c r="G2436" s="11"/>
      <c r="H2436" s="5"/>
      <c r="I2436" s="11"/>
      <c r="J2436" s="20"/>
      <c r="K24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7" spans="1:11" x14ac:dyDescent="0.25">
      <c r="A2437" s="11"/>
      <c r="B2437" s="11" t="s">
        <v>568</v>
      </c>
      <c r="C2437" s="5" t="s">
        <v>257</v>
      </c>
      <c r="D2437">
        <v>190</v>
      </c>
      <c r="E2437">
        <v>6</v>
      </c>
      <c r="F2437">
        <v>15</v>
      </c>
      <c r="G2437" s="11">
        <v>3</v>
      </c>
      <c r="H2437" s="5">
        <v>5.1299999999999998E-2</v>
      </c>
      <c r="I2437" s="11">
        <v>352260</v>
      </c>
      <c r="J2437" s="20">
        <v>1056780</v>
      </c>
      <c r="K24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38" spans="1:11" hidden="1" x14ac:dyDescent="0.25">
      <c r="A2438" s="11"/>
      <c r="B2438" s="11"/>
      <c r="C2438" s="5"/>
      <c r="G2438" s="11"/>
      <c r="H2438" s="5"/>
      <c r="I2438" s="11"/>
      <c r="J2438" s="20"/>
      <c r="K24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39" spans="1:11" x14ac:dyDescent="0.25">
      <c r="A2439" s="11"/>
      <c r="B2439" s="11" t="s">
        <v>476</v>
      </c>
      <c r="C2439" s="5" t="s">
        <v>62</v>
      </c>
      <c r="D2439">
        <v>400</v>
      </c>
      <c r="E2439">
        <v>3</v>
      </c>
      <c r="F2439">
        <v>20</v>
      </c>
      <c r="G2439" s="11">
        <v>1</v>
      </c>
      <c r="H2439" s="5">
        <v>2.4E-2</v>
      </c>
      <c r="I2439" s="11">
        <v>208800</v>
      </c>
      <c r="J2439" s="20">
        <v>208800</v>
      </c>
      <c r="K24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0" spans="1:11" hidden="1" x14ac:dyDescent="0.25">
      <c r="A2440" s="11"/>
      <c r="B2440" s="11"/>
      <c r="C2440" s="5"/>
      <c r="G2440" s="11"/>
      <c r="H2440" s="5"/>
      <c r="I2440" s="11"/>
      <c r="J2440" s="20"/>
      <c r="K24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1" spans="1:11" x14ac:dyDescent="0.25">
      <c r="A2441" s="11"/>
      <c r="B2441" s="11" t="s">
        <v>438</v>
      </c>
      <c r="C2441" s="5" t="s">
        <v>15</v>
      </c>
      <c r="D2441">
        <v>400</v>
      </c>
      <c r="E2441">
        <v>3</v>
      </c>
      <c r="F2441">
        <v>25</v>
      </c>
      <c r="G2441" s="11">
        <v>1</v>
      </c>
      <c r="H2441" s="5">
        <v>0.03</v>
      </c>
      <c r="I2441" s="11">
        <v>279000</v>
      </c>
      <c r="J2441" s="20">
        <v>279000</v>
      </c>
      <c r="K24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2" spans="1:11" hidden="1" x14ac:dyDescent="0.25">
      <c r="A2442" s="11"/>
      <c r="B2442" s="11"/>
      <c r="C2442" s="5"/>
      <c r="G2442" s="11"/>
      <c r="H2442" s="5"/>
      <c r="I2442" s="11"/>
      <c r="J2442" s="20"/>
      <c r="K24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3" spans="1:11" x14ac:dyDescent="0.25">
      <c r="A2443" s="11"/>
      <c r="B2443" s="11" t="s">
        <v>439</v>
      </c>
      <c r="C2443" s="5" t="s">
        <v>16</v>
      </c>
      <c r="D2443">
        <v>400</v>
      </c>
      <c r="E2443">
        <v>3</v>
      </c>
      <c r="F2443">
        <v>30</v>
      </c>
      <c r="G2443" s="11">
        <v>2</v>
      </c>
      <c r="H2443" s="5">
        <v>7.1999999999999995E-2</v>
      </c>
      <c r="I2443" s="11">
        <v>342000</v>
      </c>
      <c r="J2443" s="20">
        <v>684000</v>
      </c>
      <c r="K24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4" spans="1:11" hidden="1" x14ac:dyDescent="0.25">
      <c r="A2444" s="11"/>
      <c r="B2444" s="11"/>
      <c r="C2444" s="5"/>
      <c r="G2444" s="11"/>
      <c r="H2444" s="5"/>
      <c r="I2444" s="11"/>
      <c r="J2444" s="20"/>
      <c r="K24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5" spans="1:11" hidden="1" x14ac:dyDescent="0.25">
      <c r="A2445" s="11"/>
      <c r="B2445" s="11"/>
      <c r="C2445" s="5"/>
      <c r="G2445" s="11"/>
      <c r="H2445" s="5"/>
      <c r="I2445" s="11"/>
      <c r="J2445" s="20"/>
      <c r="K24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6" spans="1:11" x14ac:dyDescent="0.25">
      <c r="A2446" s="11" t="s">
        <v>296</v>
      </c>
      <c r="B2446" s="11" t="s">
        <v>443</v>
      </c>
      <c r="C2446" s="5" t="s">
        <v>21</v>
      </c>
      <c r="D2446">
        <v>400</v>
      </c>
      <c r="E2446">
        <v>4</v>
      </c>
      <c r="F2446">
        <v>25</v>
      </c>
      <c r="G2446" s="11">
        <v>1</v>
      </c>
      <c r="H2446" s="5">
        <v>0.04</v>
      </c>
      <c r="I2446" s="11">
        <v>372000</v>
      </c>
      <c r="J2446" s="20">
        <v>372000</v>
      </c>
      <c r="K24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7" spans="1:11" hidden="1" x14ac:dyDescent="0.25">
      <c r="A2447" s="11"/>
      <c r="B2447" s="11"/>
      <c r="C2447" s="5"/>
      <c r="G2447" s="11"/>
      <c r="H2447" s="5"/>
      <c r="I2447" s="11"/>
      <c r="J2447" s="20"/>
      <c r="K24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48" spans="1:11" x14ac:dyDescent="0.25">
      <c r="A2448" s="11"/>
      <c r="B2448" s="11" t="s">
        <v>436</v>
      </c>
      <c r="C2448" s="5" t="s">
        <v>12</v>
      </c>
      <c r="D2448">
        <v>400</v>
      </c>
      <c r="E2448">
        <v>6</v>
      </c>
      <c r="F2448">
        <v>17</v>
      </c>
      <c r="G2448" s="11">
        <v>2</v>
      </c>
      <c r="H2448" s="5">
        <v>8.1600000000000006E-2</v>
      </c>
      <c r="I2448" s="11">
        <v>371280</v>
      </c>
      <c r="J2448" s="20">
        <v>742560</v>
      </c>
      <c r="K24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49" spans="1:11" hidden="1" x14ac:dyDescent="0.25">
      <c r="A2449" s="11"/>
      <c r="B2449" s="11"/>
      <c r="C2449" s="5"/>
      <c r="G2449" s="11"/>
      <c r="H2449" s="5"/>
      <c r="I2449" s="11"/>
      <c r="J2449" s="20"/>
      <c r="K24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0" spans="1:11" x14ac:dyDescent="0.25">
      <c r="A2450" s="11"/>
      <c r="B2450" s="11" t="s">
        <v>452</v>
      </c>
      <c r="C2450" s="5" t="s">
        <v>32</v>
      </c>
      <c r="D2450">
        <v>500</v>
      </c>
      <c r="E2450">
        <v>6</v>
      </c>
      <c r="F2450">
        <v>17</v>
      </c>
      <c r="G2450" s="11">
        <v>7</v>
      </c>
      <c r="H2450" s="5">
        <v>0.35699999999999998</v>
      </c>
      <c r="I2450" s="11">
        <v>489600</v>
      </c>
      <c r="J2450" s="20">
        <v>3427200</v>
      </c>
      <c r="K24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51" spans="1:11" hidden="1" x14ac:dyDescent="0.25">
      <c r="A2451" s="11"/>
      <c r="B2451" s="11"/>
      <c r="C2451" s="5"/>
      <c r="G2451" s="11"/>
      <c r="H2451" s="5"/>
      <c r="I2451" s="11"/>
      <c r="J2451" s="20"/>
      <c r="K24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2" spans="1:11" hidden="1" x14ac:dyDescent="0.25">
      <c r="A2452" s="11"/>
      <c r="B2452" s="11"/>
      <c r="C2452" s="5"/>
      <c r="G2452" s="11"/>
      <c r="H2452" s="5"/>
      <c r="I2452" s="11"/>
      <c r="J2452" s="20"/>
      <c r="K24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3" spans="1:11" x14ac:dyDescent="0.25">
      <c r="A2453" s="11" t="s">
        <v>296</v>
      </c>
      <c r="B2453" s="11" t="s">
        <v>433</v>
      </c>
      <c r="C2453" s="5" t="s">
        <v>9</v>
      </c>
      <c r="D2453">
        <v>400</v>
      </c>
      <c r="E2453">
        <v>4</v>
      </c>
      <c r="F2453">
        <v>20</v>
      </c>
      <c r="G2453" s="11">
        <v>10</v>
      </c>
      <c r="H2453" s="5">
        <v>0.32</v>
      </c>
      <c r="I2453" s="11">
        <v>294400</v>
      </c>
      <c r="J2453" s="20">
        <v>2944000</v>
      </c>
      <c r="K24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4" spans="1:11" hidden="1" x14ac:dyDescent="0.25">
      <c r="A2454" s="11"/>
      <c r="B2454" s="11"/>
      <c r="C2454" s="5"/>
      <c r="G2454" s="11"/>
      <c r="H2454" s="5"/>
      <c r="I2454" s="11"/>
      <c r="J2454" s="20"/>
      <c r="K24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5" spans="1:11" hidden="1" x14ac:dyDescent="0.25">
      <c r="A2455" s="11"/>
      <c r="B2455" s="11"/>
      <c r="C2455" s="5"/>
      <c r="G2455" s="11"/>
      <c r="H2455" s="5"/>
      <c r="I2455" s="11"/>
      <c r="J2455" s="20"/>
      <c r="K24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6" spans="1:11" x14ac:dyDescent="0.25">
      <c r="A2456" s="11" t="s">
        <v>296</v>
      </c>
      <c r="B2456" s="11" t="s">
        <v>438</v>
      </c>
      <c r="C2456" s="5" t="s">
        <v>15</v>
      </c>
      <c r="D2456">
        <v>400</v>
      </c>
      <c r="E2456">
        <v>3</v>
      </c>
      <c r="F2456">
        <v>25</v>
      </c>
      <c r="G2456" s="11">
        <v>5</v>
      </c>
      <c r="H2456" s="5">
        <v>0.15</v>
      </c>
      <c r="I2456" s="11">
        <v>279000</v>
      </c>
      <c r="J2456" s="20">
        <v>1395000</v>
      </c>
      <c r="K24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7" spans="1:11" hidden="1" x14ac:dyDescent="0.25">
      <c r="A2457" s="11"/>
      <c r="B2457" s="11"/>
      <c r="C2457" s="5"/>
      <c r="G2457" s="11"/>
      <c r="H2457" s="5"/>
      <c r="I2457" s="11"/>
      <c r="J2457" s="20"/>
      <c r="K24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8" spans="1:11" x14ac:dyDescent="0.25">
      <c r="A2458" s="11"/>
      <c r="B2458" s="11" t="s">
        <v>443</v>
      </c>
      <c r="C2458" s="5" t="s">
        <v>21</v>
      </c>
      <c r="D2458">
        <v>400</v>
      </c>
      <c r="E2458">
        <v>4</v>
      </c>
      <c r="F2458">
        <v>25</v>
      </c>
      <c r="G2458" s="11">
        <v>1</v>
      </c>
      <c r="H2458" s="5">
        <v>0.04</v>
      </c>
      <c r="I2458" s="11">
        <v>372000</v>
      </c>
      <c r="J2458" s="20">
        <v>372000</v>
      </c>
      <c r="K24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59" spans="1:11" hidden="1" x14ac:dyDescent="0.25">
      <c r="A2459" s="11"/>
      <c r="B2459" s="11"/>
      <c r="C2459" s="5"/>
      <c r="G2459" s="11"/>
      <c r="H2459" s="5"/>
      <c r="I2459" s="11"/>
      <c r="J2459" s="20"/>
      <c r="K24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0" spans="1:11" x14ac:dyDescent="0.25">
      <c r="A2460" s="11"/>
      <c r="B2460" s="11" t="s">
        <v>435</v>
      </c>
      <c r="C2460" s="5" t="s">
        <v>11</v>
      </c>
      <c r="D2460">
        <v>400</v>
      </c>
      <c r="E2460">
        <v>6</v>
      </c>
      <c r="F2460">
        <v>12</v>
      </c>
      <c r="G2460" s="11">
        <v>3</v>
      </c>
      <c r="H2460" s="5">
        <v>8.6400000000000005E-2</v>
      </c>
      <c r="I2460" s="11">
        <v>250560</v>
      </c>
      <c r="J2460" s="20">
        <v>751680</v>
      </c>
      <c r="K24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61" spans="1:11" hidden="1" x14ac:dyDescent="0.25">
      <c r="A2461" s="11"/>
      <c r="B2461" s="11"/>
      <c r="C2461" s="5"/>
      <c r="G2461" s="11"/>
      <c r="H2461" s="5"/>
      <c r="I2461" s="11"/>
      <c r="J2461" s="20"/>
      <c r="K24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2" spans="1:11" x14ac:dyDescent="0.25">
      <c r="A2462" s="11"/>
      <c r="B2462" s="11" t="s">
        <v>440</v>
      </c>
      <c r="C2462" s="5" t="s">
        <v>17</v>
      </c>
      <c r="D2462">
        <v>500</v>
      </c>
      <c r="E2462">
        <v>4</v>
      </c>
      <c r="F2462">
        <v>25</v>
      </c>
      <c r="G2462" s="11">
        <v>5</v>
      </c>
      <c r="H2462" s="5">
        <v>0.25</v>
      </c>
      <c r="I2462" s="11">
        <v>465000</v>
      </c>
      <c r="J2462" s="20">
        <v>2325000</v>
      </c>
      <c r="K24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3" spans="1:11" hidden="1" x14ac:dyDescent="0.25">
      <c r="A2463" s="11"/>
      <c r="B2463" s="11"/>
      <c r="C2463" s="5"/>
      <c r="G2463" s="11"/>
      <c r="H2463" s="5"/>
      <c r="I2463" s="11"/>
      <c r="J2463" s="20"/>
      <c r="K24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4" spans="1:11" hidden="1" x14ac:dyDescent="0.25">
      <c r="A2464" s="11"/>
      <c r="B2464" s="11"/>
      <c r="C2464" s="5"/>
      <c r="G2464" s="11"/>
      <c r="H2464" s="5"/>
      <c r="I2464" s="11"/>
      <c r="J2464" s="20"/>
      <c r="K24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5" spans="1:11" x14ac:dyDescent="0.25">
      <c r="A2465" s="11" t="s">
        <v>296</v>
      </c>
      <c r="B2465" s="11" t="s">
        <v>456</v>
      </c>
      <c r="C2465" s="5" t="s">
        <v>37</v>
      </c>
      <c r="D2465">
        <v>250</v>
      </c>
      <c r="E2465">
        <v>4</v>
      </c>
      <c r="F2465">
        <v>25</v>
      </c>
      <c r="G2465" s="11">
        <v>1</v>
      </c>
      <c r="H2465" s="5">
        <v>2.5000000000000001E-2</v>
      </c>
      <c r="I2465" s="11">
        <v>572500</v>
      </c>
      <c r="J2465" s="20">
        <v>572500</v>
      </c>
      <c r="K24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6" spans="1:11" hidden="1" x14ac:dyDescent="0.25">
      <c r="A2466" s="11"/>
      <c r="B2466" s="11"/>
      <c r="C2466" s="5"/>
      <c r="G2466" s="11"/>
      <c r="H2466" s="5"/>
      <c r="I2466" s="11"/>
      <c r="J2466" s="20"/>
      <c r="K24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7" spans="1:11" x14ac:dyDescent="0.25">
      <c r="A2467" s="11"/>
      <c r="B2467" s="11" t="s">
        <v>506</v>
      </c>
      <c r="C2467" s="5" t="s">
        <v>103</v>
      </c>
      <c r="D2467">
        <v>400</v>
      </c>
      <c r="E2467">
        <v>3</v>
      </c>
      <c r="F2467">
        <v>30</v>
      </c>
      <c r="G2467" s="11">
        <v>1</v>
      </c>
      <c r="H2467" s="5">
        <v>3.5999999999999997E-2</v>
      </c>
      <c r="I2467" s="11">
        <v>842400</v>
      </c>
      <c r="J2467" s="20">
        <v>842400</v>
      </c>
      <c r="K24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8" spans="1:11" hidden="1" x14ac:dyDescent="0.25">
      <c r="A2468" s="11"/>
      <c r="B2468" s="11"/>
      <c r="C2468" s="5"/>
      <c r="G2468" s="11"/>
      <c r="H2468" s="5"/>
      <c r="I2468" s="11"/>
      <c r="J2468" s="20"/>
      <c r="K24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69" spans="1:11" x14ac:dyDescent="0.25">
      <c r="A2469" s="11"/>
      <c r="B2469" s="11" t="s">
        <v>522</v>
      </c>
      <c r="C2469" s="5" t="s">
        <v>131</v>
      </c>
      <c r="D2469">
        <v>200</v>
      </c>
      <c r="E2469">
        <v>6</v>
      </c>
      <c r="F2469">
        <v>15</v>
      </c>
      <c r="G2469" s="11">
        <v>1</v>
      </c>
      <c r="H2469" s="5">
        <v>1.7999999999999999E-2</v>
      </c>
      <c r="I2469" s="11">
        <v>370800</v>
      </c>
      <c r="J2469" s="20">
        <v>370800</v>
      </c>
      <c r="K24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70" spans="1:11" hidden="1" x14ac:dyDescent="0.25">
      <c r="A2470" s="11"/>
      <c r="B2470" s="11"/>
      <c r="C2470" s="5"/>
      <c r="G2470" s="11"/>
      <c r="H2470" s="5"/>
      <c r="I2470" s="11"/>
      <c r="J2470" s="20"/>
      <c r="K24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1" spans="1:11" x14ac:dyDescent="0.25">
      <c r="A2471" s="11"/>
      <c r="B2471" s="11" t="s">
        <v>500</v>
      </c>
      <c r="C2471" s="5" t="s">
        <v>95</v>
      </c>
      <c r="D2471">
        <v>210</v>
      </c>
      <c r="E2471">
        <v>6</v>
      </c>
      <c r="F2471">
        <v>15</v>
      </c>
      <c r="G2471" s="11">
        <v>2</v>
      </c>
      <c r="H2471" s="5">
        <v>3.78E-2</v>
      </c>
      <c r="I2471" s="11">
        <v>389340</v>
      </c>
      <c r="J2471" s="20">
        <v>778680</v>
      </c>
      <c r="K24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72" spans="1:11" hidden="1" x14ac:dyDescent="0.25">
      <c r="A2472" s="11"/>
      <c r="B2472" s="11"/>
      <c r="C2472" s="5"/>
      <c r="G2472" s="11"/>
      <c r="H2472" s="5"/>
      <c r="I2472" s="11"/>
      <c r="J2472" s="20"/>
      <c r="K24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3" spans="1:11" hidden="1" x14ac:dyDescent="0.25">
      <c r="A2473" s="11"/>
      <c r="B2473" s="11"/>
      <c r="C2473" s="5"/>
      <c r="G2473" s="11"/>
      <c r="H2473" s="5"/>
      <c r="I2473" s="11"/>
      <c r="J2473" s="20"/>
      <c r="K24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4" spans="1:11" x14ac:dyDescent="0.25">
      <c r="A2474" s="11" t="s">
        <v>296</v>
      </c>
      <c r="B2474" s="11" t="s">
        <v>436</v>
      </c>
      <c r="C2474" s="5" t="s">
        <v>12</v>
      </c>
      <c r="D2474">
        <v>400</v>
      </c>
      <c r="E2474">
        <v>6</v>
      </c>
      <c r="F2474">
        <v>17</v>
      </c>
      <c r="G2474" s="11">
        <v>49</v>
      </c>
      <c r="H2474" s="5">
        <v>1.9992000000000001</v>
      </c>
      <c r="I2474" s="11">
        <v>371280</v>
      </c>
      <c r="J2474" s="20">
        <v>18192720</v>
      </c>
      <c r="K24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75" spans="1:11" hidden="1" x14ac:dyDescent="0.25">
      <c r="A2475" s="11"/>
      <c r="B2475" s="11"/>
      <c r="C2475" s="5"/>
      <c r="G2475" s="11"/>
      <c r="H2475" s="5"/>
      <c r="I2475" s="11"/>
      <c r="J2475" s="20"/>
      <c r="K24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6" spans="1:11" hidden="1" x14ac:dyDescent="0.25">
      <c r="A2476" s="11"/>
      <c r="B2476" s="11"/>
      <c r="C2476" s="5"/>
      <c r="G2476" s="11"/>
      <c r="H2476" s="5"/>
      <c r="I2476" s="11"/>
      <c r="J2476" s="20"/>
      <c r="K24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7" spans="1:11" x14ac:dyDescent="0.25">
      <c r="A2477" s="11" t="s">
        <v>297</v>
      </c>
      <c r="B2477" s="11" t="s">
        <v>439</v>
      </c>
      <c r="C2477" s="5" t="s">
        <v>16</v>
      </c>
      <c r="D2477">
        <v>400</v>
      </c>
      <c r="E2477">
        <v>3</v>
      </c>
      <c r="F2477">
        <v>30</v>
      </c>
      <c r="G2477" s="11">
        <v>1</v>
      </c>
      <c r="H2477" s="5">
        <v>3.5999999999999997E-2</v>
      </c>
      <c r="I2477" s="11">
        <v>342000</v>
      </c>
      <c r="J2477" s="20">
        <v>342000</v>
      </c>
      <c r="K24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8" spans="1:11" hidden="1" x14ac:dyDescent="0.25">
      <c r="A2478" s="11"/>
      <c r="B2478" s="11"/>
      <c r="C2478" s="5"/>
      <c r="G2478" s="11"/>
      <c r="H2478" s="5"/>
      <c r="I2478" s="11"/>
      <c r="J2478" s="20"/>
      <c r="K24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79" spans="1:11" x14ac:dyDescent="0.25">
      <c r="A2479" s="11"/>
      <c r="B2479" s="11" t="s">
        <v>443</v>
      </c>
      <c r="C2479" s="5" t="s">
        <v>21</v>
      </c>
      <c r="D2479">
        <v>400</v>
      </c>
      <c r="E2479">
        <v>4</v>
      </c>
      <c r="F2479">
        <v>25</v>
      </c>
      <c r="G2479" s="11">
        <v>1</v>
      </c>
      <c r="H2479" s="5">
        <v>0.04</v>
      </c>
      <c r="I2479" s="11">
        <v>372000</v>
      </c>
      <c r="J2479" s="20">
        <v>372000</v>
      </c>
      <c r="K24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0" spans="1:11" hidden="1" x14ac:dyDescent="0.25">
      <c r="A2480" s="11"/>
      <c r="B2480" s="11"/>
      <c r="C2480" s="5"/>
      <c r="G2480" s="11"/>
      <c r="H2480" s="5"/>
      <c r="I2480" s="11"/>
      <c r="J2480" s="20"/>
      <c r="K24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1" spans="1:11" hidden="1" x14ac:dyDescent="0.25">
      <c r="A2481" s="11"/>
      <c r="B2481" s="11"/>
      <c r="C2481" s="5"/>
      <c r="G2481" s="11"/>
      <c r="H2481" s="5"/>
      <c r="I2481" s="11"/>
      <c r="J2481" s="20"/>
      <c r="K24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2" spans="1:11" x14ac:dyDescent="0.25">
      <c r="A2482" s="11" t="s">
        <v>297</v>
      </c>
      <c r="B2482" s="11" t="s">
        <v>438</v>
      </c>
      <c r="C2482" s="5" t="s">
        <v>15</v>
      </c>
      <c r="D2482">
        <v>400</v>
      </c>
      <c r="E2482">
        <v>3</v>
      </c>
      <c r="F2482">
        <v>25</v>
      </c>
      <c r="G2482" s="11">
        <v>5</v>
      </c>
      <c r="H2482" s="5">
        <v>0.15</v>
      </c>
      <c r="I2482" s="11">
        <v>279000</v>
      </c>
      <c r="J2482" s="20">
        <v>1395000</v>
      </c>
      <c r="K24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3" spans="1:11" hidden="1" x14ac:dyDescent="0.25">
      <c r="A2483" s="11"/>
      <c r="B2483" s="11"/>
      <c r="C2483" s="5"/>
      <c r="G2483" s="11"/>
      <c r="H2483" s="5"/>
      <c r="I2483" s="11"/>
      <c r="J2483" s="20"/>
      <c r="K24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4" spans="1:11" x14ac:dyDescent="0.25">
      <c r="A2484" s="11"/>
      <c r="B2484" s="11" t="s">
        <v>439</v>
      </c>
      <c r="C2484" s="5" t="s">
        <v>16</v>
      </c>
      <c r="D2484">
        <v>400</v>
      </c>
      <c r="E2484">
        <v>3</v>
      </c>
      <c r="F2484">
        <v>30</v>
      </c>
      <c r="G2484" s="11">
        <v>8</v>
      </c>
      <c r="H2484" s="5">
        <v>0.28799999999999998</v>
      </c>
      <c r="I2484" s="11">
        <v>342000</v>
      </c>
      <c r="J2484" s="20">
        <v>2736000</v>
      </c>
      <c r="K24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5" spans="1:11" hidden="1" x14ac:dyDescent="0.25">
      <c r="A2485" s="11"/>
      <c r="B2485" s="11"/>
      <c r="C2485" s="5"/>
      <c r="G2485" s="11"/>
      <c r="H2485" s="5"/>
      <c r="I2485" s="11"/>
      <c r="J2485" s="20"/>
      <c r="K24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6" spans="1:11" x14ac:dyDescent="0.25">
      <c r="A2486" s="11"/>
      <c r="B2486" s="11" t="s">
        <v>481</v>
      </c>
      <c r="C2486" s="5" t="s">
        <v>68</v>
      </c>
      <c r="D2486">
        <v>400</v>
      </c>
      <c r="E2486">
        <v>6</v>
      </c>
      <c r="F2486">
        <v>15</v>
      </c>
      <c r="G2486" s="11">
        <v>5</v>
      </c>
      <c r="H2486" s="5">
        <v>0.18</v>
      </c>
      <c r="I2486" s="11">
        <v>313200</v>
      </c>
      <c r="J2486" s="20">
        <v>1566000</v>
      </c>
      <c r="K24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87" spans="1:11" hidden="1" x14ac:dyDescent="0.25">
      <c r="A2487" s="11"/>
      <c r="B2487" s="11"/>
      <c r="C2487" s="5"/>
      <c r="G2487" s="11"/>
      <c r="H2487" s="5"/>
      <c r="I2487" s="11"/>
      <c r="J2487" s="20"/>
      <c r="K24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88" spans="1:11" x14ac:dyDescent="0.25">
      <c r="A2488" s="11"/>
      <c r="B2488" s="11" t="s">
        <v>436</v>
      </c>
      <c r="C2488" s="5" t="s">
        <v>12</v>
      </c>
      <c r="D2488">
        <v>400</v>
      </c>
      <c r="E2488">
        <v>6</v>
      </c>
      <c r="F2488">
        <v>17</v>
      </c>
      <c r="G2488" s="11">
        <v>20</v>
      </c>
      <c r="H2488" s="5">
        <v>0.81599999999999995</v>
      </c>
      <c r="I2488" s="11">
        <v>371280</v>
      </c>
      <c r="J2488" s="20">
        <v>7425600</v>
      </c>
      <c r="K24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89" spans="1:11" hidden="1" x14ac:dyDescent="0.25">
      <c r="A2489" s="11"/>
      <c r="B2489" s="11"/>
      <c r="C2489" s="5"/>
      <c r="G2489" s="11"/>
      <c r="H2489" s="5"/>
      <c r="I2489" s="11"/>
      <c r="J2489" s="20"/>
      <c r="K24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0" spans="1:11" hidden="1" x14ac:dyDescent="0.25">
      <c r="A2490" s="11"/>
      <c r="B2490" s="11"/>
      <c r="C2490" s="5"/>
      <c r="G2490" s="11"/>
      <c r="H2490" s="5"/>
      <c r="I2490" s="11"/>
      <c r="J2490" s="20"/>
      <c r="K24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1" spans="1:11" x14ac:dyDescent="0.25">
      <c r="A2491" s="11" t="s">
        <v>299</v>
      </c>
      <c r="B2491" s="11" t="s">
        <v>581</v>
      </c>
      <c r="C2491" s="5" t="s">
        <v>298</v>
      </c>
      <c r="D2491">
        <v>500</v>
      </c>
      <c r="E2491">
        <v>3</v>
      </c>
      <c r="F2491">
        <v>25</v>
      </c>
      <c r="G2491" s="11">
        <v>1</v>
      </c>
      <c r="H2491" s="5">
        <v>3.7499999999999999E-2</v>
      </c>
      <c r="I2491" s="11">
        <v>348750</v>
      </c>
      <c r="J2491" s="20">
        <v>348750</v>
      </c>
      <c r="K24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2" spans="1:11" hidden="1" x14ac:dyDescent="0.25">
      <c r="A2492" s="11"/>
      <c r="B2492" s="11"/>
      <c r="C2492" s="5"/>
      <c r="G2492" s="11"/>
      <c r="H2492" s="5"/>
      <c r="I2492" s="11"/>
      <c r="J2492" s="20"/>
      <c r="K24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3" spans="1:11" x14ac:dyDescent="0.25">
      <c r="A2493" s="11"/>
      <c r="B2493" s="11" t="s">
        <v>440</v>
      </c>
      <c r="C2493" s="5" t="s">
        <v>17</v>
      </c>
      <c r="D2493">
        <v>500</v>
      </c>
      <c r="E2493">
        <v>4</v>
      </c>
      <c r="F2493">
        <v>25</v>
      </c>
      <c r="G2493" s="11">
        <v>2</v>
      </c>
      <c r="H2493" s="5">
        <v>0.1</v>
      </c>
      <c r="I2493" s="11">
        <v>465000</v>
      </c>
      <c r="J2493" s="20">
        <v>930000</v>
      </c>
      <c r="K24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4" spans="1:11" hidden="1" x14ac:dyDescent="0.25">
      <c r="A2494" s="11"/>
      <c r="B2494" s="11"/>
      <c r="C2494" s="5"/>
      <c r="G2494" s="11"/>
      <c r="H2494" s="5"/>
      <c r="I2494" s="11"/>
      <c r="J2494" s="20"/>
      <c r="K24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5" spans="1:11" x14ac:dyDescent="0.25">
      <c r="A2495" s="11"/>
      <c r="B2495" s="11" t="s">
        <v>498</v>
      </c>
      <c r="C2495" s="5" t="s">
        <v>92</v>
      </c>
      <c r="D2495">
        <v>500</v>
      </c>
      <c r="E2495">
        <v>6</v>
      </c>
      <c r="F2495">
        <v>15</v>
      </c>
      <c r="G2495" s="11">
        <v>1</v>
      </c>
      <c r="H2495" s="5">
        <v>4.4999999999999998E-2</v>
      </c>
      <c r="I2495" s="11">
        <v>414000</v>
      </c>
      <c r="J2495" s="20">
        <v>414000</v>
      </c>
      <c r="K24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496" spans="1:11" hidden="1" x14ac:dyDescent="0.25">
      <c r="A2496" s="11"/>
      <c r="B2496" s="11"/>
      <c r="C2496" s="5"/>
      <c r="G2496" s="11"/>
      <c r="H2496" s="5"/>
      <c r="I2496" s="11"/>
      <c r="J2496" s="20"/>
      <c r="K24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7" spans="1:11" hidden="1" x14ac:dyDescent="0.25">
      <c r="A2497" s="11"/>
      <c r="B2497" s="11"/>
      <c r="C2497" s="5"/>
      <c r="G2497" s="11"/>
      <c r="H2497" s="5"/>
      <c r="I2497" s="11"/>
      <c r="J2497" s="20"/>
      <c r="K24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8" spans="1:11" x14ac:dyDescent="0.25">
      <c r="A2498" s="11" t="s">
        <v>299</v>
      </c>
      <c r="B2498" s="11" t="s">
        <v>476</v>
      </c>
      <c r="C2498" s="5" t="s">
        <v>62</v>
      </c>
      <c r="D2498">
        <v>400</v>
      </c>
      <c r="E2498">
        <v>3</v>
      </c>
      <c r="F2498">
        <v>20</v>
      </c>
      <c r="G2498" s="11">
        <v>1</v>
      </c>
      <c r="H2498" s="5">
        <v>2.4E-2</v>
      </c>
      <c r="I2498" s="11">
        <v>208800</v>
      </c>
      <c r="J2498" s="20">
        <v>208800</v>
      </c>
      <c r="K24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499" spans="1:11" hidden="1" x14ac:dyDescent="0.25">
      <c r="A2499" s="11"/>
      <c r="B2499" s="11"/>
      <c r="C2499" s="5"/>
      <c r="G2499" s="11"/>
      <c r="H2499" s="5"/>
      <c r="I2499" s="11"/>
      <c r="J2499" s="20"/>
      <c r="K24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0" spans="1:11" x14ac:dyDescent="0.25">
      <c r="A2500" s="11"/>
      <c r="B2500" s="11" t="s">
        <v>433</v>
      </c>
      <c r="C2500" s="5" t="s">
        <v>9</v>
      </c>
      <c r="D2500">
        <v>400</v>
      </c>
      <c r="E2500">
        <v>4</v>
      </c>
      <c r="F2500">
        <v>20</v>
      </c>
      <c r="G2500" s="11">
        <v>11</v>
      </c>
      <c r="H2500" s="5">
        <v>0.35199999999999998</v>
      </c>
      <c r="I2500" s="11">
        <v>294400</v>
      </c>
      <c r="J2500" s="20">
        <v>3238400</v>
      </c>
      <c r="K25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1" spans="1:11" hidden="1" x14ac:dyDescent="0.25">
      <c r="A2501" s="11"/>
      <c r="B2501" s="11"/>
      <c r="C2501" s="5"/>
      <c r="G2501" s="11"/>
      <c r="H2501" s="5"/>
      <c r="I2501" s="11"/>
      <c r="J2501" s="20"/>
      <c r="K25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2" spans="1:11" x14ac:dyDescent="0.25">
      <c r="A2502" s="11"/>
      <c r="B2502" s="11" t="s">
        <v>443</v>
      </c>
      <c r="C2502" s="5" t="s">
        <v>21</v>
      </c>
      <c r="D2502">
        <v>400</v>
      </c>
      <c r="E2502">
        <v>4</v>
      </c>
      <c r="F2502">
        <v>25</v>
      </c>
      <c r="G2502" s="11">
        <v>2</v>
      </c>
      <c r="H2502" s="5">
        <v>0.08</v>
      </c>
      <c r="I2502" s="11">
        <v>372000</v>
      </c>
      <c r="J2502" s="20">
        <v>744000</v>
      </c>
      <c r="K25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3" spans="1:11" hidden="1" x14ac:dyDescent="0.25">
      <c r="A2503" s="11"/>
      <c r="B2503" s="11"/>
      <c r="C2503" s="5"/>
      <c r="G2503" s="11"/>
      <c r="H2503" s="5"/>
      <c r="I2503" s="11"/>
      <c r="J2503" s="20"/>
      <c r="K25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4" spans="1:11" hidden="1" x14ac:dyDescent="0.25">
      <c r="A2504" s="11"/>
      <c r="B2504" s="11"/>
      <c r="C2504" s="5"/>
      <c r="G2504" s="11"/>
      <c r="H2504" s="5"/>
      <c r="I2504" s="11"/>
      <c r="J2504" s="20"/>
      <c r="K25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5" spans="1:11" x14ac:dyDescent="0.25">
      <c r="A2505" s="11" t="s">
        <v>299</v>
      </c>
      <c r="B2505" s="11" t="s">
        <v>490</v>
      </c>
      <c r="C2505" s="5" t="s">
        <v>82</v>
      </c>
      <c r="D2505">
        <v>250</v>
      </c>
      <c r="E2505">
        <v>6</v>
      </c>
      <c r="F2505">
        <v>15</v>
      </c>
      <c r="G2505" s="11">
        <v>6</v>
      </c>
      <c r="H2505" s="5">
        <v>0.13500000000000001</v>
      </c>
      <c r="I2505" s="11">
        <v>207000</v>
      </c>
      <c r="J2505" s="20">
        <v>1242000</v>
      </c>
      <c r="K25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06" spans="1:11" hidden="1" x14ac:dyDescent="0.25">
      <c r="A2506" s="11"/>
      <c r="B2506" s="11"/>
      <c r="C2506" s="5"/>
      <c r="G2506" s="11"/>
      <c r="H2506" s="5"/>
      <c r="I2506" s="11"/>
      <c r="J2506" s="20"/>
      <c r="K25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7" spans="1:11" x14ac:dyDescent="0.25">
      <c r="A2507" s="11"/>
      <c r="B2507" s="11" t="s">
        <v>438</v>
      </c>
      <c r="C2507" s="5" t="s">
        <v>15</v>
      </c>
      <c r="D2507">
        <v>400</v>
      </c>
      <c r="E2507">
        <v>3</v>
      </c>
      <c r="F2507">
        <v>25</v>
      </c>
      <c r="G2507" s="11">
        <v>2</v>
      </c>
      <c r="H2507" s="5">
        <v>0.06</v>
      </c>
      <c r="I2507" s="11">
        <v>279000</v>
      </c>
      <c r="J2507" s="20">
        <v>558000</v>
      </c>
      <c r="K25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8" spans="1:11" hidden="1" x14ac:dyDescent="0.25">
      <c r="A2508" s="11"/>
      <c r="B2508" s="11"/>
      <c r="C2508" s="5"/>
      <c r="G2508" s="11"/>
      <c r="H2508" s="5"/>
      <c r="I2508" s="11"/>
      <c r="J2508" s="20"/>
      <c r="K25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09" spans="1:11" x14ac:dyDescent="0.25">
      <c r="A2509" s="11"/>
      <c r="B2509" s="11" t="s">
        <v>443</v>
      </c>
      <c r="C2509" s="5" t="s">
        <v>21</v>
      </c>
      <c r="D2509">
        <v>400</v>
      </c>
      <c r="E2509">
        <v>4</v>
      </c>
      <c r="F2509">
        <v>25</v>
      </c>
      <c r="G2509" s="11">
        <v>2</v>
      </c>
      <c r="H2509" s="5">
        <v>0.08</v>
      </c>
      <c r="I2509" s="11">
        <v>372000</v>
      </c>
      <c r="J2509" s="20">
        <v>744000</v>
      </c>
      <c r="K25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0" spans="1:11" hidden="1" x14ac:dyDescent="0.25">
      <c r="A2510" s="11"/>
      <c r="B2510" s="11"/>
      <c r="C2510" s="5"/>
      <c r="G2510" s="11"/>
      <c r="H2510" s="5"/>
      <c r="I2510" s="11"/>
      <c r="J2510" s="20"/>
      <c r="K25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1" spans="1:11" x14ac:dyDescent="0.25">
      <c r="A2511" s="11"/>
      <c r="B2511" s="11" t="s">
        <v>434</v>
      </c>
      <c r="C2511" s="5" t="s">
        <v>10</v>
      </c>
      <c r="D2511">
        <v>400</v>
      </c>
      <c r="E2511">
        <v>4</v>
      </c>
      <c r="F2511">
        <v>30</v>
      </c>
      <c r="G2511" s="11">
        <v>1</v>
      </c>
      <c r="H2511" s="5">
        <v>4.8000000000000001E-2</v>
      </c>
      <c r="I2511" s="11">
        <v>456000</v>
      </c>
      <c r="J2511" s="20">
        <v>456000</v>
      </c>
      <c r="K25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2" spans="1:11" hidden="1" x14ac:dyDescent="0.25">
      <c r="A2512" s="11"/>
      <c r="B2512" s="11"/>
      <c r="C2512" s="5"/>
      <c r="G2512" s="11"/>
      <c r="H2512" s="5"/>
      <c r="I2512" s="11"/>
      <c r="J2512" s="20"/>
      <c r="K25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3" spans="1:11" hidden="1" x14ac:dyDescent="0.25">
      <c r="A2513" s="11"/>
      <c r="B2513" s="11"/>
      <c r="C2513" s="5"/>
      <c r="G2513" s="11"/>
      <c r="H2513" s="5"/>
      <c r="I2513" s="11"/>
      <c r="J2513" s="20"/>
      <c r="K25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4" spans="1:11" x14ac:dyDescent="0.25">
      <c r="A2514" s="11" t="s">
        <v>299</v>
      </c>
      <c r="B2514" s="11" t="s">
        <v>439</v>
      </c>
      <c r="C2514" s="5" t="s">
        <v>16</v>
      </c>
      <c r="D2514">
        <v>400</v>
      </c>
      <c r="E2514">
        <v>3</v>
      </c>
      <c r="F2514">
        <v>30</v>
      </c>
      <c r="G2514" s="11">
        <v>1</v>
      </c>
      <c r="H2514" s="5">
        <v>3.5999999999999997E-2</v>
      </c>
      <c r="I2514" s="11">
        <v>342000</v>
      </c>
      <c r="J2514" s="20">
        <v>342000</v>
      </c>
      <c r="K25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5" spans="1:11" hidden="1" x14ac:dyDescent="0.25">
      <c r="A2515" s="11"/>
      <c r="B2515" s="11"/>
      <c r="C2515" s="5"/>
      <c r="G2515" s="11"/>
      <c r="H2515" s="5"/>
      <c r="I2515" s="11"/>
      <c r="J2515" s="20"/>
      <c r="K25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6" spans="1:11" x14ac:dyDescent="0.25">
      <c r="A2516" s="11"/>
      <c r="B2516" s="11" t="s">
        <v>523</v>
      </c>
      <c r="C2516" s="5" t="s">
        <v>133</v>
      </c>
      <c r="D2516">
        <v>500</v>
      </c>
      <c r="E2516">
        <v>4</v>
      </c>
      <c r="F2516">
        <v>20</v>
      </c>
      <c r="G2516" s="11">
        <v>1</v>
      </c>
      <c r="H2516" s="5">
        <v>0.04</v>
      </c>
      <c r="I2516" s="11">
        <v>368000</v>
      </c>
      <c r="J2516" s="20">
        <v>368000</v>
      </c>
      <c r="K25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7" spans="1:11" hidden="1" x14ac:dyDescent="0.25">
      <c r="A2517" s="11"/>
      <c r="B2517" s="11"/>
      <c r="C2517" s="5"/>
      <c r="G2517" s="11"/>
      <c r="H2517" s="5"/>
      <c r="I2517" s="11"/>
      <c r="J2517" s="20"/>
      <c r="K25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8" spans="1:11" hidden="1" x14ac:dyDescent="0.25">
      <c r="A2518" s="11"/>
      <c r="B2518" s="11"/>
      <c r="C2518" s="5"/>
      <c r="G2518" s="11"/>
      <c r="H2518" s="5"/>
      <c r="I2518" s="11"/>
      <c r="J2518" s="20"/>
      <c r="K25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19" spans="1:11" x14ac:dyDescent="0.25">
      <c r="A2519" s="11" t="s">
        <v>299</v>
      </c>
      <c r="B2519" s="11" t="s">
        <v>486</v>
      </c>
      <c r="C2519" s="5" t="s">
        <v>76</v>
      </c>
      <c r="D2519">
        <v>400</v>
      </c>
      <c r="E2519">
        <v>3</v>
      </c>
      <c r="F2519">
        <v>25</v>
      </c>
      <c r="G2519" s="11">
        <v>1</v>
      </c>
      <c r="H2519" s="5">
        <v>0.03</v>
      </c>
      <c r="I2519" s="11">
        <v>687000</v>
      </c>
      <c r="J2519" s="20">
        <v>687000</v>
      </c>
      <c r="K25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0" spans="1:11" hidden="1" x14ac:dyDescent="0.25">
      <c r="A2520" s="11"/>
      <c r="B2520" s="11"/>
      <c r="C2520" s="5"/>
      <c r="G2520" s="11"/>
      <c r="H2520" s="5"/>
      <c r="I2520" s="11"/>
      <c r="J2520" s="20"/>
      <c r="K25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1" spans="1:11" x14ac:dyDescent="0.25">
      <c r="A2521" s="11"/>
      <c r="B2521" s="11" t="s">
        <v>512</v>
      </c>
      <c r="C2521" s="5" t="s">
        <v>113</v>
      </c>
      <c r="D2521">
        <v>450</v>
      </c>
      <c r="E2521">
        <v>3</v>
      </c>
      <c r="F2521">
        <v>25</v>
      </c>
      <c r="G2521" s="11">
        <v>1</v>
      </c>
      <c r="H2521" s="5">
        <v>3.3799999999999997E-2</v>
      </c>
      <c r="I2521" s="11">
        <v>790920</v>
      </c>
      <c r="J2521" s="20">
        <v>790920</v>
      </c>
      <c r="K25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2" spans="1:11" hidden="1" x14ac:dyDescent="0.25">
      <c r="A2522" s="11"/>
      <c r="B2522" s="11"/>
      <c r="C2522" s="5"/>
      <c r="G2522" s="11"/>
      <c r="H2522" s="5"/>
      <c r="I2522" s="11"/>
      <c r="J2522" s="20"/>
      <c r="K25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3" spans="1:11" hidden="1" x14ac:dyDescent="0.25">
      <c r="A2523" s="11"/>
      <c r="B2523" s="11"/>
      <c r="C2523" s="5"/>
      <c r="G2523" s="11"/>
      <c r="H2523" s="5"/>
      <c r="I2523" s="11"/>
      <c r="J2523" s="20"/>
      <c r="K25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4" spans="1:11" x14ac:dyDescent="0.25">
      <c r="A2524" s="11" t="s">
        <v>300</v>
      </c>
      <c r="B2524" s="11" t="s">
        <v>433</v>
      </c>
      <c r="C2524" s="5" t="s">
        <v>9</v>
      </c>
      <c r="D2524">
        <v>400</v>
      </c>
      <c r="E2524">
        <v>4</v>
      </c>
      <c r="F2524">
        <v>20</v>
      </c>
      <c r="G2524" s="11">
        <v>2</v>
      </c>
      <c r="H2524" s="5">
        <v>6.4000000000000001E-2</v>
      </c>
      <c r="I2524" s="11">
        <v>294400</v>
      </c>
      <c r="J2524" s="20">
        <v>588800</v>
      </c>
      <c r="K25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5" spans="1:11" hidden="1" x14ac:dyDescent="0.25">
      <c r="A2525" s="11"/>
      <c r="B2525" s="11"/>
      <c r="C2525" s="5"/>
      <c r="G2525" s="11"/>
      <c r="H2525" s="5"/>
      <c r="I2525" s="11"/>
      <c r="J2525" s="20"/>
      <c r="K25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6" spans="1:11" x14ac:dyDescent="0.25">
      <c r="A2526" s="11"/>
      <c r="B2526" s="11" t="s">
        <v>435</v>
      </c>
      <c r="C2526" s="5" t="s">
        <v>11</v>
      </c>
      <c r="D2526">
        <v>400</v>
      </c>
      <c r="E2526">
        <v>6</v>
      </c>
      <c r="F2526">
        <v>12</v>
      </c>
      <c r="G2526" s="11">
        <v>5</v>
      </c>
      <c r="H2526" s="5">
        <v>0.14399999999999999</v>
      </c>
      <c r="I2526" s="11">
        <v>250560</v>
      </c>
      <c r="J2526" s="20">
        <v>1252800</v>
      </c>
      <c r="K25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27" spans="1:11" hidden="1" x14ac:dyDescent="0.25">
      <c r="A2527" s="11"/>
      <c r="B2527" s="11"/>
      <c r="C2527" s="5"/>
      <c r="G2527" s="11"/>
      <c r="H2527" s="5"/>
      <c r="I2527" s="11"/>
      <c r="J2527" s="20"/>
      <c r="K25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8" spans="1:11" x14ac:dyDescent="0.25">
      <c r="A2528" s="11"/>
      <c r="B2528" s="11" t="s">
        <v>440</v>
      </c>
      <c r="C2528" s="5" t="s">
        <v>17</v>
      </c>
      <c r="D2528">
        <v>500</v>
      </c>
      <c r="E2528">
        <v>4</v>
      </c>
      <c r="F2528">
        <v>25</v>
      </c>
      <c r="G2528" s="11">
        <v>1</v>
      </c>
      <c r="H2528" s="5">
        <v>0.05</v>
      </c>
      <c r="I2528" s="11">
        <v>465000</v>
      </c>
      <c r="J2528" s="20">
        <v>465000</v>
      </c>
      <c r="K25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29" spans="1:11" hidden="1" x14ac:dyDescent="0.25">
      <c r="A2529" s="11"/>
      <c r="B2529" s="11"/>
      <c r="C2529" s="5"/>
      <c r="G2529" s="11"/>
      <c r="H2529" s="5"/>
      <c r="I2529" s="11"/>
      <c r="J2529" s="20"/>
      <c r="K25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0" spans="1:11" hidden="1" x14ac:dyDescent="0.25">
      <c r="A2530" s="11"/>
      <c r="B2530" s="11"/>
      <c r="C2530" s="5"/>
      <c r="G2530" s="11"/>
      <c r="H2530" s="5"/>
      <c r="I2530" s="11"/>
      <c r="J2530" s="20"/>
      <c r="K25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1" spans="1:11" x14ac:dyDescent="0.25">
      <c r="A2531" s="11" t="s">
        <v>300</v>
      </c>
      <c r="B2531" s="11" t="s">
        <v>482</v>
      </c>
      <c r="C2531" s="5" t="s">
        <v>69</v>
      </c>
      <c r="D2531">
        <v>400</v>
      </c>
      <c r="E2531">
        <v>2</v>
      </c>
      <c r="F2531">
        <v>20</v>
      </c>
      <c r="G2531" s="11">
        <v>5</v>
      </c>
      <c r="H2531" s="5">
        <v>0.08</v>
      </c>
      <c r="I2531" s="11">
        <v>398400</v>
      </c>
      <c r="J2531" s="20">
        <v>1992000</v>
      </c>
      <c r="K25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2" spans="1:11" hidden="1" x14ac:dyDescent="0.25">
      <c r="A2532" s="11"/>
      <c r="B2532" s="11"/>
      <c r="C2532" s="5"/>
      <c r="G2532" s="11"/>
      <c r="H2532" s="5"/>
      <c r="I2532" s="11"/>
      <c r="J2532" s="20"/>
      <c r="K25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3" spans="1:11" hidden="1" x14ac:dyDescent="0.25">
      <c r="A2533" s="11"/>
      <c r="B2533" s="11"/>
      <c r="C2533" s="5"/>
      <c r="G2533" s="11"/>
      <c r="H2533" s="5"/>
      <c r="I2533" s="11"/>
      <c r="J2533" s="20"/>
      <c r="K25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4" spans="1:11" x14ac:dyDescent="0.25">
      <c r="A2534" s="11" t="s">
        <v>300</v>
      </c>
      <c r="B2534" s="11" t="s">
        <v>462</v>
      </c>
      <c r="C2534" s="5" t="s">
        <v>44</v>
      </c>
      <c r="D2534">
        <v>400</v>
      </c>
      <c r="E2534">
        <v>6</v>
      </c>
      <c r="F2534">
        <v>15</v>
      </c>
      <c r="G2534" s="11">
        <v>1</v>
      </c>
      <c r="H2534" s="5">
        <v>3.5999999999999997E-2</v>
      </c>
      <c r="I2534" s="11">
        <v>244800</v>
      </c>
      <c r="J2534" s="20">
        <v>244800</v>
      </c>
      <c r="K25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35" spans="1:11" hidden="1" x14ac:dyDescent="0.25">
      <c r="A2535" s="11"/>
      <c r="B2535" s="11"/>
      <c r="C2535" s="5"/>
      <c r="G2535" s="11"/>
      <c r="H2535" s="5"/>
      <c r="I2535" s="11"/>
      <c r="J2535" s="20"/>
      <c r="K25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6" spans="1:11" x14ac:dyDescent="0.25">
      <c r="A2536" s="11"/>
      <c r="B2536" s="11" t="s">
        <v>520</v>
      </c>
      <c r="C2536" s="5" t="s">
        <v>126</v>
      </c>
      <c r="D2536">
        <v>500</v>
      </c>
      <c r="E2536">
        <v>6</v>
      </c>
      <c r="F2536">
        <v>12</v>
      </c>
      <c r="G2536" s="11">
        <v>3</v>
      </c>
      <c r="H2536" s="5">
        <v>0.108</v>
      </c>
      <c r="I2536" s="11">
        <v>331200</v>
      </c>
      <c r="J2536" s="20">
        <v>993600</v>
      </c>
      <c r="K25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37" spans="1:11" hidden="1" x14ac:dyDescent="0.25">
      <c r="A2537" s="11"/>
      <c r="B2537" s="11"/>
      <c r="C2537" s="5"/>
      <c r="G2537" s="11"/>
      <c r="H2537" s="5"/>
      <c r="I2537" s="11"/>
      <c r="J2537" s="20"/>
      <c r="K25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8" spans="1:11" hidden="1" x14ac:dyDescent="0.25">
      <c r="A2538" s="11"/>
      <c r="B2538" s="11"/>
      <c r="C2538" s="5"/>
      <c r="G2538" s="11"/>
      <c r="H2538" s="5"/>
      <c r="I2538" s="11"/>
      <c r="J2538" s="20"/>
      <c r="K25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39" spans="1:11" x14ac:dyDescent="0.25">
      <c r="A2539" s="11" t="s">
        <v>300</v>
      </c>
      <c r="B2539" s="11" t="s">
        <v>554</v>
      </c>
      <c r="C2539" s="5" t="s">
        <v>196</v>
      </c>
      <c r="D2539">
        <v>400</v>
      </c>
      <c r="E2539">
        <v>3</v>
      </c>
      <c r="F2539">
        <v>35</v>
      </c>
      <c r="G2539" s="11">
        <v>7</v>
      </c>
      <c r="H2539" s="5">
        <v>0.29399999999999998</v>
      </c>
      <c r="I2539" s="11">
        <v>1010100</v>
      </c>
      <c r="J2539" s="20">
        <v>7070700</v>
      </c>
      <c r="K25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0" spans="1:11" hidden="1" x14ac:dyDescent="0.25">
      <c r="A2540" s="11"/>
      <c r="B2540" s="11"/>
      <c r="C2540" s="5"/>
      <c r="G2540" s="11"/>
      <c r="H2540" s="5"/>
      <c r="I2540" s="11"/>
      <c r="J2540" s="20"/>
      <c r="K25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1" spans="1:11" x14ac:dyDescent="0.25">
      <c r="A2541" s="11"/>
      <c r="B2541" s="11" t="s">
        <v>484</v>
      </c>
      <c r="C2541" s="5" t="s">
        <v>72</v>
      </c>
      <c r="D2541">
        <v>500</v>
      </c>
      <c r="E2541">
        <v>3</v>
      </c>
      <c r="F2541">
        <v>30</v>
      </c>
      <c r="G2541" s="11">
        <v>2</v>
      </c>
      <c r="H2541" s="5">
        <v>0.09</v>
      </c>
      <c r="I2541" s="11">
        <v>1089000</v>
      </c>
      <c r="J2541" s="20">
        <v>2178000</v>
      </c>
      <c r="K25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2" spans="1:11" hidden="1" x14ac:dyDescent="0.25">
      <c r="A2542" s="11"/>
      <c r="B2542" s="11"/>
      <c r="C2542" s="5"/>
      <c r="G2542" s="11"/>
      <c r="H2542" s="5"/>
      <c r="I2542" s="11"/>
      <c r="J2542" s="20"/>
      <c r="K25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3" spans="1:11" x14ac:dyDescent="0.25">
      <c r="A2543" s="11"/>
      <c r="B2543" s="11" t="s">
        <v>522</v>
      </c>
      <c r="C2543" s="5" t="s">
        <v>131</v>
      </c>
      <c r="D2543">
        <v>200</v>
      </c>
      <c r="E2543">
        <v>6</v>
      </c>
      <c r="F2543">
        <v>15</v>
      </c>
      <c r="G2543" s="11">
        <v>2</v>
      </c>
      <c r="H2543" s="5">
        <v>3.5999999999999997E-2</v>
      </c>
      <c r="I2543" s="11">
        <v>375300</v>
      </c>
      <c r="J2543" s="20">
        <v>750600</v>
      </c>
      <c r="K25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44" spans="1:11" hidden="1" x14ac:dyDescent="0.25">
      <c r="A2544" s="11"/>
      <c r="B2544" s="11"/>
      <c r="C2544" s="5"/>
      <c r="G2544" s="11"/>
      <c r="H2544" s="5"/>
      <c r="I2544" s="11"/>
      <c r="J2544" s="20"/>
      <c r="K25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5" spans="1:11" x14ac:dyDescent="0.25">
      <c r="A2545" s="11"/>
      <c r="B2545" s="11" t="s">
        <v>482</v>
      </c>
      <c r="C2545" s="5" t="s">
        <v>69</v>
      </c>
      <c r="D2545">
        <v>400</v>
      </c>
      <c r="E2545">
        <v>2</v>
      </c>
      <c r="F2545">
        <v>20</v>
      </c>
      <c r="G2545" s="11">
        <v>7</v>
      </c>
      <c r="H2545" s="5">
        <v>0.112</v>
      </c>
      <c r="I2545" s="11">
        <v>402400</v>
      </c>
      <c r="J2545" s="20">
        <v>2816800</v>
      </c>
      <c r="K25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6" spans="1:11" hidden="1" x14ac:dyDescent="0.25">
      <c r="A2546" s="11"/>
      <c r="B2546" s="11"/>
      <c r="C2546" s="5"/>
      <c r="G2546" s="11"/>
      <c r="H2546" s="5"/>
      <c r="I2546" s="11"/>
      <c r="J2546" s="20"/>
      <c r="K25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7" spans="1:11" hidden="1" x14ac:dyDescent="0.25">
      <c r="A2547" s="11"/>
      <c r="B2547" s="11"/>
      <c r="C2547" s="5"/>
      <c r="G2547" s="11"/>
      <c r="H2547" s="5"/>
      <c r="I2547" s="11"/>
      <c r="J2547" s="20"/>
      <c r="K25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8" spans="1:11" x14ac:dyDescent="0.25">
      <c r="A2548" s="11" t="s">
        <v>301</v>
      </c>
      <c r="B2548" s="11" t="s">
        <v>433</v>
      </c>
      <c r="C2548" s="5" t="s">
        <v>9</v>
      </c>
      <c r="D2548">
        <v>400</v>
      </c>
      <c r="E2548">
        <v>4</v>
      </c>
      <c r="F2548">
        <v>20</v>
      </c>
      <c r="G2548" s="11">
        <v>1</v>
      </c>
      <c r="H2548" s="5">
        <v>3.2000000000000001E-2</v>
      </c>
      <c r="I2548" s="11">
        <v>294400</v>
      </c>
      <c r="J2548" s="20">
        <v>294400</v>
      </c>
      <c r="K25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49" spans="1:11" hidden="1" x14ac:dyDescent="0.25">
      <c r="A2549" s="11"/>
      <c r="B2549" s="11"/>
      <c r="C2549" s="5"/>
      <c r="G2549" s="11"/>
      <c r="H2549" s="5"/>
      <c r="I2549" s="11"/>
      <c r="J2549" s="20"/>
      <c r="K25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0" spans="1:11" x14ac:dyDescent="0.25">
      <c r="A2550" s="11"/>
      <c r="B2550" s="11" t="s">
        <v>481</v>
      </c>
      <c r="C2550" s="5" t="s">
        <v>68</v>
      </c>
      <c r="D2550">
        <v>400</v>
      </c>
      <c r="E2550">
        <v>6</v>
      </c>
      <c r="F2550">
        <v>15</v>
      </c>
      <c r="G2550" s="11">
        <v>14</v>
      </c>
      <c r="H2550" s="5">
        <v>0.504</v>
      </c>
      <c r="I2550" s="11">
        <v>313200</v>
      </c>
      <c r="J2550" s="20">
        <v>4384800</v>
      </c>
      <c r="K25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51" spans="1:11" hidden="1" x14ac:dyDescent="0.25">
      <c r="A2551" s="11"/>
      <c r="B2551" s="11"/>
      <c r="C2551" s="5"/>
      <c r="G2551" s="11"/>
      <c r="H2551" s="5"/>
      <c r="I2551" s="11"/>
      <c r="J2551" s="20"/>
      <c r="K25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2" spans="1:11" hidden="1" x14ac:dyDescent="0.25">
      <c r="A2552" s="11"/>
      <c r="B2552" s="11"/>
      <c r="C2552" s="5"/>
      <c r="G2552" s="11"/>
      <c r="H2552" s="5"/>
      <c r="I2552" s="11"/>
      <c r="J2552" s="20"/>
      <c r="K25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3" spans="1:11" x14ac:dyDescent="0.25">
      <c r="A2553" s="11" t="s">
        <v>302</v>
      </c>
      <c r="B2553" s="11" t="s">
        <v>476</v>
      </c>
      <c r="C2553" s="5" t="s">
        <v>62</v>
      </c>
      <c r="D2553">
        <v>400</v>
      </c>
      <c r="E2553">
        <v>3</v>
      </c>
      <c r="F2553">
        <v>20</v>
      </c>
      <c r="G2553" s="11">
        <v>1</v>
      </c>
      <c r="H2553" s="5">
        <v>2.4E-2</v>
      </c>
      <c r="I2553" s="11">
        <v>208800</v>
      </c>
      <c r="J2553" s="20">
        <v>208800</v>
      </c>
      <c r="K25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4" spans="1:11" hidden="1" x14ac:dyDescent="0.25">
      <c r="A2554" s="11"/>
      <c r="B2554" s="11"/>
      <c r="C2554" s="5"/>
      <c r="G2554" s="11"/>
      <c r="H2554" s="5"/>
      <c r="I2554" s="11"/>
      <c r="J2554" s="20"/>
      <c r="K25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5" spans="1:11" x14ac:dyDescent="0.25">
      <c r="A2555" s="11"/>
      <c r="B2555" s="11" t="s">
        <v>490</v>
      </c>
      <c r="C2555" s="5" t="s">
        <v>82</v>
      </c>
      <c r="D2555">
        <v>250</v>
      </c>
      <c r="E2555">
        <v>6</v>
      </c>
      <c r="F2555">
        <v>15</v>
      </c>
      <c r="G2555" s="11">
        <v>2</v>
      </c>
      <c r="H2555" s="5">
        <v>4.4999999999999998E-2</v>
      </c>
      <c r="I2555" s="11">
        <v>207000</v>
      </c>
      <c r="J2555" s="20">
        <v>414000</v>
      </c>
      <c r="K25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56" spans="1:11" hidden="1" x14ac:dyDescent="0.25">
      <c r="A2556" s="11"/>
      <c r="B2556" s="11"/>
      <c r="C2556" s="5"/>
      <c r="G2556" s="11"/>
      <c r="H2556" s="5"/>
      <c r="I2556" s="11"/>
      <c r="J2556" s="20"/>
      <c r="K25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7" spans="1:11" x14ac:dyDescent="0.25">
      <c r="A2557" s="11"/>
      <c r="B2557" s="11" t="s">
        <v>439</v>
      </c>
      <c r="C2557" s="5" t="s">
        <v>16</v>
      </c>
      <c r="D2557">
        <v>400</v>
      </c>
      <c r="E2557">
        <v>3</v>
      </c>
      <c r="F2557">
        <v>30</v>
      </c>
      <c r="G2557" s="11">
        <v>1</v>
      </c>
      <c r="H2557" s="5">
        <v>3.5999999999999997E-2</v>
      </c>
      <c r="I2557" s="11">
        <v>342000</v>
      </c>
      <c r="J2557" s="20">
        <v>342000</v>
      </c>
      <c r="K25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8" spans="1:11" hidden="1" x14ac:dyDescent="0.25">
      <c r="A2558" s="11"/>
      <c r="B2558" s="11"/>
      <c r="C2558" s="5"/>
      <c r="G2558" s="11"/>
      <c r="H2558" s="5"/>
      <c r="I2558" s="11"/>
      <c r="J2558" s="20"/>
      <c r="K25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59" spans="1:11" x14ac:dyDescent="0.25">
      <c r="A2559" s="11"/>
      <c r="B2559" s="11" t="s">
        <v>433</v>
      </c>
      <c r="C2559" s="5" t="s">
        <v>9</v>
      </c>
      <c r="D2559">
        <v>400</v>
      </c>
      <c r="E2559">
        <v>4</v>
      </c>
      <c r="F2559">
        <v>20</v>
      </c>
      <c r="G2559" s="11">
        <v>1</v>
      </c>
      <c r="H2559" s="5">
        <v>3.2000000000000001E-2</v>
      </c>
      <c r="I2559" s="11">
        <v>294400</v>
      </c>
      <c r="J2559" s="20">
        <v>294400</v>
      </c>
      <c r="K25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0" spans="1:11" hidden="1" x14ac:dyDescent="0.25">
      <c r="A2560" s="11"/>
      <c r="B2560" s="11"/>
      <c r="C2560" s="5"/>
      <c r="G2560" s="11"/>
      <c r="H2560" s="5"/>
      <c r="I2560" s="11"/>
      <c r="J2560" s="20"/>
      <c r="K25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1" spans="1:11" x14ac:dyDescent="0.25">
      <c r="A2561" s="11"/>
      <c r="B2561" s="11" t="s">
        <v>443</v>
      </c>
      <c r="C2561" s="5" t="s">
        <v>21</v>
      </c>
      <c r="D2561">
        <v>400</v>
      </c>
      <c r="E2561">
        <v>4</v>
      </c>
      <c r="F2561">
        <v>25</v>
      </c>
      <c r="G2561" s="11">
        <v>2</v>
      </c>
      <c r="H2561" s="5">
        <v>0.08</v>
      </c>
      <c r="I2561" s="11">
        <v>372000</v>
      </c>
      <c r="J2561" s="20">
        <v>744000</v>
      </c>
      <c r="K25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2" spans="1:11" hidden="1" x14ac:dyDescent="0.25">
      <c r="A2562" s="11"/>
      <c r="B2562" s="11"/>
      <c r="C2562" s="5"/>
      <c r="G2562" s="11"/>
      <c r="H2562" s="5"/>
      <c r="I2562" s="11"/>
      <c r="J2562" s="20"/>
      <c r="K25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3" spans="1:11" x14ac:dyDescent="0.25">
      <c r="A2563" s="11"/>
      <c r="B2563" s="11" t="s">
        <v>481</v>
      </c>
      <c r="C2563" s="5" t="s">
        <v>68</v>
      </c>
      <c r="D2563">
        <v>400</v>
      </c>
      <c r="E2563">
        <v>6</v>
      </c>
      <c r="F2563">
        <v>15</v>
      </c>
      <c r="G2563" s="11">
        <v>3</v>
      </c>
      <c r="H2563" s="5">
        <v>0.108</v>
      </c>
      <c r="I2563" s="11">
        <v>313200</v>
      </c>
      <c r="J2563" s="20">
        <v>939600</v>
      </c>
      <c r="K25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64" spans="1:11" hidden="1" x14ac:dyDescent="0.25">
      <c r="A2564" s="11"/>
      <c r="B2564" s="11"/>
      <c r="C2564" s="5"/>
      <c r="G2564" s="11"/>
      <c r="H2564" s="5"/>
      <c r="I2564" s="11"/>
      <c r="J2564" s="20"/>
      <c r="K25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5" spans="1:11" hidden="1" x14ac:dyDescent="0.25">
      <c r="A2565" s="11"/>
      <c r="B2565" s="11"/>
      <c r="C2565" s="5"/>
      <c r="G2565" s="11"/>
      <c r="H2565" s="5"/>
      <c r="I2565" s="11"/>
      <c r="J2565" s="20"/>
      <c r="K25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6" spans="1:11" x14ac:dyDescent="0.25">
      <c r="A2566" s="11" t="s">
        <v>302</v>
      </c>
      <c r="B2566" s="11" t="s">
        <v>438</v>
      </c>
      <c r="C2566" s="5" t="s">
        <v>15</v>
      </c>
      <c r="D2566">
        <v>400</v>
      </c>
      <c r="E2566">
        <v>3</v>
      </c>
      <c r="F2566">
        <v>25</v>
      </c>
      <c r="G2566" s="11">
        <v>5</v>
      </c>
      <c r="H2566" s="5">
        <v>0.15</v>
      </c>
      <c r="I2566" s="11">
        <v>279000</v>
      </c>
      <c r="J2566" s="20">
        <v>1395000</v>
      </c>
      <c r="K25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7" spans="1:11" hidden="1" x14ac:dyDescent="0.25">
      <c r="A2567" s="11"/>
      <c r="B2567" s="11"/>
      <c r="C2567" s="5"/>
      <c r="G2567" s="11"/>
      <c r="H2567" s="5"/>
      <c r="I2567" s="11"/>
      <c r="J2567" s="20"/>
      <c r="K25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68" spans="1:11" x14ac:dyDescent="0.25">
      <c r="A2568" s="11"/>
      <c r="B2568" s="11" t="s">
        <v>435</v>
      </c>
      <c r="C2568" s="5" t="s">
        <v>11</v>
      </c>
      <c r="D2568">
        <v>400</v>
      </c>
      <c r="E2568">
        <v>6</v>
      </c>
      <c r="F2568">
        <v>12</v>
      </c>
      <c r="G2568" s="11">
        <v>4</v>
      </c>
      <c r="H2568" s="5">
        <v>0.1152</v>
      </c>
      <c r="I2568" s="11">
        <v>250560</v>
      </c>
      <c r="J2568" s="20">
        <v>1002240</v>
      </c>
      <c r="K25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69" spans="1:11" hidden="1" x14ac:dyDescent="0.25">
      <c r="A2569" s="11"/>
      <c r="B2569" s="11"/>
      <c r="C2569" s="5"/>
      <c r="G2569" s="11"/>
      <c r="H2569" s="5"/>
      <c r="I2569" s="11"/>
      <c r="J2569" s="20"/>
      <c r="K25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0" spans="1:11" x14ac:dyDescent="0.25">
      <c r="A2570" s="11"/>
      <c r="B2570" s="11" t="s">
        <v>481</v>
      </c>
      <c r="C2570" s="5" t="s">
        <v>68</v>
      </c>
      <c r="D2570">
        <v>400</v>
      </c>
      <c r="E2570">
        <v>6</v>
      </c>
      <c r="F2570">
        <v>15</v>
      </c>
      <c r="G2570" s="11">
        <v>13</v>
      </c>
      <c r="H2570" s="5">
        <v>0.46800000000000003</v>
      </c>
      <c r="I2570" s="11">
        <v>313200</v>
      </c>
      <c r="J2570" s="20">
        <v>4071600</v>
      </c>
      <c r="K25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71" spans="1:11" hidden="1" x14ac:dyDescent="0.25">
      <c r="A2571" s="11"/>
      <c r="B2571" s="11"/>
      <c r="C2571" s="5"/>
      <c r="G2571" s="11"/>
      <c r="H2571" s="5"/>
      <c r="I2571" s="11"/>
      <c r="J2571" s="20"/>
      <c r="K25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2" spans="1:11" hidden="1" x14ac:dyDescent="0.25">
      <c r="A2572" s="11"/>
      <c r="B2572" s="11"/>
      <c r="C2572" s="5"/>
      <c r="G2572" s="11"/>
      <c r="H2572" s="5"/>
      <c r="I2572" s="11"/>
      <c r="J2572" s="20"/>
      <c r="K25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3" spans="1:11" x14ac:dyDescent="0.25">
      <c r="A2573" s="11" t="s">
        <v>303</v>
      </c>
      <c r="B2573" s="11" t="s">
        <v>532</v>
      </c>
      <c r="C2573" s="5" t="s">
        <v>150</v>
      </c>
      <c r="D2573">
        <v>280</v>
      </c>
      <c r="E2573">
        <v>6</v>
      </c>
      <c r="F2573">
        <v>15</v>
      </c>
      <c r="G2573" s="11">
        <v>1</v>
      </c>
      <c r="H2573" s="5">
        <v>2.52E-2</v>
      </c>
      <c r="I2573" s="11">
        <v>519120</v>
      </c>
      <c r="J2573" s="20">
        <v>519120</v>
      </c>
      <c r="K25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74" spans="1:11" hidden="1" x14ac:dyDescent="0.25">
      <c r="A2574" s="11"/>
      <c r="B2574" s="11"/>
      <c r="C2574" s="5"/>
      <c r="G2574" s="11"/>
      <c r="H2574" s="5"/>
      <c r="I2574" s="11"/>
      <c r="J2574" s="20"/>
      <c r="K25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5" spans="1:11" x14ac:dyDescent="0.25">
      <c r="A2575" s="11"/>
      <c r="B2575" s="11" t="s">
        <v>525</v>
      </c>
      <c r="C2575" s="5" t="s">
        <v>138</v>
      </c>
      <c r="D2575">
        <v>500</v>
      </c>
      <c r="E2575">
        <v>4</v>
      </c>
      <c r="F2575">
        <v>30</v>
      </c>
      <c r="G2575" s="11">
        <v>1</v>
      </c>
      <c r="H2575" s="5">
        <v>0.06</v>
      </c>
      <c r="I2575" s="11">
        <v>1434000</v>
      </c>
      <c r="J2575" s="20">
        <v>1434000</v>
      </c>
      <c r="K25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6" spans="1:11" hidden="1" x14ac:dyDescent="0.25">
      <c r="A2576" s="11"/>
      <c r="B2576" s="11"/>
      <c r="C2576" s="5"/>
      <c r="G2576" s="11"/>
      <c r="H2576" s="5"/>
      <c r="I2576" s="11"/>
      <c r="J2576" s="20"/>
      <c r="K25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7" spans="1:11" hidden="1" x14ac:dyDescent="0.25">
      <c r="A2577" s="11"/>
      <c r="B2577" s="11"/>
      <c r="C2577" s="5"/>
      <c r="G2577" s="11"/>
      <c r="H2577" s="5"/>
      <c r="I2577" s="11"/>
      <c r="J2577" s="20"/>
      <c r="K25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8" spans="1:11" x14ac:dyDescent="0.25">
      <c r="A2578" s="11" t="s">
        <v>303</v>
      </c>
      <c r="B2578" s="11" t="s">
        <v>582</v>
      </c>
      <c r="C2578" s="5" t="s">
        <v>304</v>
      </c>
      <c r="D2578">
        <v>400</v>
      </c>
      <c r="E2578">
        <v>2</v>
      </c>
      <c r="F2578">
        <v>30</v>
      </c>
      <c r="G2578" s="11">
        <v>1</v>
      </c>
      <c r="H2578" s="5">
        <v>2.4E-2</v>
      </c>
      <c r="I2578" s="11">
        <v>612000</v>
      </c>
      <c r="J2578" s="20">
        <v>612000</v>
      </c>
      <c r="K25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79" spans="1:11" hidden="1" x14ac:dyDescent="0.25">
      <c r="A2579" s="11"/>
      <c r="B2579" s="11"/>
      <c r="C2579" s="5"/>
      <c r="G2579" s="11"/>
      <c r="H2579" s="5"/>
      <c r="I2579" s="11"/>
      <c r="J2579" s="20"/>
      <c r="K25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0" spans="1:11" hidden="1" x14ac:dyDescent="0.25">
      <c r="A2580" s="11"/>
      <c r="B2580" s="11"/>
      <c r="C2580" s="5"/>
      <c r="G2580" s="11"/>
      <c r="H2580" s="5"/>
      <c r="I2580" s="11"/>
      <c r="J2580" s="20"/>
      <c r="K25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1" spans="1:11" x14ac:dyDescent="0.25">
      <c r="A2581" s="11" t="s">
        <v>303</v>
      </c>
      <c r="B2581" s="11" t="s">
        <v>490</v>
      </c>
      <c r="C2581" s="5" t="s">
        <v>82</v>
      </c>
      <c r="D2581">
        <v>250</v>
      </c>
      <c r="E2581">
        <v>6</v>
      </c>
      <c r="F2581">
        <v>15</v>
      </c>
      <c r="G2581" s="11">
        <v>10</v>
      </c>
      <c r="H2581" s="5">
        <v>0.22500000000000001</v>
      </c>
      <c r="I2581" s="11">
        <v>207000</v>
      </c>
      <c r="J2581" s="20">
        <v>2070000</v>
      </c>
      <c r="K25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82" spans="1:11" hidden="1" x14ac:dyDescent="0.25">
      <c r="A2582" s="11"/>
      <c r="B2582" s="11"/>
      <c r="C2582" s="5"/>
      <c r="G2582" s="11"/>
      <c r="H2582" s="5"/>
      <c r="I2582" s="11"/>
      <c r="J2582" s="20"/>
      <c r="K25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3" spans="1:11" hidden="1" x14ac:dyDescent="0.25">
      <c r="A2583" s="11"/>
      <c r="B2583" s="11"/>
      <c r="C2583" s="5"/>
      <c r="G2583" s="11"/>
      <c r="H2583" s="5"/>
      <c r="I2583" s="11"/>
      <c r="J2583" s="20"/>
      <c r="K25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4" spans="1:11" x14ac:dyDescent="0.25">
      <c r="A2584" s="11" t="s">
        <v>303</v>
      </c>
      <c r="B2584" s="11" t="s">
        <v>438</v>
      </c>
      <c r="C2584" s="5" t="s">
        <v>15</v>
      </c>
      <c r="D2584">
        <v>400</v>
      </c>
      <c r="E2584">
        <v>3</v>
      </c>
      <c r="F2584">
        <v>25</v>
      </c>
      <c r="G2584" s="11">
        <v>2</v>
      </c>
      <c r="H2584" s="5">
        <v>0.06</v>
      </c>
      <c r="I2584" s="11">
        <v>279000</v>
      </c>
      <c r="J2584" s="20">
        <v>558000</v>
      </c>
      <c r="K25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5" spans="1:11" hidden="1" x14ac:dyDescent="0.25">
      <c r="A2585" s="11"/>
      <c r="B2585" s="11"/>
      <c r="C2585" s="5"/>
      <c r="G2585" s="11"/>
      <c r="H2585" s="5"/>
      <c r="I2585" s="11"/>
      <c r="J2585" s="20"/>
      <c r="K25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6" spans="1:11" x14ac:dyDescent="0.25">
      <c r="A2586" s="11"/>
      <c r="B2586" s="11" t="s">
        <v>481</v>
      </c>
      <c r="C2586" s="5" t="s">
        <v>68</v>
      </c>
      <c r="D2586">
        <v>400</v>
      </c>
      <c r="E2586">
        <v>6</v>
      </c>
      <c r="F2586">
        <v>15</v>
      </c>
      <c r="G2586" s="11">
        <v>2</v>
      </c>
      <c r="H2586" s="5">
        <v>7.1999999999999995E-2</v>
      </c>
      <c r="I2586" s="11">
        <v>313200</v>
      </c>
      <c r="J2586" s="20">
        <v>626400</v>
      </c>
      <c r="K25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87" spans="1:11" hidden="1" x14ac:dyDescent="0.25">
      <c r="A2587" s="11"/>
      <c r="B2587" s="11"/>
      <c r="C2587" s="5"/>
      <c r="G2587" s="11"/>
      <c r="H2587" s="5"/>
      <c r="I2587" s="11"/>
      <c r="J2587" s="20"/>
      <c r="K25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8" spans="1:11" hidden="1" x14ac:dyDescent="0.25">
      <c r="A2588" s="11"/>
      <c r="B2588" s="11"/>
      <c r="C2588" s="5"/>
      <c r="G2588" s="11"/>
      <c r="H2588" s="5"/>
      <c r="I2588" s="11"/>
      <c r="J2588" s="20"/>
      <c r="K25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89" spans="1:11" x14ac:dyDescent="0.25">
      <c r="A2589" s="11" t="s">
        <v>303</v>
      </c>
      <c r="B2589" s="11" t="s">
        <v>444</v>
      </c>
      <c r="C2589" s="5" t="s">
        <v>23</v>
      </c>
      <c r="D2589">
        <v>400</v>
      </c>
      <c r="E2589">
        <v>5</v>
      </c>
      <c r="F2589">
        <v>15</v>
      </c>
      <c r="G2589" s="11">
        <v>8</v>
      </c>
      <c r="H2589" s="5">
        <v>0.24</v>
      </c>
      <c r="I2589" s="11">
        <v>648000</v>
      </c>
      <c r="J2589" s="20">
        <v>5184000</v>
      </c>
      <c r="K25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90" spans="1:11" hidden="1" x14ac:dyDescent="0.25">
      <c r="A2590" s="11"/>
      <c r="B2590" s="11"/>
      <c r="C2590" s="5"/>
      <c r="G2590" s="11"/>
      <c r="H2590" s="5"/>
      <c r="I2590" s="11"/>
      <c r="J2590" s="20"/>
      <c r="K25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1" spans="1:11" x14ac:dyDescent="0.25">
      <c r="A2591" s="11"/>
      <c r="B2591" s="11" t="s">
        <v>558</v>
      </c>
      <c r="C2591" s="5" t="s">
        <v>207</v>
      </c>
      <c r="D2591">
        <v>400</v>
      </c>
      <c r="E2591">
        <v>2</v>
      </c>
      <c r="F2591">
        <v>25</v>
      </c>
      <c r="G2591" s="11">
        <v>2</v>
      </c>
      <c r="H2591" s="5">
        <v>0.04</v>
      </c>
      <c r="I2591" s="11">
        <v>500000</v>
      </c>
      <c r="J2591" s="20">
        <v>1000000</v>
      </c>
      <c r="K25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2" spans="1:11" hidden="1" x14ac:dyDescent="0.25">
      <c r="A2592" s="11"/>
      <c r="B2592" s="11"/>
      <c r="C2592" s="5"/>
      <c r="G2592" s="11"/>
      <c r="H2592" s="5"/>
      <c r="I2592" s="11"/>
      <c r="J2592" s="20"/>
      <c r="K25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3" spans="1:11" x14ac:dyDescent="0.25">
      <c r="A2593" s="11"/>
      <c r="B2593" s="11" t="s">
        <v>574</v>
      </c>
      <c r="C2593" s="5" t="s">
        <v>270</v>
      </c>
      <c r="D2593">
        <v>400</v>
      </c>
      <c r="E2593">
        <v>4</v>
      </c>
      <c r="F2593">
        <v>25</v>
      </c>
      <c r="G2593" s="11">
        <v>2</v>
      </c>
      <c r="H2593" s="5">
        <v>0.08</v>
      </c>
      <c r="I2593" s="11">
        <v>900000</v>
      </c>
      <c r="J2593" s="20">
        <v>1800000</v>
      </c>
      <c r="K25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4" spans="1:11" hidden="1" x14ac:dyDescent="0.25">
      <c r="A2594" s="11"/>
      <c r="B2594" s="11"/>
      <c r="C2594" s="5"/>
      <c r="G2594" s="11"/>
      <c r="H2594" s="5"/>
      <c r="I2594" s="11"/>
      <c r="J2594" s="20"/>
      <c r="K25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5" spans="1:11" hidden="1" x14ac:dyDescent="0.25">
      <c r="A2595" s="11"/>
      <c r="B2595" s="11"/>
      <c r="C2595" s="5"/>
      <c r="G2595" s="11"/>
      <c r="H2595" s="5"/>
      <c r="I2595" s="11"/>
      <c r="J2595" s="20"/>
      <c r="K25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6" spans="1:11" x14ac:dyDescent="0.25">
      <c r="A2596" s="11" t="s">
        <v>305</v>
      </c>
      <c r="B2596" s="11" t="s">
        <v>477</v>
      </c>
      <c r="C2596" s="5" t="s">
        <v>63</v>
      </c>
      <c r="D2596">
        <v>100</v>
      </c>
      <c r="E2596">
        <v>6</v>
      </c>
      <c r="F2596">
        <v>15</v>
      </c>
      <c r="G2596" s="11">
        <v>1</v>
      </c>
      <c r="H2596" s="5">
        <v>8.9999999999999993E-3</v>
      </c>
      <c r="I2596" s="11">
        <v>172800</v>
      </c>
      <c r="J2596" s="20">
        <v>172800</v>
      </c>
      <c r="K25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97" spans="1:11" hidden="1" x14ac:dyDescent="0.25">
      <c r="A2597" s="11"/>
      <c r="B2597" s="11"/>
      <c r="C2597" s="5"/>
      <c r="G2597" s="11"/>
      <c r="H2597" s="5"/>
      <c r="I2597" s="11"/>
      <c r="J2597" s="20"/>
      <c r="K25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598" spans="1:11" x14ac:dyDescent="0.25">
      <c r="A2598" s="11"/>
      <c r="B2598" s="11" t="s">
        <v>441</v>
      </c>
      <c r="C2598" s="5" t="s">
        <v>19</v>
      </c>
      <c r="D2598">
        <v>230</v>
      </c>
      <c r="E2598">
        <v>6</v>
      </c>
      <c r="F2598">
        <v>15</v>
      </c>
      <c r="G2598" s="11">
        <v>2</v>
      </c>
      <c r="H2598" s="5">
        <v>4.1399999999999999E-2</v>
      </c>
      <c r="I2598" s="11">
        <v>426420</v>
      </c>
      <c r="J2598" s="20">
        <v>852840</v>
      </c>
      <c r="K25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599" spans="1:11" hidden="1" x14ac:dyDescent="0.25">
      <c r="A2599" s="11"/>
      <c r="B2599" s="11"/>
      <c r="C2599" s="5"/>
      <c r="G2599" s="11"/>
      <c r="H2599" s="5"/>
      <c r="I2599" s="11"/>
      <c r="J2599" s="20"/>
      <c r="K25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0" spans="1:11" hidden="1" x14ac:dyDescent="0.25">
      <c r="A2600" s="11"/>
      <c r="B2600" s="11"/>
      <c r="C2600" s="5"/>
      <c r="G2600" s="11"/>
      <c r="H2600" s="5"/>
      <c r="I2600" s="11"/>
      <c r="J2600" s="20"/>
      <c r="K26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1" spans="1:11" x14ac:dyDescent="0.25">
      <c r="A2601" s="11" t="s">
        <v>305</v>
      </c>
      <c r="B2601" s="11" t="s">
        <v>445</v>
      </c>
      <c r="C2601" s="5" t="s">
        <v>24</v>
      </c>
      <c r="D2601">
        <v>500</v>
      </c>
      <c r="E2601">
        <v>5</v>
      </c>
      <c r="F2601">
        <v>15</v>
      </c>
      <c r="G2601" s="11">
        <v>9</v>
      </c>
      <c r="H2601" s="5">
        <v>0.33750000000000002</v>
      </c>
      <c r="I2601" s="11">
        <v>828750</v>
      </c>
      <c r="J2601" s="20">
        <v>7458750</v>
      </c>
      <c r="K26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02" spans="1:11" hidden="1" x14ac:dyDescent="0.25">
      <c r="A2602" s="11"/>
      <c r="B2602" s="11"/>
      <c r="C2602" s="5"/>
      <c r="G2602" s="11"/>
      <c r="H2602" s="5"/>
      <c r="I2602" s="11"/>
      <c r="J2602" s="20"/>
      <c r="K26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3" spans="1:11" hidden="1" x14ac:dyDescent="0.25">
      <c r="A2603" s="11"/>
      <c r="B2603" s="11"/>
      <c r="C2603" s="5"/>
      <c r="G2603" s="11"/>
      <c r="H2603" s="5"/>
      <c r="I2603" s="11"/>
      <c r="J2603" s="20"/>
      <c r="K26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4" spans="1:11" x14ac:dyDescent="0.25">
      <c r="A2604" s="11" t="s">
        <v>305</v>
      </c>
      <c r="B2604" s="11" t="s">
        <v>438</v>
      </c>
      <c r="C2604" s="5" t="s">
        <v>15</v>
      </c>
      <c r="D2604">
        <v>400</v>
      </c>
      <c r="E2604">
        <v>3</v>
      </c>
      <c r="F2604">
        <v>25</v>
      </c>
      <c r="G2604" s="11">
        <v>2</v>
      </c>
      <c r="H2604" s="5">
        <v>0.06</v>
      </c>
      <c r="I2604" s="11">
        <v>279000</v>
      </c>
      <c r="J2604" s="20">
        <v>558000</v>
      </c>
      <c r="K26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5" spans="1:11" hidden="1" x14ac:dyDescent="0.25">
      <c r="A2605" s="11"/>
      <c r="B2605" s="11"/>
      <c r="C2605" s="5"/>
      <c r="G2605" s="11"/>
      <c r="H2605" s="5"/>
      <c r="I2605" s="11"/>
      <c r="J2605" s="20"/>
      <c r="K26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6" spans="1:11" x14ac:dyDescent="0.25">
      <c r="A2606" s="11"/>
      <c r="B2606" s="11" t="s">
        <v>439</v>
      </c>
      <c r="C2606" s="5" t="s">
        <v>16</v>
      </c>
      <c r="D2606">
        <v>400</v>
      </c>
      <c r="E2606">
        <v>3</v>
      </c>
      <c r="F2606">
        <v>30</v>
      </c>
      <c r="G2606" s="11">
        <v>1</v>
      </c>
      <c r="H2606" s="5">
        <v>3.5999999999999997E-2</v>
      </c>
      <c r="I2606" s="11">
        <v>342000</v>
      </c>
      <c r="J2606" s="20">
        <v>342000</v>
      </c>
      <c r="K26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7" spans="1:11" hidden="1" x14ac:dyDescent="0.25">
      <c r="A2607" s="11"/>
      <c r="B2607" s="11"/>
      <c r="C2607" s="5"/>
      <c r="G2607" s="11"/>
      <c r="H2607" s="5"/>
      <c r="I2607" s="11"/>
      <c r="J2607" s="20"/>
      <c r="K26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8" spans="1:11" x14ac:dyDescent="0.25">
      <c r="A2608" s="11"/>
      <c r="B2608" s="11" t="s">
        <v>433</v>
      </c>
      <c r="C2608" s="5" t="s">
        <v>9</v>
      </c>
      <c r="D2608">
        <v>400</v>
      </c>
      <c r="E2608">
        <v>4</v>
      </c>
      <c r="F2608">
        <v>20</v>
      </c>
      <c r="G2608" s="11">
        <v>3</v>
      </c>
      <c r="H2608" s="5">
        <v>9.6000000000000002E-2</v>
      </c>
      <c r="I2608" s="11">
        <v>294400</v>
      </c>
      <c r="J2608" s="20">
        <v>883200</v>
      </c>
      <c r="K26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09" spans="1:11" hidden="1" x14ac:dyDescent="0.25">
      <c r="A2609" s="11"/>
      <c r="B2609" s="11"/>
      <c r="C2609" s="5"/>
      <c r="G2609" s="11"/>
      <c r="H2609" s="5"/>
      <c r="I2609" s="11"/>
      <c r="J2609" s="20"/>
      <c r="K26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0" spans="1:11" x14ac:dyDescent="0.25">
      <c r="A2610" s="11"/>
      <c r="B2610" s="11" t="s">
        <v>481</v>
      </c>
      <c r="C2610" s="5" t="s">
        <v>68</v>
      </c>
      <c r="D2610">
        <v>400</v>
      </c>
      <c r="E2610">
        <v>6</v>
      </c>
      <c r="F2610">
        <v>15</v>
      </c>
      <c r="G2610" s="11">
        <v>8</v>
      </c>
      <c r="H2610" s="5">
        <v>0.28799999999999998</v>
      </c>
      <c r="I2610" s="11">
        <v>313200</v>
      </c>
      <c r="J2610" s="20">
        <v>2505600</v>
      </c>
      <c r="K26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11" spans="1:11" hidden="1" x14ac:dyDescent="0.25">
      <c r="A2611" s="11"/>
      <c r="B2611" s="11"/>
      <c r="C2611" s="5"/>
      <c r="G2611" s="11"/>
      <c r="H2611" s="5"/>
      <c r="I2611" s="11"/>
      <c r="J2611" s="20"/>
      <c r="K26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2" spans="1:11" x14ac:dyDescent="0.25">
      <c r="A2612" s="11"/>
      <c r="B2612" s="11" t="s">
        <v>463</v>
      </c>
      <c r="C2612" s="5" t="s">
        <v>45</v>
      </c>
      <c r="D2612">
        <v>500</v>
      </c>
      <c r="E2612">
        <v>4</v>
      </c>
      <c r="F2612">
        <v>30</v>
      </c>
      <c r="G2612" s="11">
        <v>2</v>
      </c>
      <c r="H2612" s="5">
        <v>0.12</v>
      </c>
      <c r="I2612" s="11">
        <v>570000</v>
      </c>
      <c r="J2612" s="20">
        <v>1140000</v>
      </c>
      <c r="K26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3" spans="1:11" hidden="1" x14ac:dyDescent="0.25">
      <c r="A2613" s="11"/>
      <c r="B2613" s="11"/>
      <c r="C2613" s="5"/>
      <c r="G2613" s="11"/>
      <c r="H2613" s="5"/>
      <c r="I2613" s="11"/>
      <c r="J2613" s="20"/>
      <c r="K26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4" spans="1:11" hidden="1" x14ac:dyDescent="0.25">
      <c r="A2614" s="11"/>
      <c r="B2614" s="11"/>
      <c r="C2614" s="5"/>
      <c r="G2614" s="11"/>
      <c r="H2614" s="5"/>
      <c r="I2614" s="11"/>
      <c r="J2614" s="20"/>
      <c r="K26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5" spans="1:11" x14ac:dyDescent="0.25">
      <c r="A2615" s="11" t="s">
        <v>306</v>
      </c>
      <c r="B2615" s="11" t="s">
        <v>492</v>
      </c>
      <c r="C2615" s="5" t="s">
        <v>84</v>
      </c>
      <c r="D2615">
        <v>400</v>
      </c>
      <c r="E2615">
        <v>4</v>
      </c>
      <c r="F2615">
        <v>6</v>
      </c>
      <c r="G2615" s="11">
        <v>8</v>
      </c>
      <c r="H2615" s="5">
        <v>7.6799999999999993E-2</v>
      </c>
      <c r="I2615" s="11">
        <v>79680</v>
      </c>
      <c r="J2615" s="20">
        <v>637440</v>
      </c>
      <c r="K26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6" spans="1:11" hidden="1" x14ac:dyDescent="0.25">
      <c r="A2616" s="11"/>
      <c r="B2616" s="11"/>
      <c r="C2616" s="5"/>
      <c r="G2616" s="11"/>
      <c r="H2616" s="5"/>
      <c r="I2616" s="11"/>
      <c r="J2616" s="20"/>
      <c r="K26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7" spans="1:11" hidden="1" x14ac:dyDescent="0.25">
      <c r="A2617" s="11"/>
      <c r="B2617" s="11"/>
      <c r="C2617" s="5"/>
      <c r="G2617" s="11"/>
      <c r="H2617" s="5"/>
      <c r="I2617" s="11"/>
      <c r="J2617" s="20"/>
      <c r="K26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18" spans="1:11" x14ac:dyDescent="0.25">
      <c r="A2618" s="11" t="s">
        <v>306</v>
      </c>
      <c r="B2618" s="11" t="s">
        <v>481</v>
      </c>
      <c r="C2618" s="5" t="s">
        <v>68</v>
      </c>
      <c r="D2618">
        <v>400</v>
      </c>
      <c r="E2618">
        <v>6</v>
      </c>
      <c r="F2618">
        <v>15</v>
      </c>
      <c r="G2618" s="11">
        <v>4</v>
      </c>
      <c r="H2618" s="5">
        <v>0.14399999999999999</v>
      </c>
      <c r="I2618" s="11">
        <v>313200</v>
      </c>
      <c r="J2618" s="20">
        <v>1252800</v>
      </c>
      <c r="K26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19" spans="1:11" hidden="1" x14ac:dyDescent="0.25">
      <c r="A2619" s="11"/>
      <c r="B2619" s="11"/>
      <c r="C2619" s="5"/>
      <c r="G2619" s="11"/>
      <c r="H2619" s="5"/>
      <c r="I2619" s="11"/>
      <c r="J2619" s="20"/>
      <c r="K26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0" spans="1:11" hidden="1" x14ac:dyDescent="0.25">
      <c r="A2620" s="11"/>
      <c r="B2620" s="11"/>
      <c r="C2620" s="5"/>
      <c r="G2620" s="11"/>
      <c r="H2620" s="5"/>
      <c r="I2620" s="11"/>
      <c r="J2620" s="20"/>
      <c r="K26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1" spans="1:11" x14ac:dyDescent="0.25">
      <c r="A2621" s="11" t="s">
        <v>306</v>
      </c>
      <c r="B2621" s="11" t="s">
        <v>438</v>
      </c>
      <c r="C2621" s="5" t="s">
        <v>15</v>
      </c>
      <c r="D2621">
        <v>400</v>
      </c>
      <c r="E2621">
        <v>3</v>
      </c>
      <c r="F2621">
        <v>25</v>
      </c>
      <c r="G2621" s="11">
        <v>1</v>
      </c>
      <c r="H2621" s="5">
        <v>0.03</v>
      </c>
      <c r="I2621" s="11">
        <v>279000</v>
      </c>
      <c r="J2621" s="20">
        <v>279000</v>
      </c>
      <c r="K26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2" spans="1:11" hidden="1" x14ac:dyDescent="0.25">
      <c r="A2622" s="11"/>
      <c r="B2622" s="11"/>
      <c r="C2622" s="5"/>
      <c r="G2622" s="11"/>
      <c r="H2622" s="5"/>
      <c r="I2622" s="11"/>
      <c r="J2622" s="20"/>
      <c r="K26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3" spans="1:11" x14ac:dyDescent="0.25">
      <c r="A2623" s="11"/>
      <c r="B2623" s="11" t="s">
        <v>435</v>
      </c>
      <c r="C2623" s="5" t="s">
        <v>11</v>
      </c>
      <c r="D2623">
        <v>400</v>
      </c>
      <c r="E2623">
        <v>6</v>
      </c>
      <c r="F2623">
        <v>12</v>
      </c>
      <c r="G2623" s="11">
        <v>5</v>
      </c>
      <c r="H2623" s="5">
        <v>0.14399999999999999</v>
      </c>
      <c r="I2623" s="11">
        <v>250560</v>
      </c>
      <c r="J2623" s="20">
        <v>1252800</v>
      </c>
      <c r="K26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24" spans="1:11" hidden="1" x14ac:dyDescent="0.25">
      <c r="A2624" s="11"/>
      <c r="B2624" s="11"/>
      <c r="C2624" s="5"/>
      <c r="G2624" s="11"/>
      <c r="H2624" s="5"/>
      <c r="I2624" s="11"/>
      <c r="J2624" s="20"/>
      <c r="K26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5" spans="1:11" hidden="1" x14ac:dyDescent="0.25">
      <c r="A2625" s="11"/>
      <c r="B2625" s="11"/>
      <c r="C2625" s="5"/>
      <c r="G2625" s="11"/>
      <c r="H2625" s="5"/>
      <c r="I2625" s="11"/>
      <c r="J2625" s="20"/>
      <c r="K26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6" spans="1:11" x14ac:dyDescent="0.25">
      <c r="A2626" s="11" t="s">
        <v>308</v>
      </c>
      <c r="B2626" s="11" t="s">
        <v>583</v>
      </c>
      <c r="C2626" s="5" t="s">
        <v>307</v>
      </c>
      <c r="D2626">
        <v>400</v>
      </c>
      <c r="E2626">
        <v>15</v>
      </c>
      <c r="F2626">
        <v>40</v>
      </c>
      <c r="G2626" s="11">
        <v>4</v>
      </c>
      <c r="H2626" s="5">
        <v>0.96</v>
      </c>
      <c r="I2626" s="11">
        <v>3000000</v>
      </c>
      <c r="J2626" s="20">
        <v>12000000</v>
      </c>
      <c r="K26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627" spans="1:11" hidden="1" x14ac:dyDescent="0.25">
      <c r="A2627" s="11"/>
      <c r="B2627" s="11"/>
      <c r="C2627" s="5"/>
      <c r="G2627" s="11"/>
      <c r="H2627" s="5"/>
      <c r="I2627" s="11"/>
      <c r="J2627" s="20"/>
      <c r="K26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8" spans="1:11" hidden="1" x14ac:dyDescent="0.25">
      <c r="A2628" s="11"/>
      <c r="B2628" s="11"/>
      <c r="C2628" s="5"/>
      <c r="G2628" s="11"/>
      <c r="H2628" s="5"/>
      <c r="I2628" s="11"/>
      <c r="J2628" s="20"/>
      <c r="K26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29" spans="1:11" x14ac:dyDescent="0.25">
      <c r="A2629" s="11" t="s">
        <v>308</v>
      </c>
      <c r="B2629" s="11" t="s">
        <v>436</v>
      </c>
      <c r="C2629" s="5" t="s">
        <v>12</v>
      </c>
      <c r="D2629">
        <v>400</v>
      </c>
      <c r="E2629">
        <v>6</v>
      </c>
      <c r="F2629">
        <v>17</v>
      </c>
      <c r="G2629" s="11">
        <v>2</v>
      </c>
      <c r="H2629" s="5">
        <v>8.1600000000000006E-2</v>
      </c>
      <c r="I2629" s="11">
        <v>371280</v>
      </c>
      <c r="J2629" s="20">
        <v>742560</v>
      </c>
      <c r="K26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30" spans="1:11" hidden="1" x14ac:dyDescent="0.25">
      <c r="A2630" s="11"/>
      <c r="B2630" s="11"/>
      <c r="C2630" s="5"/>
      <c r="G2630" s="11"/>
      <c r="H2630" s="5"/>
      <c r="I2630" s="11"/>
      <c r="J2630" s="20"/>
      <c r="K26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1" spans="1:11" x14ac:dyDescent="0.25">
      <c r="A2631" s="11"/>
      <c r="B2631" s="11" t="s">
        <v>452</v>
      </c>
      <c r="C2631" s="5" t="s">
        <v>32</v>
      </c>
      <c r="D2631">
        <v>500</v>
      </c>
      <c r="E2631">
        <v>6</v>
      </c>
      <c r="F2631">
        <v>17</v>
      </c>
      <c r="G2631" s="11">
        <v>1</v>
      </c>
      <c r="H2631" s="5">
        <v>5.0999999999999997E-2</v>
      </c>
      <c r="I2631" s="11">
        <v>489600</v>
      </c>
      <c r="J2631" s="20">
        <v>489600</v>
      </c>
      <c r="K26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32" spans="1:11" hidden="1" x14ac:dyDescent="0.25">
      <c r="A2632" s="11"/>
      <c r="B2632" s="11"/>
      <c r="C2632" s="5"/>
      <c r="G2632" s="11"/>
      <c r="H2632" s="5"/>
      <c r="I2632" s="11"/>
      <c r="J2632" s="20"/>
      <c r="K26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3" spans="1:11" hidden="1" x14ac:dyDescent="0.25">
      <c r="A2633" s="11"/>
      <c r="B2633" s="11"/>
      <c r="C2633" s="5"/>
      <c r="G2633" s="11"/>
      <c r="H2633" s="5"/>
      <c r="I2633" s="11"/>
      <c r="J2633" s="20"/>
      <c r="K26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4" spans="1:11" x14ac:dyDescent="0.25">
      <c r="A2634" s="11" t="s">
        <v>308</v>
      </c>
      <c r="B2634" s="11" t="s">
        <v>462</v>
      </c>
      <c r="C2634" s="5" t="s">
        <v>44</v>
      </c>
      <c r="D2634">
        <v>400</v>
      </c>
      <c r="E2634">
        <v>6</v>
      </c>
      <c r="F2634">
        <v>15</v>
      </c>
      <c r="G2634" s="11">
        <v>4</v>
      </c>
      <c r="H2634" s="5">
        <v>0.14399999999999999</v>
      </c>
      <c r="I2634" s="11">
        <v>244800</v>
      </c>
      <c r="J2634" s="20">
        <v>979200</v>
      </c>
      <c r="K26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35" spans="1:11" hidden="1" x14ac:dyDescent="0.25">
      <c r="A2635" s="11"/>
      <c r="B2635" s="11"/>
      <c r="C2635" s="5"/>
      <c r="G2635" s="11"/>
      <c r="H2635" s="5"/>
      <c r="I2635" s="11"/>
      <c r="J2635" s="20"/>
      <c r="K26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6" spans="1:11" hidden="1" x14ac:dyDescent="0.25">
      <c r="A2636" s="11"/>
      <c r="B2636" s="11"/>
      <c r="C2636" s="5"/>
      <c r="G2636" s="11"/>
      <c r="H2636" s="5"/>
      <c r="I2636" s="11"/>
      <c r="J2636" s="20"/>
      <c r="K26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7" spans="1:11" x14ac:dyDescent="0.25">
      <c r="A2637" s="11" t="s">
        <v>308</v>
      </c>
      <c r="B2637" s="11" t="s">
        <v>476</v>
      </c>
      <c r="C2637" s="5" t="s">
        <v>62</v>
      </c>
      <c r="D2637">
        <v>400</v>
      </c>
      <c r="E2637">
        <v>3</v>
      </c>
      <c r="F2637">
        <v>20</v>
      </c>
      <c r="G2637" s="11">
        <v>1</v>
      </c>
      <c r="H2637" s="5">
        <v>2.4E-2</v>
      </c>
      <c r="I2637" s="11">
        <v>208800</v>
      </c>
      <c r="J2637" s="20">
        <v>208800</v>
      </c>
      <c r="K26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8" spans="1:11" hidden="1" x14ac:dyDescent="0.25">
      <c r="A2638" s="11"/>
      <c r="B2638" s="11"/>
      <c r="C2638" s="5"/>
      <c r="G2638" s="11"/>
      <c r="H2638" s="5"/>
      <c r="I2638" s="11"/>
      <c r="J2638" s="20"/>
      <c r="K26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39" spans="1:11" x14ac:dyDescent="0.25">
      <c r="A2639" s="11"/>
      <c r="B2639" s="11" t="s">
        <v>435</v>
      </c>
      <c r="C2639" s="5" t="s">
        <v>11</v>
      </c>
      <c r="D2639">
        <v>400</v>
      </c>
      <c r="E2639">
        <v>6</v>
      </c>
      <c r="F2639">
        <v>12</v>
      </c>
      <c r="G2639" s="11">
        <v>6</v>
      </c>
      <c r="H2639" s="5">
        <v>0.17280000000000001</v>
      </c>
      <c r="I2639" s="11">
        <v>250560</v>
      </c>
      <c r="J2639" s="20">
        <v>1503360</v>
      </c>
      <c r="K26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40" spans="1:11" hidden="1" x14ac:dyDescent="0.25">
      <c r="A2640" s="11"/>
      <c r="B2640" s="11"/>
      <c r="C2640" s="5"/>
      <c r="G2640" s="11"/>
      <c r="H2640" s="5"/>
      <c r="I2640" s="11"/>
      <c r="J2640" s="20"/>
      <c r="K26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1" spans="1:11" hidden="1" x14ac:dyDescent="0.25">
      <c r="A2641" s="11"/>
      <c r="B2641" s="11"/>
      <c r="C2641" s="5"/>
      <c r="G2641" s="11"/>
      <c r="H2641" s="5"/>
      <c r="I2641" s="11"/>
      <c r="J2641" s="20"/>
      <c r="K26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2" spans="1:11" x14ac:dyDescent="0.25">
      <c r="A2642" s="11" t="s">
        <v>308</v>
      </c>
      <c r="B2642" s="11" t="s">
        <v>533</v>
      </c>
      <c r="C2642" s="5" t="s">
        <v>152</v>
      </c>
      <c r="D2642">
        <v>400</v>
      </c>
      <c r="E2642">
        <v>3</v>
      </c>
      <c r="F2642">
        <v>20</v>
      </c>
      <c r="G2642" s="11">
        <v>3</v>
      </c>
      <c r="H2642" s="5">
        <v>7.1999999999999995E-2</v>
      </c>
      <c r="I2642" s="11">
        <v>547200</v>
      </c>
      <c r="J2642" s="20">
        <v>1641600</v>
      </c>
      <c r="K26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3" spans="1:11" hidden="1" x14ac:dyDescent="0.25">
      <c r="A2643" s="11"/>
      <c r="B2643" s="11"/>
      <c r="C2643" s="5"/>
      <c r="G2643" s="11"/>
      <c r="H2643" s="5"/>
      <c r="I2643" s="11"/>
      <c r="J2643" s="20"/>
      <c r="K26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4" spans="1:11" x14ac:dyDescent="0.25">
      <c r="A2644" s="11"/>
      <c r="B2644" s="11" t="s">
        <v>443</v>
      </c>
      <c r="C2644" s="5" t="s">
        <v>21</v>
      </c>
      <c r="D2644">
        <v>400</v>
      </c>
      <c r="E2644">
        <v>4</v>
      </c>
      <c r="F2644">
        <v>25</v>
      </c>
      <c r="G2644" s="11">
        <v>5</v>
      </c>
      <c r="H2644" s="5">
        <v>0.2</v>
      </c>
      <c r="I2644" s="11">
        <v>372000</v>
      </c>
      <c r="J2644" s="20">
        <v>1860000</v>
      </c>
      <c r="K26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5" spans="1:11" hidden="1" x14ac:dyDescent="0.25">
      <c r="A2645" s="11"/>
      <c r="B2645" s="11"/>
      <c r="C2645" s="5"/>
      <c r="G2645" s="11"/>
      <c r="H2645" s="5"/>
      <c r="I2645" s="11"/>
      <c r="J2645" s="20"/>
      <c r="K26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6" spans="1:11" hidden="1" x14ac:dyDescent="0.25">
      <c r="A2646" s="11"/>
      <c r="B2646" s="11"/>
      <c r="C2646" s="5"/>
      <c r="G2646" s="11"/>
      <c r="H2646" s="5"/>
      <c r="I2646" s="11"/>
      <c r="J2646" s="20"/>
      <c r="K26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7" spans="1:11" x14ac:dyDescent="0.25">
      <c r="A2647" s="11" t="s">
        <v>308</v>
      </c>
      <c r="B2647" s="11" t="s">
        <v>439</v>
      </c>
      <c r="C2647" s="5" t="s">
        <v>16</v>
      </c>
      <c r="D2647">
        <v>400</v>
      </c>
      <c r="E2647">
        <v>3</v>
      </c>
      <c r="F2647">
        <v>30</v>
      </c>
      <c r="G2647" s="11">
        <v>2</v>
      </c>
      <c r="H2647" s="5">
        <v>7.1999999999999995E-2</v>
      </c>
      <c r="I2647" s="11">
        <v>342000</v>
      </c>
      <c r="J2647" s="20">
        <v>684000</v>
      </c>
      <c r="K26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8" spans="1:11" hidden="1" x14ac:dyDescent="0.25">
      <c r="A2648" s="11"/>
      <c r="B2648" s="11"/>
      <c r="C2648" s="5"/>
      <c r="G2648" s="11"/>
      <c r="H2648" s="5"/>
      <c r="I2648" s="11"/>
      <c r="J2648" s="20"/>
      <c r="K26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49" spans="1:11" x14ac:dyDescent="0.25">
      <c r="A2649" s="11"/>
      <c r="B2649" s="11" t="s">
        <v>433</v>
      </c>
      <c r="C2649" s="5" t="s">
        <v>9</v>
      </c>
      <c r="D2649">
        <v>400</v>
      </c>
      <c r="E2649">
        <v>4</v>
      </c>
      <c r="F2649">
        <v>20</v>
      </c>
      <c r="G2649" s="11">
        <v>4</v>
      </c>
      <c r="H2649" s="5">
        <v>0.128</v>
      </c>
      <c r="I2649" s="11">
        <v>294400</v>
      </c>
      <c r="J2649" s="20">
        <v>1177600</v>
      </c>
      <c r="K26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0" spans="1:11" hidden="1" x14ac:dyDescent="0.25">
      <c r="A2650" s="11"/>
      <c r="B2650" s="11"/>
      <c r="C2650" s="5"/>
      <c r="G2650" s="11"/>
      <c r="H2650" s="5"/>
      <c r="I2650" s="11"/>
      <c r="J2650" s="20"/>
      <c r="K26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1" spans="1:11" x14ac:dyDescent="0.25">
      <c r="A2651" s="11"/>
      <c r="B2651" s="11" t="s">
        <v>443</v>
      </c>
      <c r="C2651" s="5" t="s">
        <v>21</v>
      </c>
      <c r="D2651">
        <v>400</v>
      </c>
      <c r="E2651">
        <v>4</v>
      </c>
      <c r="F2651">
        <v>25</v>
      </c>
      <c r="G2651" s="11">
        <v>6</v>
      </c>
      <c r="H2651" s="5">
        <v>0.24</v>
      </c>
      <c r="I2651" s="11">
        <v>372000</v>
      </c>
      <c r="J2651" s="20">
        <v>2232000</v>
      </c>
      <c r="K26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2" spans="1:11" hidden="1" x14ac:dyDescent="0.25">
      <c r="A2652" s="11"/>
      <c r="B2652" s="11"/>
      <c r="C2652" s="5"/>
      <c r="G2652" s="11"/>
      <c r="H2652" s="5"/>
      <c r="I2652" s="11"/>
      <c r="J2652" s="20"/>
      <c r="K26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3" spans="1:11" x14ac:dyDescent="0.25">
      <c r="A2653" s="11"/>
      <c r="B2653" s="11" t="s">
        <v>435</v>
      </c>
      <c r="C2653" s="5" t="s">
        <v>11</v>
      </c>
      <c r="D2653">
        <v>400</v>
      </c>
      <c r="E2653">
        <v>6</v>
      </c>
      <c r="F2653">
        <v>12</v>
      </c>
      <c r="G2653" s="11">
        <v>7</v>
      </c>
      <c r="H2653" s="5">
        <v>0.2016</v>
      </c>
      <c r="I2653" s="11">
        <v>250560</v>
      </c>
      <c r="J2653" s="20">
        <v>1753920</v>
      </c>
      <c r="K26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54" spans="1:11" hidden="1" x14ac:dyDescent="0.25">
      <c r="A2654" s="11"/>
      <c r="B2654" s="11"/>
      <c r="C2654" s="5"/>
      <c r="G2654" s="11"/>
      <c r="H2654" s="5"/>
      <c r="I2654" s="11"/>
      <c r="J2654" s="20"/>
      <c r="K26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5" spans="1:11" hidden="1" x14ac:dyDescent="0.25">
      <c r="A2655" s="11"/>
      <c r="B2655" s="11"/>
      <c r="C2655" s="5"/>
      <c r="G2655" s="11"/>
      <c r="H2655" s="5"/>
      <c r="I2655" s="11"/>
      <c r="J2655" s="20"/>
      <c r="K26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6" spans="1:11" x14ac:dyDescent="0.25">
      <c r="A2656" s="11" t="s">
        <v>308</v>
      </c>
      <c r="B2656" s="11" t="s">
        <v>490</v>
      </c>
      <c r="C2656" s="5" t="s">
        <v>82</v>
      </c>
      <c r="D2656">
        <v>250</v>
      </c>
      <c r="E2656">
        <v>6</v>
      </c>
      <c r="F2656">
        <v>15</v>
      </c>
      <c r="G2656" s="11">
        <v>8</v>
      </c>
      <c r="H2656" s="5">
        <v>0.18</v>
      </c>
      <c r="I2656" s="11">
        <v>207000</v>
      </c>
      <c r="J2656" s="20">
        <v>1656000</v>
      </c>
      <c r="K26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57" spans="1:11" hidden="1" x14ac:dyDescent="0.25">
      <c r="A2657" s="11"/>
      <c r="B2657" s="11"/>
      <c r="C2657" s="5"/>
      <c r="G2657" s="11"/>
      <c r="H2657" s="5"/>
      <c r="I2657" s="11"/>
      <c r="J2657" s="20"/>
      <c r="K26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8" spans="1:11" x14ac:dyDescent="0.25">
      <c r="A2658" s="11"/>
      <c r="B2658" s="11" t="s">
        <v>439</v>
      </c>
      <c r="C2658" s="5" t="s">
        <v>16</v>
      </c>
      <c r="D2658">
        <v>400</v>
      </c>
      <c r="E2658">
        <v>3</v>
      </c>
      <c r="F2658">
        <v>30</v>
      </c>
      <c r="G2658" s="11">
        <v>5</v>
      </c>
      <c r="H2658" s="5">
        <v>0.18</v>
      </c>
      <c r="I2658" s="11">
        <v>342000</v>
      </c>
      <c r="J2658" s="20">
        <v>1710000</v>
      </c>
      <c r="K26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59" spans="1:11" hidden="1" x14ac:dyDescent="0.25">
      <c r="A2659" s="11"/>
      <c r="B2659" s="11"/>
      <c r="C2659" s="5"/>
      <c r="G2659" s="11"/>
      <c r="H2659" s="5"/>
      <c r="I2659" s="11"/>
      <c r="J2659" s="20"/>
      <c r="K26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0" spans="1:11" x14ac:dyDescent="0.25">
      <c r="A2660" s="11"/>
      <c r="B2660" s="11" t="s">
        <v>433</v>
      </c>
      <c r="C2660" s="5" t="s">
        <v>9</v>
      </c>
      <c r="D2660">
        <v>400</v>
      </c>
      <c r="E2660">
        <v>4</v>
      </c>
      <c r="F2660">
        <v>20</v>
      </c>
      <c r="G2660" s="11">
        <v>2</v>
      </c>
      <c r="H2660" s="5">
        <v>6.4000000000000001E-2</v>
      </c>
      <c r="I2660" s="11">
        <v>294400</v>
      </c>
      <c r="J2660" s="20">
        <v>588800</v>
      </c>
      <c r="K26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1" spans="1:11" hidden="1" x14ac:dyDescent="0.25">
      <c r="A2661" s="11"/>
      <c r="B2661" s="11"/>
      <c r="C2661" s="5"/>
      <c r="G2661" s="11"/>
      <c r="H2661" s="5"/>
      <c r="I2661" s="11"/>
      <c r="J2661" s="20"/>
      <c r="K26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2" spans="1:11" x14ac:dyDescent="0.25">
      <c r="A2662" s="11"/>
      <c r="B2662" s="11" t="s">
        <v>443</v>
      </c>
      <c r="C2662" s="5" t="s">
        <v>21</v>
      </c>
      <c r="D2662">
        <v>400</v>
      </c>
      <c r="E2662">
        <v>4</v>
      </c>
      <c r="F2662">
        <v>25</v>
      </c>
      <c r="G2662" s="11">
        <v>1</v>
      </c>
      <c r="H2662" s="5">
        <v>0.04</v>
      </c>
      <c r="I2662" s="11">
        <v>372000</v>
      </c>
      <c r="J2662" s="20">
        <v>372000</v>
      </c>
      <c r="K26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3" spans="1:11" hidden="1" x14ac:dyDescent="0.25">
      <c r="A2663" s="11"/>
      <c r="B2663" s="11"/>
      <c r="C2663" s="5"/>
      <c r="G2663" s="11"/>
      <c r="H2663" s="5"/>
      <c r="I2663" s="11"/>
      <c r="J2663" s="20"/>
      <c r="K26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4" spans="1:11" x14ac:dyDescent="0.25">
      <c r="A2664" s="11"/>
      <c r="B2664" s="11" t="s">
        <v>481</v>
      </c>
      <c r="C2664" s="5" t="s">
        <v>68</v>
      </c>
      <c r="D2664">
        <v>400</v>
      </c>
      <c r="E2664">
        <v>6</v>
      </c>
      <c r="F2664">
        <v>15</v>
      </c>
      <c r="G2664" s="11">
        <v>4</v>
      </c>
      <c r="H2664" s="5">
        <v>0.14399999999999999</v>
      </c>
      <c r="I2664" s="11">
        <v>313200</v>
      </c>
      <c r="J2664" s="20">
        <v>1252800</v>
      </c>
      <c r="K26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65" spans="1:11" hidden="1" x14ac:dyDescent="0.25">
      <c r="A2665" s="11"/>
      <c r="B2665" s="11"/>
      <c r="C2665" s="5"/>
      <c r="G2665" s="11"/>
      <c r="H2665" s="5"/>
      <c r="I2665" s="11"/>
      <c r="J2665" s="20"/>
      <c r="K26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6" spans="1:11" x14ac:dyDescent="0.25">
      <c r="A2666" s="11"/>
      <c r="B2666" s="11" t="s">
        <v>440</v>
      </c>
      <c r="C2666" s="5" t="s">
        <v>17</v>
      </c>
      <c r="D2666">
        <v>500</v>
      </c>
      <c r="E2666">
        <v>4</v>
      </c>
      <c r="F2666">
        <v>25</v>
      </c>
      <c r="G2666" s="11">
        <v>3</v>
      </c>
      <c r="H2666" s="5">
        <v>0.15</v>
      </c>
      <c r="I2666" s="11">
        <v>465000</v>
      </c>
      <c r="J2666" s="20">
        <v>1395000</v>
      </c>
      <c r="K26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7" spans="1:11" hidden="1" x14ac:dyDescent="0.25">
      <c r="A2667" s="11"/>
      <c r="B2667" s="11"/>
      <c r="C2667" s="5"/>
      <c r="G2667" s="11"/>
      <c r="H2667" s="5"/>
      <c r="I2667" s="11"/>
      <c r="J2667" s="20"/>
      <c r="K26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68" spans="1:11" x14ac:dyDescent="0.25">
      <c r="A2668" s="11"/>
      <c r="B2668" s="11" t="s">
        <v>498</v>
      </c>
      <c r="C2668" s="5" t="s">
        <v>92</v>
      </c>
      <c r="D2668">
        <v>500</v>
      </c>
      <c r="E2668">
        <v>6</v>
      </c>
      <c r="F2668">
        <v>15</v>
      </c>
      <c r="G2668" s="11">
        <v>1</v>
      </c>
      <c r="H2668" s="5">
        <v>4.4999999999999998E-2</v>
      </c>
      <c r="I2668" s="11">
        <v>414000</v>
      </c>
      <c r="J2668" s="20">
        <v>414000</v>
      </c>
      <c r="K26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69" spans="1:11" hidden="1" x14ac:dyDescent="0.25">
      <c r="A2669" s="11"/>
      <c r="B2669" s="11"/>
      <c r="C2669" s="5"/>
      <c r="G2669" s="11"/>
      <c r="H2669" s="5"/>
      <c r="I2669" s="11"/>
      <c r="J2669" s="20"/>
      <c r="K26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0" spans="1:11" hidden="1" x14ac:dyDescent="0.25">
      <c r="A2670" s="11"/>
      <c r="B2670" s="11"/>
      <c r="C2670" s="5"/>
      <c r="G2670" s="11"/>
      <c r="H2670" s="5"/>
      <c r="I2670" s="11"/>
      <c r="J2670" s="20"/>
      <c r="K26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1" spans="1:11" x14ac:dyDescent="0.25">
      <c r="A2671" s="11" t="s">
        <v>308</v>
      </c>
      <c r="B2671" s="11" t="s">
        <v>533</v>
      </c>
      <c r="C2671" s="5" t="s">
        <v>152</v>
      </c>
      <c r="D2671">
        <v>400</v>
      </c>
      <c r="E2671">
        <v>3</v>
      </c>
      <c r="F2671">
        <v>20</v>
      </c>
      <c r="G2671" s="11">
        <v>2</v>
      </c>
      <c r="H2671" s="5">
        <v>4.8000000000000001E-2</v>
      </c>
      <c r="I2671" s="11">
        <v>547200</v>
      </c>
      <c r="J2671" s="20">
        <v>1094400</v>
      </c>
      <c r="K26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2" spans="1:11" hidden="1" x14ac:dyDescent="0.25">
      <c r="A2672" s="11"/>
      <c r="B2672" s="11"/>
      <c r="C2672" s="5"/>
      <c r="G2672" s="11"/>
      <c r="H2672" s="5"/>
      <c r="I2672" s="11"/>
      <c r="J2672" s="20"/>
      <c r="K26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3" spans="1:11" x14ac:dyDescent="0.25">
      <c r="A2673" s="11"/>
      <c r="B2673" s="11" t="s">
        <v>524</v>
      </c>
      <c r="C2673" s="5" t="s">
        <v>137</v>
      </c>
      <c r="D2673">
        <v>400</v>
      </c>
      <c r="E2673">
        <v>4</v>
      </c>
      <c r="F2673">
        <v>30</v>
      </c>
      <c r="G2673" s="11">
        <v>1</v>
      </c>
      <c r="H2673" s="5">
        <v>4.8000000000000001E-2</v>
      </c>
      <c r="I2673" s="11">
        <v>1123200</v>
      </c>
      <c r="J2673" s="20">
        <v>1123200</v>
      </c>
      <c r="K26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4" spans="1:11" hidden="1" x14ac:dyDescent="0.25">
      <c r="A2674" s="11"/>
      <c r="B2674" s="11"/>
      <c r="C2674" s="5"/>
      <c r="G2674" s="11"/>
      <c r="H2674" s="5"/>
      <c r="I2674" s="11"/>
      <c r="J2674" s="20"/>
      <c r="K26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5" spans="1:11" x14ac:dyDescent="0.25">
      <c r="A2675" s="11"/>
      <c r="B2675" s="11" t="s">
        <v>505</v>
      </c>
      <c r="C2675" s="5" t="s">
        <v>101</v>
      </c>
      <c r="D2675">
        <v>500</v>
      </c>
      <c r="E2675">
        <v>6</v>
      </c>
      <c r="F2675">
        <v>12</v>
      </c>
      <c r="G2675" s="11">
        <v>2</v>
      </c>
      <c r="H2675" s="5">
        <v>7.1999999999999995E-2</v>
      </c>
      <c r="I2675" s="11">
        <v>777600</v>
      </c>
      <c r="J2675" s="20">
        <v>1555200</v>
      </c>
      <c r="K26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76" spans="1:11" hidden="1" x14ac:dyDescent="0.25">
      <c r="A2676" s="11"/>
      <c r="B2676" s="11"/>
      <c r="C2676" s="5"/>
      <c r="G2676" s="11"/>
      <c r="H2676" s="5"/>
      <c r="I2676" s="11"/>
      <c r="J2676" s="20"/>
      <c r="K26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7" spans="1:11" hidden="1" x14ac:dyDescent="0.25">
      <c r="A2677" s="11"/>
      <c r="B2677" s="11"/>
      <c r="C2677" s="5"/>
      <c r="G2677" s="11"/>
      <c r="H2677" s="5"/>
      <c r="I2677" s="11"/>
      <c r="J2677" s="20"/>
      <c r="K26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78" spans="1:11" x14ac:dyDescent="0.25">
      <c r="A2678" s="11" t="s">
        <v>309</v>
      </c>
      <c r="B2678" s="11" t="s">
        <v>481</v>
      </c>
      <c r="C2678" s="5" t="s">
        <v>68</v>
      </c>
      <c r="D2678">
        <v>400</v>
      </c>
      <c r="E2678">
        <v>6</v>
      </c>
      <c r="F2678">
        <v>15</v>
      </c>
      <c r="G2678" s="11">
        <v>1</v>
      </c>
      <c r="H2678" s="5">
        <v>3.5999999999999997E-2</v>
      </c>
      <c r="I2678" s="11">
        <v>313200</v>
      </c>
      <c r="J2678" s="20">
        <v>313200</v>
      </c>
      <c r="K26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79" spans="1:11" hidden="1" x14ac:dyDescent="0.25">
      <c r="A2679" s="11"/>
      <c r="B2679" s="11"/>
      <c r="C2679" s="5"/>
      <c r="G2679" s="11"/>
      <c r="H2679" s="5"/>
      <c r="I2679" s="11"/>
      <c r="J2679" s="20"/>
      <c r="K26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0" spans="1:11" x14ac:dyDescent="0.25">
      <c r="A2680" s="11"/>
      <c r="B2680" s="11" t="s">
        <v>491</v>
      </c>
      <c r="C2680" s="5" t="s">
        <v>83</v>
      </c>
      <c r="D2680">
        <v>450</v>
      </c>
      <c r="E2680">
        <v>6</v>
      </c>
      <c r="F2680">
        <v>15</v>
      </c>
      <c r="G2680" s="11">
        <v>2</v>
      </c>
      <c r="H2680" s="5">
        <v>8.1000000000000003E-2</v>
      </c>
      <c r="I2680" s="11">
        <v>372600</v>
      </c>
      <c r="J2680" s="20">
        <v>745200</v>
      </c>
      <c r="K26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81" spans="1:11" hidden="1" x14ac:dyDescent="0.25">
      <c r="A2681" s="11"/>
      <c r="B2681" s="11"/>
      <c r="C2681" s="5"/>
      <c r="G2681" s="11"/>
      <c r="H2681" s="5"/>
      <c r="I2681" s="11"/>
      <c r="J2681" s="20"/>
      <c r="K26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2" spans="1:11" hidden="1" x14ac:dyDescent="0.25">
      <c r="A2682" s="11"/>
      <c r="B2682" s="11"/>
      <c r="C2682" s="5"/>
      <c r="G2682" s="11"/>
      <c r="H2682" s="5"/>
      <c r="I2682" s="11"/>
      <c r="J2682" s="20"/>
      <c r="K26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3" spans="1:11" x14ac:dyDescent="0.25">
      <c r="A2683" s="11" t="s">
        <v>309</v>
      </c>
      <c r="B2683" s="11" t="s">
        <v>438</v>
      </c>
      <c r="C2683" s="5" t="s">
        <v>15</v>
      </c>
      <c r="D2683">
        <v>400</v>
      </c>
      <c r="E2683">
        <v>3</v>
      </c>
      <c r="F2683">
        <v>25</v>
      </c>
      <c r="G2683" s="11">
        <v>1</v>
      </c>
      <c r="H2683" s="5">
        <v>0.03</v>
      </c>
      <c r="I2683" s="11">
        <v>279000</v>
      </c>
      <c r="J2683" s="20">
        <v>279000</v>
      </c>
      <c r="K26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4" spans="1:11" hidden="1" x14ac:dyDescent="0.25">
      <c r="A2684" s="11"/>
      <c r="B2684" s="11"/>
      <c r="C2684" s="5"/>
      <c r="G2684" s="11"/>
      <c r="H2684" s="5"/>
      <c r="I2684" s="11"/>
      <c r="J2684" s="20"/>
      <c r="K26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5" spans="1:11" x14ac:dyDescent="0.25">
      <c r="A2685" s="11"/>
      <c r="B2685" s="11" t="s">
        <v>439</v>
      </c>
      <c r="C2685" s="5" t="s">
        <v>16</v>
      </c>
      <c r="D2685">
        <v>400</v>
      </c>
      <c r="E2685">
        <v>3</v>
      </c>
      <c r="F2685">
        <v>30</v>
      </c>
      <c r="G2685" s="11">
        <v>4</v>
      </c>
      <c r="H2685" s="5">
        <v>0.14399999999999999</v>
      </c>
      <c r="I2685" s="11">
        <v>342000</v>
      </c>
      <c r="J2685" s="20">
        <v>1368000</v>
      </c>
      <c r="K26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6" spans="1:11" hidden="1" x14ac:dyDescent="0.25">
      <c r="A2686" s="11"/>
      <c r="B2686" s="11"/>
      <c r="C2686" s="5"/>
      <c r="G2686" s="11"/>
      <c r="H2686" s="5"/>
      <c r="I2686" s="11"/>
      <c r="J2686" s="20"/>
      <c r="K26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7" spans="1:11" hidden="1" x14ac:dyDescent="0.25">
      <c r="A2687" s="11"/>
      <c r="B2687" s="11"/>
      <c r="C2687" s="5"/>
      <c r="G2687" s="11"/>
      <c r="H2687" s="5"/>
      <c r="I2687" s="11"/>
      <c r="J2687" s="20"/>
      <c r="K26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88" spans="1:11" x14ac:dyDescent="0.25">
      <c r="A2688" s="11" t="s">
        <v>309</v>
      </c>
      <c r="B2688" s="11" t="s">
        <v>485</v>
      </c>
      <c r="C2688" s="5" t="s">
        <v>74</v>
      </c>
      <c r="D2688">
        <v>150</v>
      </c>
      <c r="E2688">
        <v>6</v>
      </c>
      <c r="F2688">
        <v>15</v>
      </c>
      <c r="G2688" s="11">
        <v>10</v>
      </c>
      <c r="H2688" s="5">
        <v>0.13500000000000001</v>
      </c>
      <c r="I2688" s="11">
        <v>259200</v>
      </c>
      <c r="J2688" s="20">
        <v>2592000</v>
      </c>
      <c r="K26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89" spans="1:11" hidden="1" x14ac:dyDescent="0.25">
      <c r="A2689" s="11"/>
      <c r="B2689" s="11"/>
      <c r="C2689" s="5"/>
      <c r="G2689" s="11"/>
      <c r="H2689" s="5"/>
      <c r="I2689" s="11"/>
      <c r="J2689" s="20"/>
      <c r="K26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0" spans="1:11" x14ac:dyDescent="0.25">
      <c r="A2690" s="11"/>
      <c r="B2690" s="11" t="s">
        <v>522</v>
      </c>
      <c r="C2690" s="5" t="s">
        <v>131</v>
      </c>
      <c r="D2690">
        <v>200</v>
      </c>
      <c r="E2690">
        <v>6</v>
      </c>
      <c r="F2690">
        <v>15</v>
      </c>
      <c r="G2690" s="11">
        <v>2</v>
      </c>
      <c r="H2690" s="5">
        <v>3.5999999999999997E-2</v>
      </c>
      <c r="I2690" s="11">
        <v>370800</v>
      </c>
      <c r="J2690" s="20">
        <v>741600</v>
      </c>
      <c r="K26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91" spans="1:11" hidden="1" x14ac:dyDescent="0.25">
      <c r="A2691" s="11"/>
      <c r="B2691" s="11"/>
      <c r="C2691" s="5"/>
      <c r="G2691" s="11"/>
      <c r="H2691" s="5"/>
      <c r="I2691" s="11"/>
      <c r="J2691" s="20"/>
      <c r="K26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2" spans="1:11" hidden="1" x14ac:dyDescent="0.25">
      <c r="A2692" s="11"/>
      <c r="B2692" s="11"/>
      <c r="C2692" s="5"/>
      <c r="G2692" s="11"/>
      <c r="H2692" s="5"/>
      <c r="I2692" s="11"/>
      <c r="J2692" s="20"/>
      <c r="K26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3" spans="1:11" x14ac:dyDescent="0.25">
      <c r="A2693" s="11" t="s">
        <v>309</v>
      </c>
      <c r="B2693" s="11" t="s">
        <v>476</v>
      </c>
      <c r="C2693" s="5" t="s">
        <v>62</v>
      </c>
      <c r="D2693">
        <v>400</v>
      </c>
      <c r="E2693">
        <v>3</v>
      </c>
      <c r="F2693">
        <v>20</v>
      </c>
      <c r="G2693" s="11">
        <v>15</v>
      </c>
      <c r="H2693" s="5">
        <v>0.36</v>
      </c>
      <c r="I2693" s="11">
        <v>208800</v>
      </c>
      <c r="J2693" s="20">
        <v>3132000</v>
      </c>
      <c r="K26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4" spans="1:11" hidden="1" x14ac:dyDescent="0.25">
      <c r="A2694" s="11"/>
      <c r="B2694" s="11"/>
      <c r="C2694" s="5"/>
      <c r="G2694" s="11"/>
      <c r="H2694" s="5"/>
      <c r="I2694" s="11"/>
      <c r="J2694" s="20"/>
      <c r="K26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5" spans="1:11" hidden="1" x14ac:dyDescent="0.25">
      <c r="A2695" s="11"/>
      <c r="B2695" s="11"/>
      <c r="C2695" s="5"/>
      <c r="G2695" s="11"/>
      <c r="H2695" s="5"/>
      <c r="I2695" s="11"/>
      <c r="J2695" s="20"/>
      <c r="K26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6" spans="1:11" x14ac:dyDescent="0.25">
      <c r="A2696" s="11" t="s">
        <v>310</v>
      </c>
      <c r="B2696" s="11" t="s">
        <v>443</v>
      </c>
      <c r="C2696" s="5" t="s">
        <v>21</v>
      </c>
      <c r="D2696">
        <v>400</v>
      </c>
      <c r="E2696">
        <v>4</v>
      </c>
      <c r="F2696">
        <v>25</v>
      </c>
      <c r="G2696" s="11">
        <v>7</v>
      </c>
      <c r="H2696" s="5">
        <v>0.28000000000000003</v>
      </c>
      <c r="I2696" s="11">
        <v>372000</v>
      </c>
      <c r="J2696" s="20">
        <v>2604000</v>
      </c>
      <c r="K26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7" spans="1:11" hidden="1" x14ac:dyDescent="0.25">
      <c r="A2697" s="11"/>
      <c r="B2697" s="11"/>
      <c r="C2697" s="5"/>
      <c r="G2697" s="11"/>
      <c r="H2697" s="5"/>
      <c r="I2697" s="11"/>
      <c r="J2697" s="20"/>
      <c r="K26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698" spans="1:11" x14ac:dyDescent="0.25">
      <c r="A2698" s="11"/>
      <c r="B2698" s="11" t="s">
        <v>435</v>
      </c>
      <c r="C2698" s="5" t="s">
        <v>11</v>
      </c>
      <c r="D2698">
        <v>400</v>
      </c>
      <c r="E2698">
        <v>6</v>
      </c>
      <c r="F2698">
        <v>12</v>
      </c>
      <c r="G2698" s="11">
        <v>45</v>
      </c>
      <c r="H2698" s="5">
        <v>1.296</v>
      </c>
      <c r="I2698" s="11">
        <v>250560</v>
      </c>
      <c r="J2698" s="20">
        <v>11275200</v>
      </c>
      <c r="K26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699" spans="1:11" hidden="1" x14ac:dyDescent="0.25">
      <c r="A2699" s="11"/>
      <c r="B2699" s="11"/>
      <c r="C2699" s="5"/>
      <c r="G2699" s="11"/>
      <c r="H2699" s="5"/>
      <c r="I2699" s="11"/>
      <c r="J2699" s="20"/>
      <c r="K26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0" spans="1:11" hidden="1" x14ac:dyDescent="0.25">
      <c r="A2700" s="11"/>
      <c r="B2700" s="11"/>
      <c r="C2700" s="5"/>
      <c r="G2700" s="11"/>
      <c r="H2700" s="5"/>
      <c r="I2700" s="11"/>
      <c r="J2700" s="20"/>
      <c r="K27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1" spans="1:11" x14ac:dyDescent="0.25">
      <c r="A2701" s="11" t="s">
        <v>310</v>
      </c>
      <c r="B2701" s="11" t="s">
        <v>476</v>
      </c>
      <c r="C2701" s="5" t="s">
        <v>62</v>
      </c>
      <c r="D2701">
        <v>400</v>
      </c>
      <c r="E2701">
        <v>3</v>
      </c>
      <c r="F2701">
        <v>20</v>
      </c>
      <c r="G2701" s="11">
        <v>1</v>
      </c>
      <c r="H2701" s="5">
        <v>2.4E-2</v>
      </c>
      <c r="I2701" s="11">
        <v>208800</v>
      </c>
      <c r="J2701" s="20">
        <v>208800</v>
      </c>
      <c r="K27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2" spans="1:11" hidden="1" x14ac:dyDescent="0.25">
      <c r="A2702" s="11"/>
      <c r="B2702" s="11"/>
      <c r="C2702" s="5"/>
      <c r="G2702" s="11"/>
      <c r="H2702" s="5"/>
      <c r="I2702" s="11"/>
      <c r="J2702" s="20"/>
      <c r="K27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3" spans="1:11" x14ac:dyDescent="0.25">
      <c r="A2703" s="11"/>
      <c r="B2703" s="11" t="s">
        <v>502</v>
      </c>
      <c r="C2703" s="5" t="s">
        <v>98</v>
      </c>
      <c r="D2703">
        <v>400</v>
      </c>
      <c r="E2703">
        <v>5</v>
      </c>
      <c r="F2703">
        <v>15</v>
      </c>
      <c r="G2703" s="11">
        <v>4</v>
      </c>
      <c r="H2703" s="5">
        <v>0.12</v>
      </c>
      <c r="I2703" s="11">
        <v>273000</v>
      </c>
      <c r="J2703" s="20">
        <v>1092000</v>
      </c>
      <c r="K27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04" spans="1:11" hidden="1" x14ac:dyDescent="0.25">
      <c r="A2704" s="11"/>
      <c r="B2704" s="11"/>
      <c r="C2704" s="5"/>
      <c r="G2704" s="11"/>
      <c r="H2704" s="5"/>
      <c r="I2704" s="11"/>
      <c r="J2704" s="20"/>
      <c r="K27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5" spans="1:11" x14ac:dyDescent="0.25">
      <c r="A2705" s="11"/>
      <c r="B2705" s="11" t="s">
        <v>471</v>
      </c>
      <c r="C2705" s="5" t="s">
        <v>56</v>
      </c>
      <c r="D2705">
        <v>500</v>
      </c>
      <c r="E2705">
        <v>5</v>
      </c>
      <c r="F2705">
        <v>15</v>
      </c>
      <c r="G2705" s="11">
        <v>6</v>
      </c>
      <c r="H2705" s="5">
        <v>0.22500000000000001</v>
      </c>
      <c r="I2705" s="11">
        <v>360000</v>
      </c>
      <c r="J2705" s="20">
        <v>2160000</v>
      </c>
      <c r="K27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06" spans="1:11" hidden="1" x14ac:dyDescent="0.25">
      <c r="A2706" s="11"/>
      <c r="B2706" s="11"/>
      <c r="C2706" s="5"/>
      <c r="G2706" s="11"/>
      <c r="H2706" s="5"/>
      <c r="I2706" s="11"/>
      <c r="J2706" s="20"/>
      <c r="K27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7" spans="1:11" hidden="1" x14ac:dyDescent="0.25">
      <c r="A2707" s="11"/>
      <c r="B2707" s="11"/>
      <c r="C2707" s="5"/>
      <c r="G2707" s="11"/>
      <c r="H2707" s="5"/>
      <c r="I2707" s="11"/>
      <c r="J2707" s="20"/>
      <c r="K27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08" spans="1:11" x14ac:dyDescent="0.25">
      <c r="A2708" s="11" t="s">
        <v>310</v>
      </c>
      <c r="B2708" s="11" t="s">
        <v>444</v>
      </c>
      <c r="C2708" s="5" t="s">
        <v>23</v>
      </c>
      <c r="D2708">
        <v>400</v>
      </c>
      <c r="E2708">
        <v>5</v>
      </c>
      <c r="F2708">
        <v>15</v>
      </c>
      <c r="G2708" s="11">
        <v>2</v>
      </c>
      <c r="H2708" s="5">
        <v>0.06</v>
      </c>
      <c r="I2708" s="11">
        <v>648000</v>
      </c>
      <c r="J2708" s="20">
        <v>1296000</v>
      </c>
      <c r="K27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09" spans="1:11" hidden="1" x14ac:dyDescent="0.25">
      <c r="A2709" s="11"/>
      <c r="B2709" s="11"/>
      <c r="C2709" s="5"/>
      <c r="G2709" s="11"/>
      <c r="H2709" s="5"/>
      <c r="I2709" s="11"/>
      <c r="J2709" s="20"/>
      <c r="K27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0" spans="1:11" x14ac:dyDescent="0.25">
      <c r="A2710" s="11"/>
      <c r="B2710" s="11" t="s">
        <v>445</v>
      </c>
      <c r="C2710" s="5" t="s">
        <v>24</v>
      </c>
      <c r="D2710">
        <v>500</v>
      </c>
      <c r="E2710">
        <v>5</v>
      </c>
      <c r="F2710">
        <v>15</v>
      </c>
      <c r="G2710" s="11">
        <v>6</v>
      </c>
      <c r="H2710" s="5">
        <v>0.22500000000000001</v>
      </c>
      <c r="I2710" s="11">
        <v>828750</v>
      </c>
      <c r="J2710" s="20">
        <v>4972500</v>
      </c>
      <c r="K27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11" spans="1:11" hidden="1" x14ac:dyDescent="0.25">
      <c r="A2711" s="11"/>
      <c r="B2711" s="11"/>
      <c r="C2711" s="5"/>
      <c r="G2711" s="11"/>
      <c r="H2711" s="5"/>
      <c r="I2711" s="11"/>
      <c r="J2711" s="20"/>
      <c r="K27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2" spans="1:11" hidden="1" x14ac:dyDescent="0.25">
      <c r="A2712" s="11"/>
      <c r="B2712" s="11"/>
      <c r="C2712" s="5"/>
      <c r="G2712" s="11"/>
      <c r="H2712" s="5"/>
      <c r="I2712" s="11"/>
      <c r="J2712" s="20"/>
      <c r="K27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3" spans="1:11" x14ac:dyDescent="0.25">
      <c r="A2713" s="11" t="s">
        <v>310</v>
      </c>
      <c r="B2713" s="11" t="s">
        <v>476</v>
      </c>
      <c r="C2713" s="5" t="s">
        <v>62</v>
      </c>
      <c r="D2713">
        <v>400</v>
      </c>
      <c r="E2713">
        <v>3</v>
      </c>
      <c r="F2713">
        <v>20</v>
      </c>
      <c r="G2713" s="11">
        <v>1</v>
      </c>
      <c r="H2713" s="5">
        <v>2.4E-2</v>
      </c>
      <c r="I2713" s="11">
        <v>208800</v>
      </c>
      <c r="J2713" s="20">
        <v>208800</v>
      </c>
      <c r="K27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4" spans="1:11" hidden="1" x14ac:dyDescent="0.25">
      <c r="A2714" s="11"/>
      <c r="B2714" s="11"/>
      <c r="C2714" s="5"/>
      <c r="G2714" s="11"/>
      <c r="H2714" s="5"/>
      <c r="I2714" s="11"/>
      <c r="J2714" s="20"/>
      <c r="K27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5" spans="1:11" hidden="1" x14ac:dyDescent="0.25">
      <c r="A2715" s="11"/>
      <c r="B2715" s="11"/>
      <c r="C2715" s="5"/>
      <c r="G2715" s="11"/>
      <c r="H2715" s="5"/>
      <c r="I2715" s="11"/>
      <c r="J2715" s="20"/>
      <c r="K27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6" spans="1:11" x14ac:dyDescent="0.25">
      <c r="A2716" s="11" t="s">
        <v>311</v>
      </c>
      <c r="B2716" s="11" t="s">
        <v>436</v>
      </c>
      <c r="C2716" s="5" t="s">
        <v>12</v>
      </c>
      <c r="D2716">
        <v>400</v>
      </c>
      <c r="E2716">
        <v>6</v>
      </c>
      <c r="F2716">
        <v>17</v>
      </c>
      <c r="G2716" s="11">
        <v>37</v>
      </c>
      <c r="H2716" s="5">
        <v>1.5096000000000001</v>
      </c>
      <c r="I2716" s="11">
        <v>371280</v>
      </c>
      <c r="J2716" s="20">
        <v>13737360</v>
      </c>
      <c r="K27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17" spans="1:11" hidden="1" x14ac:dyDescent="0.25">
      <c r="A2717" s="11"/>
      <c r="B2717" s="11"/>
      <c r="C2717" s="5"/>
      <c r="G2717" s="11"/>
      <c r="H2717" s="5"/>
      <c r="I2717" s="11"/>
      <c r="J2717" s="20"/>
      <c r="K27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8" spans="1:11" hidden="1" x14ac:dyDescent="0.25">
      <c r="A2718" s="11"/>
      <c r="B2718" s="11"/>
      <c r="C2718" s="5"/>
      <c r="G2718" s="11"/>
      <c r="H2718" s="5"/>
      <c r="I2718" s="11"/>
      <c r="J2718" s="20"/>
      <c r="K27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19" spans="1:11" x14ac:dyDescent="0.25">
      <c r="A2719" s="11" t="s">
        <v>311</v>
      </c>
      <c r="B2719" s="11" t="s">
        <v>476</v>
      </c>
      <c r="C2719" s="5" t="s">
        <v>62</v>
      </c>
      <c r="D2719">
        <v>400</v>
      </c>
      <c r="E2719">
        <v>3</v>
      </c>
      <c r="F2719">
        <v>20</v>
      </c>
      <c r="G2719" s="11">
        <v>2</v>
      </c>
      <c r="H2719" s="5">
        <v>4.8000000000000001E-2</v>
      </c>
      <c r="I2719" s="11">
        <v>208800</v>
      </c>
      <c r="J2719" s="20">
        <v>417600</v>
      </c>
      <c r="K27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0" spans="1:11" hidden="1" x14ac:dyDescent="0.25">
      <c r="A2720" s="11"/>
      <c r="B2720" s="11"/>
      <c r="C2720" s="5"/>
      <c r="G2720" s="11"/>
      <c r="H2720" s="5"/>
      <c r="I2720" s="11"/>
      <c r="J2720" s="20"/>
      <c r="K27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1" spans="1:11" x14ac:dyDescent="0.25">
      <c r="A2721" s="11"/>
      <c r="B2721" s="11" t="s">
        <v>438</v>
      </c>
      <c r="C2721" s="5" t="s">
        <v>15</v>
      </c>
      <c r="D2721">
        <v>400</v>
      </c>
      <c r="E2721">
        <v>3</v>
      </c>
      <c r="F2721">
        <v>25</v>
      </c>
      <c r="G2721" s="11">
        <v>4</v>
      </c>
      <c r="H2721" s="5">
        <v>0.12</v>
      </c>
      <c r="I2721" s="11">
        <v>279000</v>
      </c>
      <c r="J2721" s="20">
        <v>1116000</v>
      </c>
      <c r="K27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2" spans="1:11" hidden="1" x14ac:dyDescent="0.25">
      <c r="A2722" s="11"/>
      <c r="B2722" s="11"/>
      <c r="C2722" s="5"/>
      <c r="G2722" s="11"/>
      <c r="H2722" s="5"/>
      <c r="I2722" s="11"/>
      <c r="J2722" s="20"/>
      <c r="K27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3" spans="1:11" x14ac:dyDescent="0.25">
      <c r="A2723" s="11"/>
      <c r="B2723" s="11" t="s">
        <v>439</v>
      </c>
      <c r="C2723" s="5" t="s">
        <v>16</v>
      </c>
      <c r="D2723">
        <v>400</v>
      </c>
      <c r="E2723">
        <v>3</v>
      </c>
      <c r="F2723">
        <v>30</v>
      </c>
      <c r="G2723" s="11">
        <v>1</v>
      </c>
      <c r="H2723" s="5">
        <v>3.5999999999999997E-2</v>
      </c>
      <c r="I2723" s="11">
        <v>342000</v>
      </c>
      <c r="J2723" s="20">
        <v>342000</v>
      </c>
      <c r="K27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4" spans="1:11" hidden="1" x14ac:dyDescent="0.25">
      <c r="A2724" s="11"/>
      <c r="B2724" s="11"/>
      <c r="C2724" s="5"/>
      <c r="G2724" s="11"/>
      <c r="H2724" s="5"/>
      <c r="I2724" s="11"/>
      <c r="J2724" s="20"/>
      <c r="K27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5" spans="1:11" x14ac:dyDescent="0.25">
      <c r="A2725" s="11"/>
      <c r="B2725" s="11" t="s">
        <v>433</v>
      </c>
      <c r="C2725" s="5" t="s">
        <v>9</v>
      </c>
      <c r="D2725">
        <v>400</v>
      </c>
      <c r="E2725">
        <v>4</v>
      </c>
      <c r="F2725">
        <v>20</v>
      </c>
      <c r="G2725" s="11">
        <v>8</v>
      </c>
      <c r="H2725" s="5">
        <v>0.25600000000000001</v>
      </c>
      <c r="I2725" s="11">
        <v>294400</v>
      </c>
      <c r="J2725" s="20">
        <v>2355200</v>
      </c>
      <c r="K27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6" spans="1:11" hidden="1" x14ac:dyDescent="0.25">
      <c r="A2726" s="11"/>
      <c r="B2726" s="11"/>
      <c r="C2726" s="5"/>
      <c r="G2726" s="11"/>
      <c r="H2726" s="5"/>
      <c r="I2726" s="11"/>
      <c r="J2726" s="20"/>
      <c r="K27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7" spans="1:11" x14ac:dyDescent="0.25">
      <c r="A2727" s="11"/>
      <c r="B2727" s="11" t="s">
        <v>443</v>
      </c>
      <c r="C2727" s="5" t="s">
        <v>21</v>
      </c>
      <c r="D2727">
        <v>400</v>
      </c>
      <c r="E2727">
        <v>4</v>
      </c>
      <c r="F2727">
        <v>25</v>
      </c>
      <c r="G2727" s="11">
        <v>5</v>
      </c>
      <c r="H2727" s="5">
        <v>0.2</v>
      </c>
      <c r="I2727" s="11">
        <v>372000</v>
      </c>
      <c r="J2727" s="20">
        <v>1860000</v>
      </c>
      <c r="K27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8" spans="1:11" hidden="1" x14ac:dyDescent="0.25">
      <c r="A2728" s="11"/>
      <c r="B2728" s="11"/>
      <c r="C2728" s="5"/>
      <c r="G2728" s="11"/>
      <c r="H2728" s="5"/>
      <c r="I2728" s="11"/>
      <c r="J2728" s="20"/>
      <c r="K27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29" spans="1:11" hidden="1" x14ac:dyDescent="0.25">
      <c r="A2729" s="11"/>
      <c r="B2729" s="11"/>
      <c r="C2729" s="5"/>
      <c r="G2729" s="11"/>
      <c r="H2729" s="5"/>
      <c r="I2729" s="11"/>
      <c r="J2729" s="20"/>
      <c r="K27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0" spans="1:11" x14ac:dyDescent="0.25">
      <c r="A2730" s="11" t="s">
        <v>311</v>
      </c>
      <c r="B2730" s="11" t="s">
        <v>482</v>
      </c>
      <c r="C2730" s="5" t="s">
        <v>69</v>
      </c>
      <c r="D2730">
        <v>400</v>
      </c>
      <c r="E2730">
        <v>2</v>
      </c>
      <c r="F2730">
        <v>20</v>
      </c>
      <c r="G2730" s="11">
        <v>1</v>
      </c>
      <c r="H2730" s="5">
        <v>1.6E-2</v>
      </c>
      <c r="I2730" s="11">
        <v>398400</v>
      </c>
      <c r="J2730" s="20">
        <v>398400</v>
      </c>
      <c r="K27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1" spans="1:11" hidden="1" x14ac:dyDescent="0.25">
      <c r="A2731" s="11"/>
      <c r="B2731" s="11"/>
      <c r="C2731" s="5"/>
      <c r="G2731" s="11"/>
      <c r="H2731" s="5"/>
      <c r="I2731" s="11"/>
      <c r="J2731" s="20"/>
      <c r="K27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2" spans="1:11" hidden="1" x14ac:dyDescent="0.25">
      <c r="A2732" s="11"/>
      <c r="B2732" s="11"/>
      <c r="C2732" s="5"/>
      <c r="G2732" s="11"/>
      <c r="H2732" s="5"/>
      <c r="I2732" s="11"/>
      <c r="J2732" s="20"/>
      <c r="K27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3" spans="1:11" x14ac:dyDescent="0.25">
      <c r="A2733" s="11" t="s">
        <v>311</v>
      </c>
      <c r="B2733" s="11" t="s">
        <v>506</v>
      </c>
      <c r="C2733" s="5" t="s">
        <v>103</v>
      </c>
      <c r="D2733">
        <v>400</v>
      </c>
      <c r="E2733">
        <v>3</v>
      </c>
      <c r="F2733">
        <v>30</v>
      </c>
      <c r="G2733" s="11">
        <v>4</v>
      </c>
      <c r="H2733" s="5">
        <v>0.14399999999999999</v>
      </c>
      <c r="I2733" s="11">
        <v>851400</v>
      </c>
      <c r="J2733" s="20">
        <v>3405600</v>
      </c>
      <c r="K27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4" spans="1:11" hidden="1" x14ac:dyDescent="0.25">
      <c r="A2734" s="11"/>
      <c r="B2734" s="11"/>
      <c r="C2734" s="5"/>
      <c r="G2734" s="11"/>
      <c r="H2734" s="5"/>
      <c r="I2734" s="11"/>
      <c r="J2734" s="20"/>
      <c r="K27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5" spans="1:11" x14ac:dyDescent="0.25">
      <c r="A2735" s="11"/>
      <c r="B2735" s="11" t="s">
        <v>484</v>
      </c>
      <c r="C2735" s="5" t="s">
        <v>72</v>
      </c>
      <c r="D2735">
        <v>500</v>
      </c>
      <c r="E2735">
        <v>3</v>
      </c>
      <c r="F2735">
        <v>30</v>
      </c>
      <c r="G2735" s="11">
        <v>4</v>
      </c>
      <c r="H2735" s="5">
        <v>0.18</v>
      </c>
      <c r="I2735" s="11">
        <v>1089000</v>
      </c>
      <c r="J2735" s="20">
        <v>4356000</v>
      </c>
      <c r="K27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6" spans="1:11" hidden="1" x14ac:dyDescent="0.25">
      <c r="A2736" s="11"/>
      <c r="B2736" s="11"/>
      <c r="C2736" s="5"/>
      <c r="G2736" s="11"/>
      <c r="H2736" s="5"/>
      <c r="I2736" s="11"/>
      <c r="J2736" s="20"/>
      <c r="K27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7" spans="1:11" x14ac:dyDescent="0.25">
      <c r="A2737" s="11"/>
      <c r="B2737" s="11" t="s">
        <v>432</v>
      </c>
      <c r="C2737" s="5" t="s">
        <v>7</v>
      </c>
      <c r="D2737">
        <v>500</v>
      </c>
      <c r="E2737">
        <v>3</v>
      </c>
      <c r="F2737">
        <v>35</v>
      </c>
      <c r="G2737" s="11">
        <v>3</v>
      </c>
      <c r="H2737" s="5">
        <v>0.1575</v>
      </c>
      <c r="I2737" s="11">
        <v>1291500</v>
      </c>
      <c r="J2737" s="20">
        <v>3874500</v>
      </c>
      <c r="K27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8" spans="1:11" hidden="1" x14ac:dyDescent="0.25">
      <c r="A2738" s="11"/>
      <c r="B2738" s="11"/>
      <c r="C2738" s="5"/>
      <c r="G2738" s="11"/>
      <c r="H2738" s="5"/>
      <c r="I2738" s="11"/>
      <c r="J2738" s="20"/>
      <c r="K27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39" spans="1:11" x14ac:dyDescent="0.25">
      <c r="A2739" s="11"/>
      <c r="B2739" s="11" t="s">
        <v>575</v>
      </c>
      <c r="C2739" s="5" t="s">
        <v>272</v>
      </c>
      <c r="D2739">
        <v>400</v>
      </c>
      <c r="E2739">
        <v>6</v>
      </c>
      <c r="F2739">
        <v>12</v>
      </c>
      <c r="G2739" s="11">
        <v>2</v>
      </c>
      <c r="H2739" s="5">
        <v>5.7599999999999998E-2</v>
      </c>
      <c r="I2739" s="11">
        <v>203040</v>
      </c>
      <c r="J2739" s="20">
        <v>406080</v>
      </c>
      <c r="K27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40" spans="1:11" hidden="1" x14ac:dyDescent="0.25">
      <c r="A2740" s="11"/>
      <c r="B2740" s="11"/>
      <c r="C2740" s="5"/>
      <c r="G2740" s="11"/>
      <c r="H2740" s="5"/>
      <c r="I2740" s="11"/>
      <c r="J2740" s="20"/>
      <c r="K27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1" spans="1:11" x14ac:dyDescent="0.25">
      <c r="A2741" s="11"/>
      <c r="B2741" s="11" t="s">
        <v>433</v>
      </c>
      <c r="C2741" s="5" t="s">
        <v>9</v>
      </c>
      <c r="D2741">
        <v>400</v>
      </c>
      <c r="E2741">
        <v>4</v>
      </c>
      <c r="F2741">
        <v>20</v>
      </c>
      <c r="G2741" s="11">
        <v>3</v>
      </c>
      <c r="H2741" s="5">
        <v>9.6000000000000002E-2</v>
      </c>
      <c r="I2741" s="11">
        <v>302400</v>
      </c>
      <c r="J2741" s="20">
        <v>907200</v>
      </c>
      <c r="K27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2" spans="1:11" hidden="1" x14ac:dyDescent="0.25">
      <c r="A2742" s="11"/>
      <c r="B2742" s="11"/>
      <c r="C2742" s="5"/>
      <c r="G2742" s="11"/>
      <c r="H2742" s="5"/>
      <c r="I2742" s="11"/>
      <c r="J2742" s="20"/>
      <c r="K27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3" spans="1:11" x14ac:dyDescent="0.25">
      <c r="A2743" s="11"/>
      <c r="B2743" s="11" t="s">
        <v>443</v>
      </c>
      <c r="C2743" s="5" t="s">
        <v>21</v>
      </c>
      <c r="D2743">
        <v>400</v>
      </c>
      <c r="E2743">
        <v>4</v>
      </c>
      <c r="F2743">
        <v>25</v>
      </c>
      <c r="G2743" s="11">
        <v>2</v>
      </c>
      <c r="H2743" s="5">
        <v>0.08</v>
      </c>
      <c r="I2743" s="11">
        <v>382000</v>
      </c>
      <c r="J2743" s="20">
        <v>764000</v>
      </c>
      <c r="K27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4" spans="1:11" hidden="1" x14ac:dyDescent="0.25">
      <c r="A2744" s="11"/>
      <c r="B2744" s="11"/>
      <c r="C2744" s="5"/>
      <c r="G2744" s="11"/>
      <c r="H2744" s="5"/>
      <c r="I2744" s="11"/>
      <c r="J2744" s="20"/>
      <c r="K27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5" spans="1:11" x14ac:dyDescent="0.25">
      <c r="A2745" s="11"/>
      <c r="B2745" s="11" t="s">
        <v>502</v>
      </c>
      <c r="C2745" s="5" t="s">
        <v>98</v>
      </c>
      <c r="D2745">
        <v>400</v>
      </c>
      <c r="E2745">
        <v>5</v>
      </c>
      <c r="F2745">
        <v>15</v>
      </c>
      <c r="G2745" s="11">
        <v>4</v>
      </c>
      <c r="H2745" s="5">
        <v>0.12</v>
      </c>
      <c r="I2745" s="11">
        <v>280500</v>
      </c>
      <c r="J2745" s="20">
        <v>1122000</v>
      </c>
      <c r="K27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46" spans="1:11" hidden="1" x14ac:dyDescent="0.25">
      <c r="A2746" s="11"/>
      <c r="B2746" s="11"/>
      <c r="C2746" s="5"/>
      <c r="G2746" s="11"/>
      <c r="H2746" s="5"/>
      <c r="I2746" s="11"/>
      <c r="J2746" s="20"/>
      <c r="K27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7" spans="1:11" hidden="1" x14ac:dyDescent="0.25">
      <c r="A2747" s="11"/>
      <c r="B2747" s="11"/>
      <c r="C2747" s="5"/>
      <c r="G2747" s="11"/>
      <c r="H2747" s="5"/>
      <c r="I2747" s="11"/>
      <c r="J2747" s="20"/>
      <c r="K27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48" spans="1:11" x14ac:dyDescent="0.25">
      <c r="A2748" s="11" t="s">
        <v>311</v>
      </c>
      <c r="B2748" s="11" t="s">
        <v>542</v>
      </c>
      <c r="C2748" s="5" t="s">
        <v>170</v>
      </c>
      <c r="D2748">
        <v>400</v>
      </c>
      <c r="E2748">
        <v>12</v>
      </c>
      <c r="F2748">
        <v>12</v>
      </c>
      <c r="G2748" s="11">
        <v>4</v>
      </c>
      <c r="H2748" s="5">
        <v>0.23039999999999999</v>
      </c>
      <c r="I2748" s="11">
        <v>691200</v>
      </c>
      <c r="J2748" s="20">
        <v>2764800</v>
      </c>
      <c r="K27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749" spans="1:11" hidden="1" x14ac:dyDescent="0.25">
      <c r="A2749" s="11"/>
      <c r="B2749" s="11"/>
      <c r="C2749" s="5"/>
      <c r="G2749" s="11"/>
      <c r="H2749" s="5"/>
      <c r="I2749" s="11"/>
      <c r="J2749" s="20"/>
      <c r="K27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0" spans="1:11" x14ac:dyDescent="0.25">
      <c r="A2750" s="11"/>
      <c r="B2750" s="11" t="s">
        <v>552</v>
      </c>
      <c r="C2750" s="5" t="s">
        <v>191</v>
      </c>
      <c r="D2750">
        <v>400</v>
      </c>
      <c r="E2750">
        <v>15</v>
      </c>
      <c r="F2750">
        <v>15</v>
      </c>
      <c r="G2750" s="11">
        <v>2</v>
      </c>
      <c r="H2750" s="5">
        <v>0.18</v>
      </c>
      <c r="I2750" s="11">
        <v>1080000</v>
      </c>
      <c r="J2750" s="20">
        <v>2160000</v>
      </c>
      <c r="K27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751" spans="1:11" hidden="1" x14ac:dyDescent="0.25">
      <c r="A2751" s="11"/>
      <c r="B2751" s="11"/>
      <c r="C2751" s="5"/>
      <c r="G2751" s="11"/>
      <c r="H2751" s="5"/>
      <c r="I2751" s="11"/>
      <c r="J2751" s="20"/>
      <c r="K27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2" spans="1:11" x14ac:dyDescent="0.25">
      <c r="A2752" s="11"/>
      <c r="B2752" s="11" t="s">
        <v>440</v>
      </c>
      <c r="C2752" s="5" t="s">
        <v>17</v>
      </c>
      <c r="D2752">
        <v>500</v>
      </c>
      <c r="E2752">
        <v>4</v>
      </c>
      <c r="F2752">
        <v>25</v>
      </c>
      <c r="G2752" s="11">
        <v>25</v>
      </c>
      <c r="H2752" s="5">
        <v>1.25</v>
      </c>
      <c r="I2752" s="11">
        <v>465000</v>
      </c>
      <c r="J2752" s="20">
        <v>11625000</v>
      </c>
      <c r="K27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3" spans="1:11" hidden="1" x14ac:dyDescent="0.25">
      <c r="A2753" s="11"/>
      <c r="B2753" s="11"/>
      <c r="C2753" s="5"/>
      <c r="G2753" s="11"/>
      <c r="H2753" s="5"/>
      <c r="I2753" s="11"/>
      <c r="J2753" s="20"/>
      <c r="K27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4" spans="1:11" hidden="1" x14ac:dyDescent="0.25">
      <c r="A2754" s="11"/>
      <c r="B2754" s="11"/>
      <c r="C2754" s="5"/>
      <c r="G2754" s="11"/>
      <c r="H2754" s="5"/>
      <c r="I2754" s="11"/>
      <c r="J2754" s="20"/>
      <c r="K27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5" spans="1:11" x14ac:dyDescent="0.25">
      <c r="A2755" s="11" t="s">
        <v>312</v>
      </c>
      <c r="B2755" s="11" t="s">
        <v>498</v>
      </c>
      <c r="C2755" s="5" t="s">
        <v>92</v>
      </c>
      <c r="D2755">
        <v>500</v>
      </c>
      <c r="E2755">
        <v>6</v>
      </c>
      <c r="F2755">
        <v>15</v>
      </c>
      <c r="G2755" s="11">
        <v>30</v>
      </c>
      <c r="H2755" s="5">
        <v>1.35</v>
      </c>
      <c r="I2755" s="11">
        <v>414000</v>
      </c>
      <c r="J2755" s="20">
        <v>12420000</v>
      </c>
      <c r="K27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56" spans="1:11" hidden="1" x14ac:dyDescent="0.25">
      <c r="A2756" s="11"/>
      <c r="B2756" s="11"/>
      <c r="C2756" s="5"/>
      <c r="G2756" s="11"/>
      <c r="H2756" s="5"/>
      <c r="I2756" s="11"/>
      <c r="J2756" s="20"/>
      <c r="K27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7" spans="1:11" hidden="1" x14ac:dyDescent="0.25">
      <c r="A2757" s="11"/>
      <c r="B2757" s="11"/>
      <c r="C2757" s="5"/>
      <c r="G2757" s="11"/>
      <c r="H2757" s="5"/>
      <c r="I2757" s="11"/>
      <c r="J2757" s="20"/>
      <c r="K27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58" spans="1:11" x14ac:dyDescent="0.25">
      <c r="A2758" s="11" t="s">
        <v>312</v>
      </c>
      <c r="B2758" s="11" t="s">
        <v>526</v>
      </c>
      <c r="C2758" s="5" t="s">
        <v>139</v>
      </c>
      <c r="D2758">
        <v>300</v>
      </c>
      <c r="E2758">
        <v>6</v>
      </c>
      <c r="F2758">
        <v>15</v>
      </c>
      <c r="G2758" s="11">
        <v>1</v>
      </c>
      <c r="H2758" s="5">
        <v>2.7E-2</v>
      </c>
      <c r="I2758" s="11">
        <v>540000</v>
      </c>
      <c r="J2758" s="20">
        <v>540000</v>
      </c>
      <c r="K27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59" spans="1:11" hidden="1" x14ac:dyDescent="0.25">
      <c r="A2759" s="11"/>
      <c r="B2759" s="11"/>
      <c r="C2759" s="5"/>
      <c r="G2759" s="11"/>
      <c r="H2759" s="5"/>
      <c r="I2759" s="11"/>
      <c r="J2759" s="20"/>
      <c r="K27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0" spans="1:11" x14ac:dyDescent="0.25">
      <c r="A2760" s="11"/>
      <c r="B2760" s="11" t="s">
        <v>481</v>
      </c>
      <c r="C2760" s="5" t="s">
        <v>68</v>
      </c>
      <c r="D2760">
        <v>400</v>
      </c>
      <c r="E2760">
        <v>6</v>
      </c>
      <c r="F2760">
        <v>15</v>
      </c>
      <c r="G2760" s="11">
        <v>10</v>
      </c>
      <c r="H2760" s="5">
        <v>0.36</v>
      </c>
      <c r="I2760" s="11">
        <v>313200</v>
      </c>
      <c r="J2760" s="20">
        <v>3132000</v>
      </c>
      <c r="K27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61" spans="1:11" hidden="1" x14ac:dyDescent="0.25">
      <c r="A2761" s="11"/>
      <c r="B2761" s="11"/>
      <c r="C2761" s="5"/>
      <c r="G2761" s="11"/>
      <c r="H2761" s="5"/>
      <c r="I2761" s="11"/>
      <c r="J2761" s="20"/>
      <c r="K27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2" spans="1:11" x14ac:dyDescent="0.25">
      <c r="A2762" s="11"/>
      <c r="B2762" s="11" t="s">
        <v>436</v>
      </c>
      <c r="C2762" s="5" t="s">
        <v>12</v>
      </c>
      <c r="D2762">
        <v>400</v>
      </c>
      <c r="E2762">
        <v>6</v>
      </c>
      <c r="F2762">
        <v>17</v>
      </c>
      <c r="G2762" s="11">
        <v>1</v>
      </c>
      <c r="H2762" s="5">
        <v>4.0800000000000003E-2</v>
      </c>
      <c r="I2762" s="11">
        <v>371280</v>
      </c>
      <c r="J2762" s="20">
        <v>371280</v>
      </c>
      <c r="K27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63" spans="1:11" hidden="1" x14ac:dyDescent="0.25">
      <c r="A2763" s="11"/>
      <c r="B2763" s="11"/>
      <c r="C2763" s="5"/>
      <c r="G2763" s="11"/>
      <c r="H2763" s="5"/>
      <c r="I2763" s="11"/>
      <c r="J2763" s="20"/>
      <c r="K27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4" spans="1:11" x14ac:dyDescent="0.25">
      <c r="A2764" s="11"/>
      <c r="B2764" s="11" t="s">
        <v>471</v>
      </c>
      <c r="C2764" s="5" t="s">
        <v>56</v>
      </c>
      <c r="D2764">
        <v>500</v>
      </c>
      <c r="E2764">
        <v>5</v>
      </c>
      <c r="F2764">
        <v>15</v>
      </c>
      <c r="G2764" s="11">
        <v>5</v>
      </c>
      <c r="H2764" s="5">
        <v>0.1875</v>
      </c>
      <c r="I2764" s="11">
        <v>360000</v>
      </c>
      <c r="J2764" s="20">
        <v>1800000</v>
      </c>
      <c r="K27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65" spans="1:11" hidden="1" x14ac:dyDescent="0.25">
      <c r="A2765" s="11"/>
      <c r="B2765" s="11"/>
      <c r="C2765" s="5"/>
      <c r="G2765" s="11"/>
      <c r="H2765" s="5"/>
      <c r="I2765" s="11"/>
      <c r="J2765" s="20"/>
      <c r="K27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6" spans="1:11" hidden="1" x14ac:dyDescent="0.25">
      <c r="A2766" s="11"/>
      <c r="B2766" s="11"/>
      <c r="C2766" s="5"/>
      <c r="G2766" s="11"/>
      <c r="H2766" s="5"/>
      <c r="I2766" s="11"/>
      <c r="J2766" s="20"/>
      <c r="K27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7" spans="1:11" x14ac:dyDescent="0.25">
      <c r="A2767" s="11" t="s">
        <v>313</v>
      </c>
      <c r="B2767" s="11" t="s">
        <v>435</v>
      </c>
      <c r="C2767" s="5" t="s">
        <v>11</v>
      </c>
      <c r="D2767">
        <v>400</v>
      </c>
      <c r="E2767">
        <v>6</v>
      </c>
      <c r="F2767">
        <v>12</v>
      </c>
      <c r="G2767" s="11">
        <v>2</v>
      </c>
      <c r="H2767" s="5">
        <v>5.7599999999999998E-2</v>
      </c>
      <c r="I2767" s="11">
        <v>259200</v>
      </c>
      <c r="J2767" s="20">
        <v>518400</v>
      </c>
      <c r="K27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68" spans="1:11" hidden="1" x14ac:dyDescent="0.25">
      <c r="A2768" s="11"/>
      <c r="B2768" s="11"/>
      <c r="C2768" s="5"/>
      <c r="G2768" s="11"/>
      <c r="H2768" s="5"/>
      <c r="I2768" s="11"/>
      <c r="J2768" s="20"/>
      <c r="K27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69" spans="1:11" hidden="1" x14ac:dyDescent="0.25">
      <c r="A2769" s="11"/>
      <c r="B2769" s="11"/>
      <c r="C2769" s="5"/>
      <c r="G2769" s="11"/>
      <c r="H2769" s="5"/>
      <c r="I2769" s="11"/>
      <c r="J2769" s="20"/>
      <c r="K27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0" spans="1:11" x14ac:dyDescent="0.25">
      <c r="A2770" s="11" t="s">
        <v>313</v>
      </c>
      <c r="B2770" s="11" t="s">
        <v>540</v>
      </c>
      <c r="C2770" s="5" t="s">
        <v>166</v>
      </c>
      <c r="D2770">
        <v>250</v>
      </c>
      <c r="E2770">
        <v>4</v>
      </c>
      <c r="F2770">
        <v>20</v>
      </c>
      <c r="G2770" s="11">
        <v>1</v>
      </c>
      <c r="H2770" s="5">
        <v>0.02</v>
      </c>
      <c r="I2770" s="11">
        <v>436000</v>
      </c>
      <c r="J2770" s="20">
        <v>436000</v>
      </c>
      <c r="K27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1" spans="1:11" hidden="1" x14ac:dyDescent="0.25">
      <c r="A2771" s="11"/>
      <c r="B2771" s="11"/>
      <c r="C2771" s="5"/>
      <c r="G2771" s="11"/>
      <c r="H2771" s="5"/>
      <c r="I2771" s="11"/>
      <c r="J2771" s="20"/>
      <c r="K27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2" spans="1:11" x14ac:dyDescent="0.25">
      <c r="A2772" s="11"/>
      <c r="B2772" s="11" t="s">
        <v>556</v>
      </c>
      <c r="C2772" s="5" t="s">
        <v>202</v>
      </c>
      <c r="D2772">
        <v>250</v>
      </c>
      <c r="E2772">
        <v>6</v>
      </c>
      <c r="F2772">
        <v>17</v>
      </c>
      <c r="G2772" s="11">
        <v>1</v>
      </c>
      <c r="H2772" s="5">
        <v>2.5499999999999998E-2</v>
      </c>
      <c r="I2772" s="11">
        <v>525300</v>
      </c>
      <c r="J2772" s="20">
        <v>525300</v>
      </c>
      <c r="K27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73" spans="1:11" hidden="1" x14ac:dyDescent="0.25">
      <c r="A2773" s="11"/>
      <c r="B2773" s="11"/>
      <c r="C2773" s="5"/>
      <c r="G2773" s="11"/>
      <c r="H2773" s="5"/>
      <c r="I2773" s="11"/>
      <c r="J2773" s="20"/>
      <c r="K27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4" spans="1:11" x14ac:dyDescent="0.25">
      <c r="A2774" s="11"/>
      <c r="B2774" s="11" t="s">
        <v>584</v>
      </c>
      <c r="C2774" s="5" t="s">
        <v>314</v>
      </c>
      <c r="D2774">
        <v>250</v>
      </c>
      <c r="E2774">
        <v>6</v>
      </c>
      <c r="F2774">
        <v>17</v>
      </c>
      <c r="G2774" s="11">
        <v>2</v>
      </c>
      <c r="H2774" s="5">
        <v>5.0999999999999997E-2</v>
      </c>
      <c r="I2774" s="11">
        <v>515100</v>
      </c>
      <c r="J2774" s="20">
        <v>1030200</v>
      </c>
      <c r="K27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75" spans="1:11" hidden="1" x14ac:dyDescent="0.25">
      <c r="A2775" s="11"/>
      <c r="B2775" s="11"/>
      <c r="C2775" s="5"/>
      <c r="G2775" s="11"/>
      <c r="H2775" s="5"/>
      <c r="I2775" s="11"/>
      <c r="J2775" s="20"/>
      <c r="K27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6" spans="1:11" hidden="1" x14ac:dyDescent="0.25">
      <c r="A2776" s="11"/>
      <c r="B2776" s="11"/>
      <c r="C2776" s="5"/>
      <c r="G2776" s="11"/>
      <c r="H2776" s="5"/>
      <c r="I2776" s="11"/>
      <c r="J2776" s="20"/>
      <c r="K27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7" spans="1:11" x14ac:dyDescent="0.25">
      <c r="A2777" s="11" t="s">
        <v>315</v>
      </c>
      <c r="B2777" s="11" t="s">
        <v>437</v>
      </c>
      <c r="C2777" s="5" t="s">
        <v>14</v>
      </c>
      <c r="D2777">
        <v>400</v>
      </c>
      <c r="E2777">
        <v>6</v>
      </c>
      <c r="F2777">
        <v>15</v>
      </c>
      <c r="G2777" s="11">
        <v>2</v>
      </c>
      <c r="H2777" s="5">
        <v>7.1999999999999995E-2</v>
      </c>
      <c r="I2777" s="11">
        <v>306000</v>
      </c>
      <c r="J2777" s="20">
        <v>612000</v>
      </c>
      <c r="K27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78" spans="1:11" hidden="1" x14ac:dyDescent="0.25">
      <c r="A2778" s="11"/>
      <c r="B2778" s="11"/>
      <c r="C2778" s="5"/>
      <c r="G2778" s="11"/>
      <c r="H2778" s="5"/>
      <c r="I2778" s="11"/>
      <c r="J2778" s="20"/>
      <c r="K27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79" spans="1:11" x14ac:dyDescent="0.25">
      <c r="A2779" s="11"/>
      <c r="B2779" s="11" t="s">
        <v>438</v>
      </c>
      <c r="C2779" s="5" t="s">
        <v>15</v>
      </c>
      <c r="D2779">
        <v>400</v>
      </c>
      <c r="E2779">
        <v>3</v>
      </c>
      <c r="F2779">
        <v>25</v>
      </c>
      <c r="G2779" s="11">
        <v>1</v>
      </c>
      <c r="H2779" s="5">
        <v>0.03</v>
      </c>
      <c r="I2779" s="11">
        <v>288000</v>
      </c>
      <c r="J2779" s="20">
        <v>288000</v>
      </c>
      <c r="K27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0" spans="1:11" hidden="1" x14ac:dyDescent="0.25">
      <c r="A2780" s="11"/>
      <c r="B2780" s="11"/>
      <c r="C2780" s="5"/>
      <c r="G2780" s="11"/>
      <c r="H2780" s="5"/>
      <c r="I2780" s="11"/>
      <c r="J2780" s="20"/>
      <c r="K27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1" spans="1:11" x14ac:dyDescent="0.25">
      <c r="A2781" s="11"/>
      <c r="B2781" s="11" t="s">
        <v>439</v>
      </c>
      <c r="C2781" s="5" t="s">
        <v>16</v>
      </c>
      <c r="D2781">
        <v>400</v>
      </c>
      <c r="E2781">
        <v>3</v>
      </c>
      <c r="F2781">
        <v>30</v>
      </c>
      <c r="G2781" s="11">
        <v>2</v>
      </c>
      <c r="H2781" s="5">
        <v>7.1999999999999995E-2</v>
      </c>
      <c r="I2781" s="11">
        <v>352800</v>
      </c>
      <c r="J2781" s="20">
        <v>705600</v>
      </c>
      <c r="K27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2" spans="1:11" hidden="1" x14ac:dyDescent="0.25">
      <c r="A2782" s="11"/>
      <c r="B2782" s="11"/>
      <c r="C2782" s="5"/>
      <c r="G2782" s="11"/>
      <c r="H2782" s="5"/>
      <c r="I2782" s="11"/>
      <c r="J2782" s="20"/>
      <c r="K27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3" spans="1:11" x14ac:dyDescent="0.25">
      <c r="A2783" s="11"/>
      <c r="B2783" s="11" t="s">
        <v>433</v>
      </c>
      <c r="C2783" s="5" t="s">
        <v>9</v>
      </c>
      <c r="D2783">
        <v>400</v>
      </c>
      <c r="E2783">
        <v>4</v>
      </c>
      <c r="F2783">
        <v>20</v>
      </c>
      <c r="G2783" s="11">
        <v>1</v>
      </c>
      <c r="H2783" s="5">
        <v>3.2000000000000001E-2</v>
      </c>
      <c r="I2783" s="11">
        <v>304000</v>
      </c>
      <c r="J2783" s="20">
        <v>304000</v>
      </c>
      <c r="K27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4" spans="1:11" hidden="1" x14ac:dyDescent="0.25">
      <c r="A2784" s="11"/>
      <c r="B2784" s="11"/>
      <c r="C2784" s="5"/>
      <c r="G2784" s="11"/>
      <c r="H2784" s="5"/>
      <c r="I2784" s="11"/>
      <c r="J2784" s="20"/>
      <c r="K27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5" spans="1:11" x14ac:dyDescent="0.25">
      <c r="A2785" s="11"/>
      <c r="B2785" s="11" t="s">
        <v>463</v>
      </c>
      <c r="C2785" s="5" t="s">
        <v>45</v>
      </c>
      <c r="D2785">
        <v>500</v>
      </c>
      <c r="E2785">
        <v>4</v>
      </c>
      <c r="F2785">
        <v>30</v>
      </c>
      <c r="G2785" s="11">
        <v>1</v>
      </c>
      <c r="H2785" s="5">
        <v>0.06</v>
      </c>
      <c r="I2785" s="11">
        <v>588000</v>
      </c>
      <c r="J2785" s="20">
        <v>588000</v>
      </c>
      <c r="K27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6" spans="1:11" hidden="1" x14ac:dyDescent="0.25">
      <c r="A2786" s="11"/>
      <c r="B2786" s="11"/>
      <c r="C2786" s="5"/>
      <c r="G2786" s="11"/>
      <c r="H2786" s="5"/>
      <c r="I2786" s="11"/>
      <c r="J2786" s="20"/>
      <c r="K27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7" spans="1:11" hidden="1" x14ac:dyDescent="0.25">
      <c r="A2787" s="11"/>
      <c r="B2787" s="11"/>
      <c r="C2787" s="5"/>
      <c r="G2787" s="11"/>
      <c r="H2787" s="5"/>
      <c r="I2787" s="11"/>
      <c r="J2787" s="20"/>
      <c r="K27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88" spans="1:11" x14ac:dyDescent="0.25">
      <c r="A2788" s="11" t="s">
        <v>315</v>
      </c>
      <c r="B2788" s="11" t="s">
        <v>481</v>
      </c>
      <c r="C2788" s="5" t="s">
        <v>68</v>
      </c>
      <c r="D2788">
        <v>400</v>
      </c>
      <c r="E2788">
        <v>6</v>
      </c>
      <c r="F2788">
        <v>15</v>
      </c>
      <c r="G2788" s="11">
        <v>4</v>
      </c>
      <c r="H2788" s="5">
        <v>0.14399999999999999</v>
      </c>
      <c r="I2788" s="11">
        <v>324000</v>
      </c>
      <c r="J2788" s="20">
        <v>1296000</v>
      </c>
      <c r="K27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89" spans="1:11" hidden="1" x14ac:dyDescent="0.25">
      <c r="A2789" s="11"/>
      <c r="B2789" s="11"/>
      <c r="C2789" s="5"/>
      <c r="G2789" s="11"/>
      <c r="H2789" s="5"/>
      <c r="I2789" s="11"/>
      <c r="J2789" s="20"/>
      <c r="K27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0" spans="1:11" hidden="1" x14ac:dyDescent="0.25">
      <c r="A2790" s="11"/>
      <c r="B2790" s="11"/>
      <c r="C2790" s="5"/>
      <c r="G2790" s="11"/>
      <c r="H2790" s="5"/>
      <c r="I2790" s="11"/>
      <c r="J2790" s="20"/>
      <c r="K27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1" spans="1:11" x14ac:dyDescent="0.25">
      <c r="A2791" s="11" t="s">
        <v>315</v>
      </c>
      <c r="B2791" s="11" t="s">
        <v>575</v>
      </c>
      <c r="C2791" s="5" t="s">
        <v>272</v>
      </c>
      <c r="D2791">
        <v>400</v>
      </c>
      <c r="E2791">
        <v>6</v>
      </c>
      <c r="F2791">
        <v>12</v>
      </c>
      <c r="G2791" s="11">
        <v>4</v>
      </c>
      <c r="H2791" s="5">
        <v>0.1152</v>
      </c>
      <c r="I2791" s="11">
        <v>195840</v>
      </c>
      <c r="J2791" s="20">
        <v>783360</v>
      </c>
      <c r="K27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92" spans="1:11" hidden="1" x14ac:dyDescent="0.25">
      <c r="A2792" s="11"/>
      <c r="B2792" s="11"/>
      <c r="C2792" s="5"/>
      <c r="G2792" s="11"/>
      <c r="H2792" s="5"/>
      <c r="I2792" s="11"/>
      <c r="J2792" s="20"/>
      <c r="K27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3" spans="1:11" x14ac:dyDescent="0.25">
      <c r="A2793" s="11"/>
      <c r="B2793" s="11" t="s">
        <v>462</v>
      </c>
      <c r="C2793" s="5" t="s">
        <v>44</v>
      </c>
      <c r="D2793">
        <v>400</v>
      </c>
      <c r="E2793">
        <v>6</v>
      </c>
      <c r="F2793">
        <v>15</v>
      </c>
      <c r="G2793" s="11">
        <v>4</v>
      </c>
      <c r="H2793" s="5">
        <v>0.14399999999999999</v>
      </c>
      <c r="I2793" s="11">
        <v>244800</v>
      </c>
      <c r="J2793" s="20">
        <v>979200</v>
      </c>
      <c r="K27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94" spans="1:11" hidden="1" x14ac:dyDescent="0.25">
      <c r="A2794" s="11"/>
      <c r="B2794" s="11"/>
      <c r="C2794" s="5"/>
      <c r="G2794" s="11"/>
      <c r="H2794" s="5"/>
      <c r="I2794" s="11"/>
      <c r="J2794" s="20"/>
      <c r="K27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5" spans="1:11" x14ac:dyDescent="0.25">
      <c r="A2795" s="11"/>
      <c r="B2795" s="11" t="s">
        <v>439</v>
      </c>
      <c r="C2795" s="5" t="s">
        <v>16</v>
      </c>
      <c r="D2795">
        <v>400</v>
      </c>
      <c r="E2795">
        <v>3</v>
      </c>
      <c r="F2795">
        <v>30</v>
      </c>
      <c r="G2795" s="11">
        <v>2</v>
      </c>
      <c r="H2795" s="5">
        <v>7.1999999999999995E-2</v>
      </c>
      <c r="I2795" s="11">
        <v>352800</v>
      </c>
      <c r="J2795" s="20">
        <v>705600</v>
      </c>
      <c r="K27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6" spans="1:11" hidden="1" x14ac:dyDescent="0.25">
      <c r="A2796" s="11"/>
      <c r="B2796" s="11"/>
      <c r="C2796" s="5"/>
      <c r="G2796" s="11"/>
      <c r="H2796" s="5"/>
      <c r="I2796" s="11"/>
      <c r="J2796" s="20"/>
      <c r="K27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7" spans="1:11" x14ac:dyDescent="0.25">
      <c r="A2797" s="11"/>
      <c r="B2797" s="11" t="s">
        <v>481</v>
      </c>
      <c r="C2797" s="5" t="s">
        <v>68</v>
      </c>
      <c r="D2797">
        <v>400</v>
      </c>
      <c r="E2797">
        <v>6</v>
      </c>
      <c r="F2797">
        <v>15</v>
      </c>
      <c r="G2797" s="11">
        <v>1</v>
      </c>
      <c r="H2797" s="5">
        <v>3.5999999999999997E-2</v>
      </c>
      <c r="I2797" s="11">
        <v>324000</v>
      </c>
      <c r="J2797" s="20">
        <v>324000</v>
      </c>
      <c r="K27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798" spans="1:11" hidden="1" x14ac:dyDescent="0.25">
      <c r="A2798" s="11"/>
      <c r="B2798" s="11"/>
      <c r="C2798" s="5"/>
      <c r="G2798" s="11"/>
      <c r="H2798" s="5"/>
      <c r="I2798" s="11"/>
      <c r="J2798" s="20"/>
      <c r="K27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799" spans="1:11" hidden="1" x14ac:dyDescent="0.25">
      <c r="A2799" s="11"/>
      <c r="B2799" s="11"/>
      <c r="C2799" s="5"/>
      <c r="G2799" s="11"/>
      <c r="H2799" s="5"/>
      <c r="I2799" s="11"/>
      <c r="J2799" s="20"/>
      <c r="K27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0" spans="1:11" x14ac:dyDescent="0.25">
      <c r="A2800" s="11" t="s">
        <v>315</v>
      </c>
      <c r="B2800" s="11" t="s">
        <v>456</v>
      </c>
      <c r="C2800" s="5" t="s">
        <v>37</v>
      </c>
      <c r="D2800">
        <v>250</v>
      </c>
      <c r="E2800">
        <v>4</v>
      </c>
      <c r="F2800">
        <v>25</v>
      </c>
      <c r="G2800" s="11">
        <v>11</v>
      </c>
      <c r="H2800" s="5">
        <v>0.27500000000000002</v>
      </c>
      <c r="I2800" s="11">
        <v>547500</v>
      </c>
      <c r="J2800" s="20">
        <v>6022500</v>
      </c>
      <c r="K28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1" spans="1:11" hidden="1" x14ac:dyDescent="0.25">
      <c r="A2801" s="11"/>
      <c r="B2801" s="11"/>
      <c r="C2801" s="5"/>
      <c r="G2801" s="11"/>
      <c r="H2801" s="5"/>
      <c r="I2801" s="11"/>
      <c r="J2801" s="20"/>
      <c r="K28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2" spans="1:11" x14ac:dyDescent="0.25">
      <c r="A2802" s="11"/>
      <c r="B2802" s="11" t="s">
        <v>531</v>
      </c>
      <c r="C2802" s="5" t="s">
        <v>149</v>
      </c>
      <c r="D2802">
        <v>500</v>
      </c>
      <c r="E2802">
        <v>4</v>
      </c>
      <c r="F2802">
        <v>20</v>
      </c>
      <c r="G2802" s="11">
        <v>2</v>
      </c>
      <c r="H2802" s="5">
        <v>0.08</v>
      </c>
      <c r="I2802" s="11">
        <v>892000</v>
      </c>
      <c r="J2802" s="20">
        <v>1784000</v>
      </c>
      <c r="K28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3" spans="1:11" hidden="1" x14ac:dyDescent="0.25">
      <c r="A2803" s="11"/>
      <c r="B2803" s="11"/>
      <c r="C2803" s="5"/>
      <c r="G2803" s="11"/>
      <c r="H2803" s="5"/>
      <c r="I2803" s="11"/>
      <c r="J2803" s="20"/>
      <c r="K28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4" spans="1:11" x14ac:dyDescent="0.25">
      <c r="A2804" s="11"/>
      <c r="B2804" s="11" t="s">
        <v>540</v>
      </c>
      <c r="C2804" s="5" t="s">
        <v>166</v>
      </c>
      <c r="D2804">
        <v>250</v>
      </c>
      <c r="E2804">
        <v>4</v>
      </c>
      <c r="F2804">
        <v>20</v>
      </c>
      <c r="G2804" s="11">
        <v>8</v>
      </c>
      <c r="H2804" s="5">
        <v>0.16</v>
      </c>
      <c r="I2804" s="11">
        <v>436000</v>
      </c>
      <c r="J2804" s="20">
        <v>3488000</v>
      </c>
      <c r="K28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5" spans="1:11" hidden="1" x14ac:dyDescent="0.25">
      <c r="A2805" s="11"/>
      <c r="B2805" s="11"/>
      <c r="C2805" s="5"/>
      <c r="G2805" s="11"/>
      <c r="H2805" s="5"/>
      <c r="I2805" s="11"/>
      <c r="J2805" s="20"/>
      <c r="K28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6" spans="1:11" x14ac:dyDescent="0.25">
      <c r="A2806" s="11"/>
      <c r="B2806" s="11" t="s">
        <v>488</v>
      </c>
      <c r="C2806" s="5" t="s">
        <v>78</v>
      </c>
      <c r="D2806">
        <v>300</v>
      </c>
      <c r="E2806">
        <v>4</v>
      </c>
      <c r="F2806">
        <v>20</v>
      </c>
      <c r="G2806" s="11">
        <v>5</v>
      </c>
      <c r="H2806" s="5">
        <v>0.12</v>
      </c>
      <c r="I2806" s="11">
        <v>523200</v>
      </c>
      <c r="J2806" s="20">
        <v>2616000</v>
      </c>
      <c r="K28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7" spans="1:11" hidden="1" x14ac:dyDescent="0.25">
      <c r="A2807" s="11"/>
      <c r="B2807" s="11"/>
      <c r="C2807" s="5"/>
      <c r="G2807" s="11"/>
      <c r="H2807" s="5"/>
      <c r="I2807" s="11"/>
      <c r="J2807" s="20"/>
      <c r="K28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8" spans="1:11" hidden="1" x14ac:dyDescent="0.25">
      <c r="A2808" s="11"/>
      <c r="B2808" s="11"/>
      <c r="C2808" s="5"/>
      <c r="G2808" s="11"/>
      <c r="H2808" s="5"/>
      <c r="I2808" s="11"/>
      <c r="J2808" s="20"/>
      <c r="K28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09" spans="1:11" x14ac:dyDescent="0.25">
      <c r="A2809" s="11" t="s">
        <v>316</v>
      </c>
      <c r="B2809" s="11" t="s">
        <v>433</v>
      </c>
      <c r="C2809" s="5" t="s">
        <v>9</v>
      </c>
      <c r="D2809">
        <v>400</v>
      </c>
      <c r="E2809">
        <v>4</v>
      </c>
      <c r="F2809">
        <v>20</v>
      </c>
      <c r="G2809" s="11">
        <v>4</v>
      </c>
      <c r="H2809" s="5">
        <v>0.128</v>
      </c>
      <c r="I2809" s="11">
        <v>304000</v>
      </c>
      <c r="J2809" s="20">
        <v>1216000</v>
      </c>
      <c r="K28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0" spans="1:11" hidden="1" x14ac:dyDescent="0.25">
      <c r="A2810" s="11"/>
      <c r="B2810" s="11"/>
      <c r="C2810" s="5"/>
      <c r="G2810" s="11"/>
      <c r="H2810" s="5"/>
      <c r="I2810" s="11"/>
      <c r="J2810" s="20"/>
      <c r="K28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1" spans="1:11" x14ac:dyDescent="0.25">
      <c r="A2811" s="11"/>
      <c r="B2811" s="11" t="s">
        <v>434</v>
      </c>
      <c r="C2811" s="5" t="s">
        <v>10</v>
      </c>
      <c r="D2811">
        <v>400</v>
      </c>
      <c r="E2811">
        <v>4</v>
      </c>
      <c r="F2811">
        <v>30</v>
      </c>
      <c r="G2811" s="11">
        <v>1</v>
      </c>
      <c r="H2811" s="5">
        <v>4.8000000000000001E-2</v>
      </c>
      <c r="I2811" s="11">
        <v>470400</v>
      </c>
      <c r="J2811" s="20">
        <v>470400</v>
      </c>
      <c r="K28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2" spans="1:11" hidden="1" x14ac:dyDescent="0.25">
      <c r="A2812" s="11"/>
      <c r="B2812" s="11"/>
      <c r="C2812" s="5"/>
      <c r="G2812" s="11"/>
      <c r="H2812" s="5"/>
      <c r="I2812" s="11"/>
      <c r="J2812" s="20"/>
      <c r="K28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3" spans="1:11" hidden="1" x14ac:dyDescent="0.25">
      <c r="A2813" s="11"/>
      <c r="B2813" s="11"/>
      <c r="C2813" s="5"/>
      <c r="G2813" s="11"/>
      <c r="H2813" s="5"/>
      <c r="I2813" s="11"/>
      <c r="J2813" s="20"/>
      <c r="K28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4" spans="1:11" x14ac:dyDescent="0.25">
      <c r="A2814" s="11" t="s">
        <v>316</v>
      </c>
      <c r="B2814" s="11" t="s">
        <v>564</v>
      </c>
      <c r="C2814" s="5" t="s">
        <v>233</v>
      </c>
      <c r="D2814">
        <v>400</v>
      </c>
      <c r="E2814">
        <v>4</v>
      </c>
      <c r="F2814">
        <v>25</v>
      </c>
      <c r="G2814" s="11">
        <v>1</v>
      </c>
      <c r="H2814" s="5">
        <v>0.04</v>
      </c>
      <c r="I2814" s="11">
        <v>312000</v>
      </c>
      <c r="J2814" s="20">
        <v>312000</v>
      </c>
      <c r="K28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5" spans="1:11" hidden="1" x14ac:dyDescent="0.25">
      <c r="A2815" s="11"/>
      <c r="B2815" s="11"/>
      <c r="C2815" s="5"/>
      <c r="G2815" s="11"/>
      <c r="H2815" s="5"/>
      <c r="I2815" s="11"/>
      <c r="J2815" s="20"/>
      <c r="K28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6" spans="1:11" hidden="1" x14ac:dyDescent="0.25">
      <c r="A2816" s="11"/>
      <c r="B2816" s="11"/>
      <c r="C2816" s="5"/>
      <c r="G2816" s="11"/>
      <c r="H2816" s="5"/>
      <c r="I2816" s="11"/>
      <c r="J2816" s="20"/>
      <c r="K28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7" spans="1:11" x14ac:dyDescent="0.25">
      <c r="A2817" s="11" t="s">
        <v>317</v>
      </c>
      <c r="B2817" s="11" t="s">
        <v>547</v>
      </c>
      <c r="C2817" s="5" t="s">
        <v>182</v>
      </c>
      <c r="D2817">
        <v>120</v>
      </c>
      <c r="E2817">
        <v>6</v>
      </c>
      <c r="F2817">
        <v>15</v>
      </c>
      <c r="G2817" s="11">
        <v>5</v>
      </c>
      <c r="H2817" s="5">
        <v>5.3999999999999999E-2</v>
      </c>
      <c r="I2817" s="11">
        <v>199260</v>
      </c>
      <c r="J2817" s="20">
        <v>996300</v>
      </c>
      <c r="K28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18" spans="1:11" hidden="1" x14ac:dyDescent="0.25">
      <c r="A2818" s="11"/>
      <c r="B2818" s="11"/>
      <c r="C2818" s="5"/>
      <c r="G2818" s="11"/>
      <c r="H2818" s="5"/>
      <c r="I2818" s="11"/>
      <c r="J2818" s="20"/>
      <c r="K28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19" spans="1:11" x14ac:dyDescent="0.25">
      <c r="A2819" s="11"/>
      <c r="B2819" s="11" t="s">
        <v>546</v>
      </c>
      <c r="C2819" s="5" t="s">
        <v>180</v>
      </c>
      <c r="D2819">
        <v>130</v>
      </c>
      <c r="E2819">
        <v>6</v>
      </c>
      <c r="F2819">
        <v>15</v>
      </c>
      <c r="G2819" s="11">
        <v>5</v>
      </c>
      <c r="H2819" s="5">
        <v>5.8500000000000003E-2</v>
      </c>
      <c r="I2819" s="11">
        <v>215865</v>
      </c>
      <c r="J2819" s="20">
        <v>1079325</v>
      </c>
      <c r="K28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20" spans="1:11" hidden="1" x14ac:dyDescent="0.25">
      <c r="A2820" s="11"/>
      <c r="B2820" s="11"/>
      <c r="C2820" s="5"/>
      <c r="G2820" s="11"/>
      <c r="H2820" s="5"/>
      <c r="I2820" s="11"/>
      <c r="J2820" s="20"/>
      <c r="K28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21" spans="1:11" x14ac:dyDescent="0.25">
      <c r="A2821" s="11"/>
      <c r="B2821" s="11" t="s">
        <v>485</v>
      </c>
      <c r="C2821" s="5" t="s">
        <v>74</v>
      </c>
      <c r="D2821">
        <v>150</v>
      </c>
      <c r="E2821">
        <v>6</v>
      </c>
      <c r="F2821">
        <v>15</v>
      </c>
      <c r="G2821" s="11">
        <v>10</v>
      </c>
      <c r="H2821" s="5">
        <v>0.13500000000000001</v>
      </c>
      <c r="I2821" s="11">
        <v>249075</v>
      </c>
      <c r="J2821" s="20">
        <v>2490750</v>
      </c>
      <c r="K28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22" spans="1:11" hidden="1" x14ac:dyDescent="0.25">
      <c r="A2822" s="11"/>
      <c r="B2822" s="11"/>
      <c r="C2822" s="5"/>
      <c r="G2822" s="11"/>
      <c r="H2822" s="5"/>
      <c r="I2822" s="11"/>
      <c r="J2822" s="20"/>
      <c r="K28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23" spans="1:11" x14ac:dyDescent="0.25">
      <c r="A2823" s="11"/>
      <c r="B2823" s="11" t="s">
        <v>522</v>
      </c>
      <c r="C2823" s="5" t="s">
        <v>131</v>
      </c>
      <c r="D2823">
        <v>200</v>
      </c>
      <c r="E2823">
        <v>6</v>
      </c>
      <c r="F2823">
        <v>15</v>
      </c>
      <c r="G2823" s="11">
        <v>2</v>
      </c>
      <c r="H2823" s="5">
        <v>3.5999999999999997E-2</v>
      </c>
      <c r="I2823" s="11">
        <v>357300</v>
      </c>
      <c r="J2823" s="20">
        <v>714600</v>
      </c>
      <c r="K28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24" spans="1:11" hidden="1" x14ac:dyDescent="0.25">
      <c r="A2824" s="11"/>
      <c r="B2824" s="11"/>
      <c r="C2824" s="5"/>
      <c r="G2824" s="11"/>
      <c r="H2824" s="5"/>
      <c r="I2824" s="11"/>
      <c r="J2824" s="20"/>
      <c r="K28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25" spans="1:11" x14ac:dyDescent="0.25">
      <c r="A2825" s="11"/>
      <c r="B2825" s="11" t="s">
        <v>458</v>
      </c>
      <c r="C2825" s="5" t="s">
        <v>39</v>
      </c>
      <c r="D2825">
        <v>220</v>
      </c>
      <c r="E2825">
        <v>6</v>
      </c>
      <c r="F2825">
        <v>15</v>
      </c>
      <c r="G2825" s="11">
        <v>20</v>
      </c>
      <c r="H2825" s="5">
        <v>0.39600000000000002</v>
      </c>
      <c r="I2825" s="11">
        <v>393030</v>
      </c>
      <c r="J2825" s="20">
        <v>7860600</v>
      </c>
      <c r="K28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26" spans="1:11" hidden="1" x14ac:dyDescent="0.25">
      <c r="A2826" s="11"/>
      <c r="B2826" s="11"/>
      <c r="C2826" s="5"/>
      <c r="G2826" s="11"/>
      <c r="H2826" s="5"/>
      <c r="I2826" s="11"/>
      <c r="J2826" s="20"/>
      <c r="K28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27" spans="1:11" x14ac:dyDescent="0.25">
      <c r="A2827" s="11"/>
      <c r="B2827" s="11" t="s">
        <v>585</v>
      </c>
      <c r="C2827" s="5" t="s">
        <v>318</v>
      </c>
      <c r="D2827">
        <v>350</v>
      </c>
      <c r="E2827">
        <v>6</v>
      </c>
      <c r="F2827">
        <v>15</v>
      </c>
      <c r="G2827" s="11">
        <v>1</v>
      </c>
      <c r="H2827" s="5">
        <v>3.15E-2</v>
      </c>
      <c r="I2827" s="11">
        <v>628425</v>
      </c>
      <c r="J2827" s="20">
        <v>628425</v>
      </c>
      <c r="K28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28" spans="1:11" hidden="1" x14ac:dyDescent="0.25">
      <c r="A2828" s="11"/>
      <c r="B2828" s="11"/>
      <c r="C2828" s="5"/>
      <c r="G2828" s="11"/>
      <c r="H2828" s="5"/>
      <c r="I2828" s="11"/>
      <c r="J2828" s="20"/>
      <c r="K28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29" spans="1:11" hidden="1" x14ac:dyDescent="0.25">
      <c r="A2829" s="11"/>
      <c r="B2829" s="11"/>
      <c r="C2829" s="5"/>
      <c r="G2829" s="11"/>
      <c r="H2829" s="5"/>
      <c r="I2829" s="11"/>
      <c r="J2829" s="20"/>
      <c r="K28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0" spans="1:11" x14ac:dyDescent="0.25">
      <c r="A2830" s="11" t="s">
        <v>317</v>
      </c>
      <c r="B2830" s="11" t="s">
        <v>433</v>
      </c>
      <c r="C2830" s="5" t="s">
        <v>9</v>
      </c>
      <c r="D2830">
        <v>400</v>
      </c>
      <c r="E2830">
        <v>4</v>
      </c>
      <c r="F2830">
        <v>20</v>
      </c>
      <c r="G2830" s="11">
        <v>3</v>
      </c>
      <c r="H2830" s="5">
        <v>9.6000000000000002E-2</v>
      </c>
      <c r="I2830" s="11">
        <v>304000</v>
      </c>
      <c r="J2830" s="20">
        <v>912000</v>
      </c>
      <c r="K28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1" spans="1:11" hidden="1" x14ac:dyDescent="0.25">
      <c r="A2831" s="11"/>
      <c r="B2831" s="11"/>
      <c r="C2831" s="5"/>
      <c r="G2831" s="11"/>
      <c r="H2831" s="5"/>
      <c r="I2831" s="11"/>
      <c r="J2831" s="20"/>
      <c r="K28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2" spans="1:11" x14ac:dyDescent="0.25">
      <c r="A2832" s="11"/>
      <c r="B2832" s="11" t="s">
        <v>481</v>
      </c>
      <c r="C2832" s="5" t="s">
        <v>68</v>
      </c>
      <c r="D2832">
        <v>400</v>
      </c>
      <c r="E2832">
        <v>6</v>
      </c>
      <c r="F2832">
        <v>15</v>
      </c>
      <c r="G2832" s="11">
        <v>4</v>
      </c>
      <c r="H2832" s="5">
        <v>0.14399999999999999</v>
      </c>
      <c r="I2832" s="11">
        <v>324000</v>
      </c>
      <c r="J2832" s="20">
        <v>1296000</v>
      </c>
      <c r="K28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33" spans="1:11" hidden="1" x14ac:dyDescent="0.25">
      <c r="A2833" s="11"/>
      <c r="B2833" s="11"/>
      <c r="C2833" s="5"/>
      <c r="G2833" s="11"/>
      <c r="H2833" s="5"/>
      <c r="I2833" s="11"/>
      <c r="J2833" s="20"/>
      <c r="K28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4" spans="1:11" hidden="1" x14ac:dyDescent="0.25">
      <c r="A2834" s="11"/>
      <c r="B2834" s="11"/>
      <c r="C2834" s="5"/>
      <c r="G2834" s="11"/>
      <c r="H2834" s="5"/>
      <c r="I2834" s="11"/>
      <c r="J2834" s="20"/>
      <c r="K28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5" spans="1:11" x14ac:dyDescent="0.25">
      <c r="A2835" s="11" t="s">
        <v>319</v>
      </c>
      <c r="B2835" s="11" t="s">
        <v>504</v>
      </c>
      <c r="C2835" s="5" t="s">
        <v>100</v>
      </c>
      <c r="D2835">
        <v>250</v>
      </c>
      <c r="E2835">
        <v>6</v>
      </c>
      <c r="F2835">
        <v>15</v>
      </c>
      <c r="G2835" s="11">
        <v>2</v>
      </c>
      <c r="H2835" s="5">
        <v>4.4999999999999998E-2</v>
      </c>
      <c r="I2835" s="11">
        <v>463500</v>
      </c>
      <c r="J2835" s="20">
        <v>927000</v>
      </c>
      <c r="K28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36" spans="1:11" hidden="1" x14ac:dyDescent="0.25">
      <c r="A2836" s="11"/>
      <c r="B2836" s="11"/>
      <c r="C2836" s="5"/>
      <c r="G2836" s="11"/>
      <c r="H2836" s="5"/>
      <c r="I2836" s="11"/>
      <c r="J2836" s="20"/>
      <c r="K28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7" spans="1:11" x14ac:dyDescent="0.25">
      <c r="A2837" s="11"/>
      <c r="B2837" s="11" t="s">
        <v>439</v>
      </c>
      <c r="C2837" s="5" t="s">
        <v>16</v>
      </c>
      <c r="D2837">
        <v>400</v>
      </c>
      <c r="E2837">
        <v>3</v>
      </c>
      <c r="F2837">
        <v>30</v>
      </c>
      <c r="G2837" s="11">
        <v>2</v>
      </c>
      <c r="H2837" s="5">
        <v>7.1999999999999995E-2</v>
      </c>
      <c r="I2837" s="11">
        <v>352800</v>
      </c>
      <c r="J2837" s="20">
        <v>705600</v>
      </c>
      <c r="K28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8" spans="1:11" hidden="1" x14ac:dyDescent="0.25">
      <c r="A2838" s="11"/>
      <c r="B2838" s="11"/>
      <c r="C2838" s="5"/>
      <c r="G2838" s="11"/>
      <c r="H2838" s="5"/>
      <c r="I2838" s="11"/>
      <c r="J2838" s="20"/>
      <c r="K28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39" spans="1:11" x14ac:dyDescent="0.25">
      <c r="A2839" s="11"/>
      <c r="B2839" s="11" t="s">
        <v>440</v>
      </c>
      <c r="C2839" s="5" t="s">
        <v>17</v>
      </c>
      <c r="D2839">
        <v>500</v>
      </c>
      <c r="E2839">
        <v>4</v>
      </c>
      <c r="F2839">
        <v>25</v>
      </c>
      <c r="G2839" s="11">
        <v>1</v>
      </c>
      <c r="H2839" s="5">
        <v>0.05</v>
      </c>
      <c r="I2839" s="11">
        <v>480000</v>
      </c>
      <c r="J2839" s="20">
        <v>480000</v>
      </c>
      <c r="K28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0" spans="1:11" hidden="1" x14ac:dyDescent="0.25">
      <c r="A2840" s="11"/>
      <c r="B2840" s="11"/>
      <c r="C2840" s="5"/>
      <c r="G2840" s="11"/>
      <c r="H2840" s="5"/>
      <c r="I2840" s="11"/>
      <c r="J2840" s="20"/>
      <c r="K28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1" spans="1:11" hidden="1" x14ac:dyDescent="0.25">
      <c r="A2841" s="11"/>
      <c r="B2841" s="11"/>
      <c r="C2841" s="5"/>
      <c r="G2841" s="11"/>
      <c r="H2841" s="5"/>
      <c r="I2841" s="11"/>
      <c r="J2841" s="20"/>
      <c r="K28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2" spans="1:11" x14ac:dyDescent="0.25">
      <c r="A2842" s="11" t="s">
        <v>319</v>
      </c>
      <c r="B2842" s="11" t="s">
        <v>493</v>
      </c>
      <c r="C2842" s="5" t="s">
        <v>86</v>
      </c>
      <c r="D2842">
        <v>300</v>
      </c>
      <c r="E2842">
        <v>4</v>
      </c>
      <c r="F2842">
        <v>25</v>
      </c>
      <c r="G2842" s="11">
        <v>10</v>
      </c>
      <c r="H2842" s="5">
        <v>0.3</v>
      </c>
      <c r="I2842" s="11">
        <v>288000</v>
      </c>
      <c r="J2842" s="20">
        <v>2880000</v>
      </c>
      <c r="K28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3" spans="1:11" hidden="1" x14ac:dyDescent="0.25">
      <c r="A2843" s="11"/>
      <c r="B2843" s="11"/>
      <c r="C2843" s="5"/>
      <c r="G2843" s="11"/>
      <c r="H2843" s="5"/>
      <c r="I2843" s="11"/>
      <c r="J2843" s="20"/>
      <c r="K28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4" spans="1:11" x14ac:dyDescent="0.25">
      <c r="A2844" s="11"/>
      <c r="B2844" s="11" t="s">
        <v>438</v>
      </c>
      <c r="C2844" s="5" t="s">
        <v>15</v>
      </c>
      <c r="D2844">
        <v>400</v>
      </c>
      <c r="E2844">
        <v>3</v>
      </c>
      <c r="F2844">
        <v>25</v>
      </c>
      <c r="G2844" s="11">
        <v>10</v>
      </c>
      <c r="H2844" s="5">
        <v>0.3</v>
      </c>
      <c r="I2844" s="11">
        <v>288000</v>
      </c>
      <c r="J2844" s="20">
        <v>2880000</v>
      </c>
      <c r="K28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5" spans="1:11" hidden="1" x14ac:dyDescent="0.25">
      <c r="A2845" s="11"/>
      <c r="B2845" s="11"/>
      <c r="C2845" s="5"/>
      <c r="G2845" s="11"/>
      <c r="H2845" s="5"/>
      <c r="I2845" s="11"/>
      <c r="J2845" s="20"/>
      <c r="K28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6" spans="1:11" x14ac:dyDescent="0.25">
      <c r="A2846" s="11"/>
      <c r="B2846" s="11" t="s">
        <v>439</v>
      </c>
      <c r="C2846" s="5" t="s">
        <v>16</v>
      </c>
      <c r="D2846">
        <v>400</v>
      </c>
      <c r="E2846">
        <v>3</v>
      </c>
      <c r="F2846">
        <v>30</v>
      </c>
      <c r="G2846" s="11">
        <v>4</v>
      </c>
      <c r="H2846" s="5">
        <v>0.14399999999999999</v>
      </c>
      <c r="I2846" s="11">
        <v>352800</v>
      </c>
      <c r="J2846" s="20">
        <v>1411200</v>
      </c>
      <c r="K28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7" spans="1:11" hidden="1" x14ac:dyDescent="0.25">
      <c r="A2847" s="11"/>
      <c r="B2847" s="11"/>
      <c r="C2847" s="5"/>
      <c r="G2847" s="11"/>
      <c r="H2847" s="5"/>
      <c r="I2847" s="11"/>
      <c r="J2847" s="20"/>
      <c r="K28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8" spans="1:11" hidden="1" x14ac:dyDescent="0.25">
      <c r="A2848" s="11"/>
      <c r="B2848" s="11"/>
      <c r="C2848" s="5"/>
      <c r="G2848" s="11"/>
      <c r="H2848" s="5"/>
      <c r="I2848" s="11"/>
      <c r="J2848" s="20"/>
      <c r="K28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49" spans="1:11" x14ac:dyDescent="0.25">
      <c r="A2849" s="11" t="s">
        <v>319</v>
      </c>
      <c r="B2849" s="11" t="s">
        <v>439</v>
      </c>
      <c r="C2849" s="5" t="s">
        <v>16</v>
      </c>
      <c r="D2849">
        <v>400</v>
      </c>
      <c r="E2849">
        <v>3</v>
      </c>
      <c r="F2849">
        <v>30</v>
      </c>
      <c r="G2849" s="11">
        <v>2</v>
      </c>
      <c r="H2849" s="5">
        <v>7.1999999999999995E-2</v>
      </c>
      <c r="I2849" s="11">
        <v>352800</v>
      </c>
      <c r="J2849" s="20">
        <v>705600</v>
      </c>
      <c r="K28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0" spans="1:11" hidden="1" x14ac:dyDescent="0.25">
      <c r="A2850" s="11"/>
      <c r="B2850" s="11"/>
      <c r="C2850" s="5"/>
      <c r="G2850" s="11"/>
      <c r="H2850" s="5"/>
      <c r="I2850" s="11"/>
      <c r="J2850" s="20"/>
      <c r="K28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1" spans="1:11" x14ac:dyDescent="0.25">
      <c r="A2851" s="11"/>
      <c r="B2851" s="11" t="s">
        <v>481</v>
      </c>
      <c r="C2851" s="5" t="s">
        <v>68</v>
      </c>
      <c r="D2851">
        <v>400</v>
      </c>
      <c r="E2851">
        <v>6</v>
      </c>
      <c r="F2851">
        <v>15</v>
      </c>
      <c r="G2851" s="11">
        <v>6</v>
      </c>
      <c r="H2851" s="5">
        <v>0.216</v>
      </c>
      <c r="I2851" s="11">
        <v>324000</v>
      </c>
      <c r="J2851" s="20">
        <v>1944000</v>
      </c>
      <c r="K28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52" spans="1:11" hidden="1" x14ac:dyDescent="0.25">
      <c r="A2852" s="11"/>
      <c r="B2852" s="11"/>
      <c r="C2852" s="5"/>
      <c r="G2852" s="11"/>
      <c r="H2852" s="5"/>
      <c r="I2852" s="11"/>
      <c r="J2852" s="20"/>
      <c r="K28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3" spans="1:11" hidden="1" x14ac:dyDescent="0.25">
      <c r="A2853" s="11"/>
      <c r="B2853" s="11"/>
      <c r="C2853" s="5"/>
      <c r="G2853" s="11"/>
      <c r="H2853" s="5"/>
      <c r="I2853" s="11"/>
      <c r="J2853" s="20"/>
      <c r="K28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4" spans="1:11" x14ac:dyDescent="0.25">
      <c r="A2854" s="11" t="s">
        <v>320</v>
      </c>
      <c r="B2854" s="11" t="s">
        <v>456</v>
      </c>
      <c r="C2854" s="5" t="s">
        <v>37</v>
      </c>
      <c r="D2854">
        <v>250</v>
      </c>
      <c r="E2854">
        <v>4</v>
      </c>
      <c r="F2854">
        <v>25</v>
      </c>
      <c r="G2854" s="11">
        <v>10</v>
      </c>
      <c r="H2854" s="5">
        <v>0.25</v>
      </c>
      <c r="I2854" s="11">
        <v>547500</v>
      </c>
      <c r="J2854" s="20">
        <v>5475000</v>
      </c>
      <c r="K28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5" spans="1:11" hidden="1" x14ac:dyDescent="0.25">
      <c r="A2855" s="11"/>
      <c r="B2855" s="11"/>
      <c r="C2855" s="5"/>
      <c r="G2855" s="11"/>
      <c r="H2855" s="5"/>
      <c r="I2855" s="11"/>
      <c r="J2855" s="20"/>
      <c r="K28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6" spans="1:11" x14ac:dyDescent="0.25">
      <c r="A2856" s="11"/>
      <c r="B2856" s="11" t="s">
        <v>540</v>
      </c>
      <c r="C2856" s="5" t="s">
        <v>166</v>
      </c>
      <c r="D2856">
        <v>250</v>
      </c>
      <c r="E2856">
        <v>4</v>
      </c>
      <c r="F2856">
        <v>20</v>
      </c>
      <c r="G2856" s="11">
        <v>10</v>
      </c>
      <c r="H2856" s="5">
        <v>0.2</v>
      </c>
      <c r="I2856" s="11">
        <v>436000</v>
      </c>
      <c r="J2856" s="20">
        <v>4360000</v>
      </c>
      <c r="K28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7" spans="1:11" hidden="1" x14ac:dyDescent="0.25">
      <c r="A2857" s="11"/>
      <c r="B2857" s="11"/>
      <c r="C2857" s="5"/>
      <c r="G2857" s="11"/>
      <c r="H2857" s="5"/>
      <c r="I2857" s="11"/>
      <c r="J2857" s="20"/>
      <c r="K28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8" spans="1:11" x14ac:dyDescent="0.25">
      <c r="A2858" s="11"/>
      <c r="B2858" s="11" t="s">
        <v>482</v>
      </c>
      <c r="C2858" s="5" t="s">
        <v>69</v>
      </c>
      <c r="D2858">
        <v>400</v>
      </c>
      <c r="E2858">
        <v>2</v>
      </c>
      <c r="F2858">
        <v>20</v>
      </c>
      <c r="G2858" s="11">
        <v>1</v>
      </c>
      <c r="H2858" s="5">
        <v>1.6E-2</v>
      </c>
      <c r="I2858" s="11">
        <v>382400</v>
      </c>
      <c r="J2858" s="20">
        <v>382400</v>
      </c>
      <c r="K28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59" spans="1:11" hidden="1" x14ac:dyDescent="0.25">
      <c r="A2859" s="11"/>
      <c r="B2859" s="11"/>
      <c r="C2859" s="5"/>
      <c r="G2859" s="11"/>
      <c r="H2859" s="5"/>
      <c r="I2859" s="11"/>
      <c r="J2859" s="20"/>
      <c r="K28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0" spans="1:11" hidden="1" x14ac:dyDescent="0.25">
      <c r="A2860" s="11"/>
      <c r="B2860" s="11"/>
      <c r="C2860" s="5"/>
      <c r="G2860" s="11"/>
      <c r="H2860" s="5"/>
      <c r="I2860" s="11"/>
      <c r="J2860" s="20"/>
      <c r="K28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1" spans="1:11" x14ac:dyDescent="0.25">
      <c r="A2861" s="11" t="s">
        <v>321</v>
      </c>
      <c r="B2861" s="11" t="s">
        <v>462</v>
      </c>
      <c r="C2861" s="5" t="s">
        <v>44</v>
      </c>
      <c r="D2861">
        <v>400</v>
      </c>
      <c r="E2861">
        <v>6</v>
      </c>
      <c r="F2861">
        <v>15</v>
      </c>
      <c r="G2861" s="11">
        <v>8</v>
      </c>
      <c r="H2861" s="5">
        <v>0.28799999999999998</v>
      </c>
      <c r="I2861" s="11">
        <v>244800</v>
      </c>
      <c r="J2861" s="20">
        <v>1958400</v>
      </c>
      <c r="K28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62" spans="1:11" hidden="1" x14ac:dyDescent="0.25">
      <c r="A2862" s="11"/>
      <c r="B2862" s="11"/>
      <c r="C2862" s="5"/>
      <c r="G2862" s="11"/>
      <c r="H2862" s="5"/>
      <c r="I2862" s="11"/>
      <c r="J2862" s="20"/>
      <c r="K28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3" spans="1:11" hidden="1" x14ac:dyDescent="0.25">
      <c r="A2863" s="11"/>
      <c r="B2863" s="11"/>
      <c r="C2863" s="5"/>
      <c r="G2863" s="11"/>
      <c r="H2863" s="5"/>
      <c r="I2863" s="11"/>
      <c r="J2863" s="20"/>
      <c r="K28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4" spans="1:11" x14ac:dyDescent="0.25">
      <c r="A2864" s="11" t="s">
        <v>321</v>
      </c>
      <c r="B2864" s="11" t="s">
        <v>439</v>
      </c>
      <c r="C2864" s="5" t="s">
        <v>16</v>
      </c>
      <c r="D2864">
        <v>400</v>
      </c>
      <c r="E2864">
        <v>3</v>
      </c>
      <c r="F2864">
        <v>30</v>
      </c>
      <c r="G2864" s="11">
        <v>5</v>
      </c>
      <c r="H2864" s="5">
        <v>0.18</v>
      </c>
      <c r="I2864" s="11">
        <v>352800</v>
      </c>
      <c r="J2864" s="20">
        <v>1764000</v>
      </c>
      <c r="K28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5" spans="1:11" hidden="1" x14ac:dyDescent="0.25">
      <c r="A2865" s="11"/>
      <c r="B2865" s="11"/>
      <c r="C2865" s="5"/>
      <c r="G2865" s="11"/>
      <c r="H2865" s="5"/>
      <c r="I2865" s="11"/>
      <c r="J2865" s="20"/>
      <c r="K28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6" spans="1:11" x14ac:dyDescent="0.25">
      <c r="A2866" s="11"/>
      <c r="B2866" s="11" t="s">
        <v>443</v>
      </c>
      <c r="C2866" s="5" t="s">
        <v>21</v>
      </c>
      <c r="D2866">
        <v>400</v>
      </c>
      <c r="E2866">
        <v>4</v>
      </c>
      <c r="F2866">
        <v>25</v>
      </c>
      <c r="G2866" s="11">
        <v>1</v>
      </c>
      <c r="H2866" s="5">
        <v>0.04</v>
      </c>
      <c r="I2866" s="11">
        <v>384000</v>
      </c>
      <c r="J2866" s="20">
        <v>384000</v>
      </c>
      <c r="K28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7" spans="1:11" hidden="1" x14ac:dyDescent="0.25">
      <c r="A2867" s="11"/>
      <c r="B2867" s="11"/>
      <c r="C2867" s="5"/>
      <c r="G2867" s="11"/>
      <c r="H2867" s="5"/>
      <c r="I2867" s="11"/>
      <c r="J2867" s="20"/>
      <c r="K28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8" spans="1:11" x14ac:dyDescent="0.25">
      <c r="A2868" s="11"/>
      <c r="B2868" s="11" t="s">
        <v>463</v>
      </c>
      <c r="C2868" s="5" t="s">
        <v>45</v>
      </c>
      <c r="D2868">
        <v>500</v>
      </c>
      <c r="E2868">
        <v>4</v>
      </c>
      <c r="F2868">
        <v>30</v>
      </c>
      <c r="G2868" s="11">
        <v>3</v>
      </c>
      <c r="H2868" s="5">
        <v>0.18</v>
      </c>
      <c r="I2868" s="11">
        <v>588000</v>
      </c>
      <c r="J2868" s="20">
        <v>1764000</v>
      </c>
      <c r="K28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69" spans="1:11" hidden="1" x14ac:dyDescent="0.25">
      <c r="A2869" s="11"/>
      <c r="B2869" s="11"/>
      <c r="C2869" s="5"/>
      <c r="G2869" s="11"/>
      <c r="H2869" s="5"/>
      <c r="I2869" s="11"/>
      <c r="J2869" s="20"/>
      <c r="K28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0" spans="1:11" hidden="1" x14ac:dyDescent="0.25">
      <c r="A2870" s="11"/>
      <c r="B2870" s="11"/>
      <c r="C2870" s="5"/>
      <c r="G2870" s="11"/>
      <c r="H2870" s="5"/>
      <c r="I2870" s="11"/>
      <c r="J2870" s="20"/>
      <c r="K28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1" spans="1:11" x14ac:dyDescent="0.25">
      <c r="A2871" s="11" t="s">
        <v>321</v>
      </c>
      <c r="B2871" s="11" t="s">
        <v>463</v>
      </c>
      <c r="C2871" s="5" t="s">
        <v>45</v>
      </c>
      <c r="D2871">
        <v>500</v>
      </c>
      <c r="E2871">
        <v>4</v>
      </c>
      <c r="F2871">
        <v>30</v>
      </c>
      <c r="G2871" s="11">
        <v>2</v>
      </c>
      <c r="H2871" s="5">
        <v>0.12</v>
      </c>
      <c r="I2871" s="11">
        <v>588000</v>
      </c>
      <c r="J2871" s="20">
        <v>1176000</v>
      </c>
      <c r="K28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2" spans="1:11" hidden="1" x14ac:dyDescent="0.25">
      <c r="A2872" s="11"/>
      <c r="B2872" s="11"/>
      <c r="C2872" s="5"/>
      <c r="G2872" s="11"/>
      <c r="H2872" s="5"/>
      <c r="I2872" s="11"/>
      <c r="J2872" s="20"/>
      <c r="K28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3" spans="1:11" hidden="1" x14ac:dyDescent="0.25">
      <c r="A2873" s="11"/>
      <c r="B2873" s="11"/>
      <c r="C2873" s="5"/>
      <c r="G2873" s="11"/>
      <c r="H2873" s="5"/>
      <c r="I2873" s="11"/>
      <c r="J2873" s="20"/>
      <c r="K28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4" spans="1:11" x14ac:dyDescent="0.25">
      <c r="A2874" s="11" t="s">
        <v>321</v>
      </c>
      <c r="B2874" s="11" t="s">
        <v>472</v>
      </c>
      <c r="C2874" s="5" t="s">
        <v>57</v>
      </c>
      <c r="D2874">
        <v>300</v>
      </c>
      <c r="E2874">
        <v>4</v>
      </c>
      <c r="F2874">
        <v>30</v>
      </c>
      <c r="G2874" s="11">
        <v>1</v>
      </c>
      <c r="H2874" s="5">
        <v>3.5999999999999997E-2</v>
      </c>
      <c r="I2874" s="11">
        <v>806400</v>
      </c>
      <c r="J2874" s="20">
        <v>806400</v>
      </c>
      <c r="K28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5" spans="1:11" hidden="1" x14ac:dyDescent="0.25">
      <c r="A2875" s="11"/>
      <c r="B2875" s="11"/>
      <c r="C2875" s="5"/>
      <c r="G2875" s="11"/>
      <c r="H2875" s="5"/>
      <c r="I2875" s="11"/>
      <c r="J2875" s="20"/>
      <c r="K28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6" spans="1:11" x14ac:dyDescent="0.25">
      <c r="A2876" s="11"/>
      <c r="B2876" s="11" t="s">
        <v>506</v>
      </c>
      <c r="C2876" s="5" t="s">
        <v>103</v>
      </c>
      <c r="D2876">
        <v>400</v>
      </c>
      <c r="E2876">
        <v>3</v>
      </c>
      <c r="F2876">
        <v>30</v>
      </c>
      <c r="G2876" s="11">
        <v>1</v>
      </c>
      <c r="H2876" s="5">
        <v>3.5999999999999997E-2</v>
      </c>
      <c r="I2876" s="11">
        <v>806400</v>
      </c>
      <c r="J2876" s="20">
        <v>806400</v>
      </c>
      <c r="K28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7" spans="1:11" hidden="1" x14ac:dyDescent="0.25">
      <c r="A2877" s="11"/>
      <c r="B2877" s="11"/>
      <c r="C2877" s="5"/>
      <c r="G2877" s="11"/>
      <c r="H2877" s="5"/>
      <c r="I2877" s="11"/>
      <c r="J2877" s="20"/>
      <c r="K28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8" spans="1:11" hidden="1" x14ac:dyDescent="0.25">
      <c r="A2878" s="11"/>
      <c r="B2878" s="11"/>
      <c r="C2878" s="5"/>
      <c r="G2878" s="11"/>
      <c r="H2878" s="5"/>
      <c r="I2878" s="11"/>
      <c r="J2878" s="20"/>
      <c r="K28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79" spans="1:11" x14ac:dyDescent="0.25">
      <c r="A2879" s="11" t="s">
        <v>321</v>
      </c>
      <c r="B2879" s="11" t="s">
        <v>536</v>
      </c>
      <c r="C2879" s="5" t="s">
        <v>155</v>
      </c>
      <c r="D2879">
        <v>170</v>
      </c>
      <c r="E2879">
        <v>6</v>
      </c>
      <c r="F2879">
        <v>15</v>
      </c>
      <c r="G2879" s="11">
        <v>2</v>
      </c>
      <c r="H2879" s="5">
        <v>3.0599999999999999E-2</v>
      </c>
      <c r="I2879" s="11">
        <v>278460</v>
      </c>
      <c r="J2879" s="20">
        <v>556920</v>
      </c>
      <c r="K28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80" spans="1:11" hidden="1" x14ac:dyDescent="0.25">
      <c r="A2880" s="11"/>
      <c r="B2880" s="11"/>
      <c r="C2880" s="5"/>
      <c r="G2880" s="11"/>
      <c r="H2880" s="5"/>
      <c r="I2880" s="11"/>
      <c r="J2880" s="20"/>
      <c r="K28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81" spans="1:11" x14ac:dyDescent="0.25">
      <c r="A2881" s="11"/>
      <c r="B2881" s="11" t="s">
        <v>458</v>
      </c>
      <c r="C2881" s="5" t="s">
        <v>39</v>
      </c>
      <c r="D2881">
        <v>220</v>
      </c>
      <c r="E2881">
        <v>6</v>
      </c>
      <c r="F2881">
        <v>15</v>
      </c>
      <c r="G2881" s="11">
        <v>2</v>
      </c>
      <c r="H2881" s="5">
        <v>3.9600000000000003E-2</v>
      </c>
      <c r="I2881" s="11">
        <v>388080</v>
      </c>
      <c r="J2881" s="20">
        <v>776160</v>
      </c>
      <c r="K28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82" spans="1:11" hidden="1" x14ac:dyDescent="0.25">
      <c r="A2882" s="11"/>
      <c r="B2882" s="11"/>
      <c r="C2882" s="5"/>
      <c r="G2882" s="11"/>
      <c r="H2882" s="5"/>
      <c r="I2882" s="11"/>
      <c r="J2882" s="20"/>
      <c r="K28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83" spans="1:11" x14ac:dyDescent="0.25">
      <c r="A2883" s="11"/>
      <c r="B2883" s="11" t="s">
        <v>479</v>
      </c>
      <c r="C2883" s="5" t="s">
        <v>65</v>
      </c>
      <c r="D2883">
        <v>240</v>
      </c>
      <c r="E2883">
        <v>6</v>
      </c>
      <c r="F2883">
        <v>15</v>
      </c>
      <c r="G2883" s="11">
        <v>2</v>
      </c>
      <c r="H2883" s="5">
        <v>4.3200000000000002E-2</v>
      </c>
      <c r="I2883" s="11">
        <v>423360</v>
      </c>
      <c r="J2883" s="20">
        <v>846720</v>
      </c>
      <c r="K28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84" spans="1:11" hidden="1" x14ac:dyDescent="0.25">
      <c r="A2884" s="11"/>
      <c r="B2884" s="11"/>
      <c r="C2884" s="5"/>
      <c r="G2884" s="11"/>
      <c r="H2884" s="5"/>
      <c r="I2884" s="11"/>
      <c r="J2884" s="20"/>
      <c r="K28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85" spans="1:11" x14ac:dyDescent="0.25">
      <c r="A2885" s="11"/>
      <c r="B2885" s="11" t="s">
        <v>548</v>
      </c>
      <c r="C2885" s="5" t="s">
        <v>183</v>
      </c>
      <c r="D2885">
        <v>290</v>
      </c>
      <c r="E2885">
        <v>6</v>
      </c>
      <c r="F2885">
        <v>15</v>
      </c>
      <c r="G2885" s="11">
        <v>1</v>
      </c>
      <c r="H2885" s="5">
        <v>2.6100000000000002E-2</v>
      </c>
      <c r="I2885" s="11">
        <v>511560</v>
      </c>
      <c r="J2885" s="20">
        <v>511560</v>
      </c>
      <c r="K28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86" spans="1:11" hidden="1" x14ac:dyDescent="0.25">
      <c r="A2886" s="11"/>
      <c r="B2886" s="11"/>
      <c r="C2886" s="5"/>
      <c r="G2886" s="11"/>
      <c r="H2886" s="5"/>
      <c r="I2886" s="11"/>
      <c r="J2886" s="20"/>
      <c r="K28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87" spans="1:11" hidden="1" x14ac:dyDescent="0.25">
      <c r="A2887" s="11"/>
      <c r="B2887" s="11"/>
      <c r="C2887" s="5"/>
      <c r="G2887" s="11"/>
      <c r="H2887" s="5"/>
      <c r="I2887" s="11"/>
      <c r="J2887" s="20"/>
      <c r="K28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88" spans="1:11" x14ac:dyDescent="0.25">
      <c r="A2888" s="11" t="s">
        <v>322</v>
      </c>
      <c r="B2888" s="11" t="s">
        <v>433</v>
      </c>
      <c r="C2888" s="5" t="s">
        <v>9</v>
      </c>
      <c r="D2888">
        <v>400</v>
      </c>
      <c r="E2888">
        <v>4</v>
      </c>
      <c r="F2888">
        <v>20</v>
      </c>
      <c r="G2888" s="11">
        <v>6</v>
      </c>
      <c r="H2888" s="5">
        <v>0.192</v>
      </c>
      <c r="I2888" s="11">
        <v>304000</v>
      </c>
      <c r="J2888" s="20">
        <v>1824000</v>
      </c>
      <c r="K28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89" spans="1:11" hidden="1" x14ac:dyDescent="0.25">
      <c r="A2889" s="11"/>
      <c r="B2889" s="11"/>
      <c r="C2889" s="5"/>
      <c r="G2889" s="11"/>
      <c r="H2889" s="5"/>
      <c r="I2889" s="11"/>
      <c r="J2889" s="20"/>
      <c r="K28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0" spans="1:11" x14ac:dyDescent="0.25">
      <c r="A2890" s="11"/>
      <c r="B2890" s="11" t="s">
        <v>443</v>
      </c>
      <c r="C2890" s="5" t="s">
        <v>21</v>
      </c>
      <c r="D2890">
        <v>400</v>
      </c>
      <c r="E2890">
        <v>4</v>
      </c>
      <c r="F2890">
        <v>25</v>
      </c>
      <c r="G2890" s="11">
        <v>4</v>
      </c>
      <c r="H2890" s="5">
        <v>0.16</v>
      </c>
      <c r="I2890" s="11">
        <v>384000</v>
      </c>
      <c r="J2890" s="20">
        <v>1536000</v>
      </c>
      <c r="K28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1" spans="1:11" hidden="1" x14ac:dyDescent="0.25">
      <c r="A2891" s="11"/>
      <c r="B2891" s="11"/>
      <c r="C2891" s="5"/>
      <c r="G2891" s="11"/>
      <c r="H2891" s="5"/>
      <c r="I2891" s="11"/>
      <c r="J2891" s="20"/>
      <c r="K28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2" spans="1:11" hidden="1" x14ac:dyDescent="0.25">
      <c r="A2892" s="11"/>
      <c r="B2892" s="11"/>
      <c r="C2892" s="5"/>
      <c r="G2892" s="11"/>
      <c r="H2892" s="5"/>
      <c r="I2892" s="11"/>
      <c r="J2892" s="20"/>
      <c r="K28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3" spans="1:11" x14ac:dyDescent="0.25">
      <c r="A2893" s="11" t="s">
        <v>322</v>
      </c>
      <c r="B2893" s="11" t="s">
        <v>462</v>
      </c>
      <c r="C2893" s="5" t="s">
        <v>44</v>
      </c>
      <c r="D2893">
        <v>400</v>
      </c>
      <c r="E2893">
        <v>6</v>
      </c>
      <c r="F2893">
        <v>15</v>
      </c>
      <c r="G2893" s="11">
        <v>2</v>
      </c>
      <c r="H2893" s="5">
        <v>7.1999999999999995E-2</v>
      </c>
      <c r="I2893" s="11">
        <v>244800</v>
      </c>
      <c r="J2893" s="20">
        <v>489600</v>
      </c>
      <c r="K28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894" spans="1:11" hidden="1" x14ac:dyDescent="0.25">
      <c r="A2894" s="11"/>
      <c r="B2894" s="11"/>
      <c r="C2894" s="5"/>
      <c r="G2894" s="11"/>
      <c r="H2894" s="5"/>
      <c r="I2894" s="11"/>
      <c r="J2894" s="20"/>
      <c r="K28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5" spans="1:11" hidden="1" x14ac:dyDescent="0.25">
      <c r="A2895" s="11"/>
      <c r="B2895" s="11"/>
      <c r="C2895" s="5"/>
      <c r="G2895" s="11"/>
      <c r="H2895" s="5"/>
      <c r="I2895" s="11"/>
      <c r="J2895" s="20"/>
      <c r="K28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6" spans="1:11" x14ac:dyDescent="0.25">
      <c r="A2896" s="11" t="s">
        <v>322</v>
      </c>
      <c r="B2896" s="11" t="s">
        <v>586</v>
      </c>
      <c r="C2896" s="5" t="s">
        <v>323</v>
      </c>
      <c r="D2896">
        <v>400</v>
      </c>
      <c r="E2896">
        <v>3</v>
      </c>
      <c r="G2896" s="11">
        <v>12</v>
      </c>
      <c r="H2896" s="5">
        <v>0.28799999999999998</v>
      </c>
      <c r="I2896" s="11">
        <v>444000</v>
      </c>
      <c r="J2896" s="20">
        <v>5328000</v>
      </c>
      <c r="K28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7" spans="1:11" hidden="1" x14ac:dyDescent="0.25">
      <c r="A2897" s="11"/>
      <c r="B2897" s="11"/>
      <c r="C2897" s="5"/>
      <c r="G2897" s="11"/>
      <c r="H2897" s="5"/>
      <c r="I2897" s="11"/>
      <c r="J2897" s="20"/>
      <c r="K28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898" spans="1:11" x14ac:dyDescent="0.25">
      <c r="A2898" s="11"/>
      <c r="B2898" s="11" t="s">
        <v>539</v>
      </c>
      <c r="C2898" s="5" t="s">
        <v>163</v>
      </c>
      <c r="D2898">
        <v>400</v>
      </c>
      <c r="E2898">
        <v>5</v>
      </c>
      <c r="F2898">
        <v>7</v>
      </c>
      <c r="G2898" s="11">
        <v>12</v>
      </c>
      <c r="H2898" s="5">
        <v>0.16800000000000001</v>
      </c>
      <c r="I2898" s="11">
        <v>120400</v>
      </c>
      <c r="J2898" s="20">
        <v>1444800</v>
      </c>
      <c r="K28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2899" spans="1:11" hidden="1" x14ac:dyDescent="0.25">
      <c r="A2899" s="11"/>
      <c r="B2899" s="11"/>
      <c r="C2899" s="5"/>
      <c r="G2899" s="11"/>
      <c r="H2899" s="5"/>
      <c r="I2899" s="11"/>
      <c r="J2899" s="20"/>
      <c r="K28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0" spans="1:11" hidden="1" x14ac:dyDescent="0.25">
      <c r="A2900" s="11"/>
      <c r="B2900" s="11"/>
      <c r="C2900" s="5"/>
      <c r="G2900" s="11"/>
      <c r="H2900" s="5"/>
      <c r="I2900" s="11"/>
      <c r="J2900" s="20"/>
      <c r="K29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1" spans="1:11" x14ac:dyDescent="0.25">
      <c r="A2901" s="11" t="s">
        <v>324</v>
      </c>
      <c r="B2901" s="11" t="s">
        <v>439</v>
      </c>
      <c r="C2901" s="5" t="s">
        <v>16</v>
      </c>
      <c r="D2901">
        <v>400</v>
      </c>
      <c r="E2901">
        <v>3</v>
      </c>
      <c r="F2901">
        <v>30</v>
      </c>
      <c r="G2901" s="11">
        <v>1</v>
      </c>
      <c r="H2901" s="5">
        <v>3.5999999999999997E-2</v>
      </c>
      <c r="I2901" s="11">
        <v>352800</v>
      </c>
      <c r="J2901" s="20">
        <v>352800</v>
      </c>
      <c r="K29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2" spans="1:11" hidden="1" x14ac:dyDescent="0.25">
      <c r="A2902" s="11"/>
      <c r="B2902" s="11"/>
      <c r="C2902" s="5"/>
      <c r="G2902" s="11"/>
      <c r="H2902" s="5"/>
      <c r="I2902" s="11"/>
      <c r="J2902" s="20"/>
      <c r="K29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3" spans="1:11" x14ac:dyDescent="0.25">
      <c r="A2903" s="11"/>
      <c r="B2903" s="11" t="s">
        <v>443</v>
      </c>
      <c r="C2903" s="5" t="s">
        <v>21</v>
      </c>
      <c r="D2903">
        <v>400</v>
      </c>
      <c r="E2903">
        <v>4</v>
      </c>
      <c r="F2903">
        <v>25</v>
      </c>
      <c r="G2903" s="11">
        <v>1</v>
      </c>
      <c r="H2903" s="5">
        <v>0.04</v>
      </c>
      <c r="I2903" s="11">
        <v>384000</v>
      </c>
      <c r="J2903" s="20">
        <v>384000</v>
      </c>
      <c r="K29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4" spans="1:11" hidden="1" x14ac:dyDescent="0.25">
      <c r="A2904" s="11"/>
      <c r="B2904" s="11"/>
      <c r="C2904" s="5"/>
      <c r="G2904" s="11"/>
      <c r="H2904" s="5"/>
      <c r="I2904" s="11"/>
      <c r="J2904" s="20"/>
      <c r="K29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5" spans="1:11" x14ac:dyDescent="0.25">
      <c r="A2905" s="11"/>
      <c r="B2905" s="11" t="s">
        <v>435</v>
      </c>
      <c r="C2905" s="5" t="s">
        <v>11</v>
      </c>
      <c r="D2905">
        <v>400</v>
      </c>
      <c r="E2905">
        <v>6</v>
      </c>
      <c r="F2905">
        <v>12</v>
      </c>
      <c r="G2905" s="11">
        <v>8</v>
      </c>
      <c r="H2905" s="5">
        <v>0.23039999999999999</v>
      </c>
      <c r="I2905" s="11">
        <v>259200</v>
      </c>
      <c r="J2905" s="20">
        <v>2073600</v>
      </c>
      <c r="K29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06" spans="1:11" hidden="1" x14ac:dyDescent="0.25">
      <c r="A2906" s="11"/>
      <c r="B2906" s="11"/>
      <c r="C2906" s="5"/>
      <c r="G2906" s="11"/>
      <c r="H2906" s="5"/>
      <c r="I2906" s="11"/>
      <c r="J2906" s="20"/>
      <c r="K29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7" spans="1:11" x14ac:dyDescent="0.25">
      <c r="A2907" s="11"/>
      <c r="B2907" s="11" t="s">
        <v>481</v>
      </c>
      <c r="C2907" s="5" t="s">
        <v>68</v>
      </c>
      <c r="D2907">
        <v>400</v>
      </c>
      <c r="E2907">
        <v>6</v>
      </c>
      <c r="F2907">
        <v>15</v>
      </c>
      <c r="G2907" s="11">
        <v>4</v>
      </c>
      <c r="H2907" s="5">
        <v>0.14399999999999999</v>
      </c>
      <c r="I2907" s="11">
        <v>324000</v>
      </c>
      <c r="J2907" s="20">
        <v>1296000</v>
      </c>
      <c r="K29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08" spans="1:11" hidden="1" x14ac:dyDescent="0.25">
      <c r="A2908" s="11"/>
      <c r="B2908" s="11"/>
      <c r="C2908" s="5"/>
      <c r="G2908" s="11"/>
      <c r="H2908" s="5"/>
      <c r="I2908" s="11"/>
      <c r="J2908" s="20"/>
      <c r="K29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09" spans="1:11" x14ac:dyDescent="0.25">
      <c r="A2909" s="11"/>
      <c r="B2909" s="11" t="s">
        <v>491</v>
      </c>
      <c r="C2909" s="5" t="s">
        <v>83</v>
      </c>
      <c r="D2909">
        <v>450</v>
      </c>
      <c r="E2909">
        <v>6</v>
      </c>
      <c r="F2909">
        <v>15</v>
      </c>
      <c r="G2909" s="11">
        <v>3</v>
      </c>
      <c r="H2909" s="5">
        <v>0.1215</v>
      </c>
      <c r="I2909" s="11">
        <v>384750</v>
      </c>
      <c r="J2909" s="20">
        <v>1154250</v>
      </c>
      <c r="K29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10" spans="1:11" hidden="1" x14ac:dyDescent="0.25">
      <c r="A2910" s="11"/>
      <c r="B2910" s="11"/>
      <c r="C2910" s="5"/>
      <c r="G2910" s="11"/>
      <c r="H2910" s="5"/>
      <c r="I2910" s="11"/>
      <c r="J2910" s="20"/>
      <c r="K29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11" spans="1:11" hidden="1" x14ac:dyDescent="0.25">
      <c r="A2911" s="11"/>
      <c r="B2911" s="11"/>
      <c r="C2911" s="5"/>
      <c r="G2911" s="11"/>
      <c r="H2911" s="5"/>
      <c r="I2911" s="11"/>
      <c r="J2911" s="20"/>
      <c r="K29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12" spans="1:11" x14ac:dyDescent="0.25">
      <c r="A2912" s="11" t="s">
        <v>324</v>
      </c>
      <c r="B2912" s="11" t="s">
        <v>462</v>
      </c>
      <c r="C2912" s="5" t="s">
        <v>44</v>
      </c>
      <c r="D2912">
        <v>400</v>
      </c>
      <c r="E2912">
        <v>6</v>
      </c>
      <c r="F2912">
        <v>15</v>
      </c>
      <c r="G2912" s="11">
        <v>3</v>
      </c>
      <c r="H2912" s="5">
        <v>0.108</v>
      </c>
      <c r="I2912" s="11">
        <v>244800</v>
      </c>
      <c r="J2912" s="20">
        <v>734400</v>
      </c>
      <c r="K29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13" spans="1:11" hidden="1" x14ac:dyDescent="0.25">
      <c r="A2913" s="11"/>
      <c r="B2913" s="11"/>
      <c r="C2913" s="5"/>
      <c r="G2913" s="11"/>
      <c r="H2913" s="5"/>
      <c r="I2913" s="11"/>
      <c r="J2913" s="20"/>
      <c r="K29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14" spans="1:11" hidden="1" x14ac:dyDescent="0.25">
      <c r="A2914" s="11"/>
      <c r="B2914" s="11"/>
      <c r="C2914" s="5"/>
      <c r="G2914" s="11"/>
      <c r="H2914" s="5"/>
      <c r="I2914" s="11"/>
      <c r="J2914" s="20"/>
      <c r="K29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15" spans="1:11" x14ac:dyDescent="0.25">
      <c r="A2915" s="11" t="s">
        <v>325</v>
      </c>
      <c r="B2915" s="11" t="s">
        <v>451</v>
      </c>
      <c r="C2915" s="5" t="s">
        <v>30</v>
      </c>
      <c r="D2915">
        <v>90</v>
      </c>
      <c r="E2915">
        <v>6</v>
      </c>
      <c r="F2915">
        <v>15</v>
      </c>
      <c r="G2915" s="11">
        <v>1</v>
      </c>
      <c r="H2915" s="5">
        <v>8.0999999999999996E-3</v>
      </c>
      <c r="I2915" s="11">
        <v>147420</v>
      </c>
      <c r="J2915" s="20">
        <v>147420</v>
      </c>
      <c r="K29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16" spans="1:11" hidden="1" x14ac:dyDescent="0.25">
      <c r="A2916" s="11"/>
      <c r="B2916" s="11"/>
      <c r="C2916" s="5"/>
      <c r="G2916" s="11"/>
      <c r="H2916" s="5"/>
      <c r="I2916" s="11"/>
      <c r="J2916" s="20"/>
      <c r="K29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17" spans="1:11" hidden="1" x14ac:dyDescent="0.25">
      <c r="A2917" s="11"/>
      <c r="B2917" s="11"/>
      <c r="C2917" s="5"/>
      <c r="G2917" s="11"/>
      <c r="H2917" s="5"/>
      <c r="I2917" s="11"/>
      <c r="J2917" s="20"/>
      <c r="K29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18" spans="1:11" x14ac:dyDescent="0.25">
      <c r="A2918" s="11" t="s">
        <v>325</v>
      </c>
      <c r="B2918" s="11" t="s">
        <v>490</v>
      </c>
      <c r="C2918" s="5" t="s">
        <v>82</v>
      </c>
      <c r="D2918">
        <v>250</v>
      </c>
      <c r="E2918">
        <v>6</v>
      </c>
      <c r="F2918">
        <v>15</v>
      </c>
      <c r="G2918" s="11">
        <v>4</v>
      </c>
      <c r="H2918" s="5">
        <v>0.09</v>
      </c>
      <c r="I2918" s="11">
        <v>213750</v>
      </c>
      <c r="J2918" s="20">
        <v>855000</v>
      </c>
      <c r="K29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19" spans="1:11" hidden="1" x14ac:dyDescent="0.25">
      <c r="A2919" s="11"/>
      <c r="B2919" s="11"/>
      <c r="C2919" s="5"/>
      <c r="G2919" s="11"/>
      <c r="H2919" s="5"/>
      <c r="I2919" s="11"/>
      <c r="J2919" s="20"/>
      <c r="K29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0" spans="1:11" hidden="1" x14ac:dyDescent="0.25">
      <c r="A2920" s="11"/>
      <c r="B2920" s="11"/>
      <c r="C2920" s="5"/>
      <c r="G2920" s="11"/>
      <c r="H2920" s="5"/>
      <c r="I2920" s="11"/>
      <c r="J2920" s="20"/>
      <c r="K29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1" spans="1:11" x14ac:dyDescent="0.25">
      <c r="A2921" s="11" t="s">
        <v>325</v>
      </c>
      <c r="B2921" s="11" t="s">
        <v>504</v>
      </c>
      <c r="C2921" s="5" t="s">
        <v>100</v>
      </c>
      <c r="D2921">
        <v>250</v>
      </c>
      <c r="E2921">
        <v>6</v>
      </c>
      <c r="F2921">
        <v>15</v>
      </c>
      <c r="G2921" s="11">
        <v>4</v>
      </c>
      <c r="H2921" s="5">
        <v>0.09</v>
      </c>
      <c r="I2921" s="11">
        <v>463500</v>
      </c>
      <c r="J2921" s="20">
        <v>1854000</v>
      </c>
      <c r="K29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22" spans="1:11" hidden="1" x14ac:dyDescent="0.25">
      <c r="A2922" s="11"/>
      <c r="B2922" s="11"/>
      <c r="C2922" s="5"/>
      <c r="G2922" s="11"/>
      <c r="H2922" s="5"/>
      <c r="I2922" s="11"/>
      <c r="J2922" s="20"/>
      <c r="K29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3" spans="1:11" x14ac:dyDescent="0.25">
      <c r="A2923" s="11"/>
      <c r="B2923" s="11" t="s">
        <v>533</v>
      </c>
      <c r="C2923" s="5" t="s">
        <v>152</v>
      </c>
      <c r="D2923">
        <v>400</v>
      </c>
      <c r="E2923">
        <v>3</v>
      </c>
      <c r="F2923">
        <v>20</v>
      </c>
      <c r="G2923" s="11">
        <v>12</v>
      </c>
      <c r="H2923" s="5">
        <v>0.28799999999999998</v>
      </c>
      <c r="I2923" s="11">
        <v>523200</v>
      </c>
      <c r="J2923" s="20">
        <v>6278400</v>
      </c>
      <c r="K29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4" spans="1:11" hidden="1" x14ac:dyDescent="0.25">
      <c r="A2924" s="11"/>
      <c r="B2924" s="11"/>
      <c r="C2924" s="5"/>
      <c r="G2924" s="11"/>
      <c r="H2924" s="5"/>
      <c r="I2924" s="11"/>
      <c r="J2924" s="20"/>
      <c r="K29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5" spans="1:11" x14ac:dyDescent="0.25">
      <c r="A2925" s="11"/>
      <c r="B2925" s="11" t="s">
        <v>507</v>
      </c>
      <c r="C2925" s="5" t="s">
        <v>104</v>
      </c>
      <c r="D2925">
        <v>400</v>
      </c>
      <c r="E2925">
        <v>4</v>
      </c>
      <c r="F2925">
        <v>25</v>
      </c>
      <c r="G2925" s="11">
        <v>1</v>
      </c>
      <c r="H2925" s="5">
        <v>0.04</v>
      </c>
      <c r="I2925" s="11">
        <v>876000</v>
      </c>
      <c r="J2925" s="20">
        <v>876000</v>
      </c>
      <c r="K29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6" spans="1:11" hidden="1" x14ac:dyDescent="0.25">
      <c r="A2926" s="11"/>
      <c r="B2926" s="11"/>
      <c r="C2926" s="5"/>
      <c r="G2926" s="11"/>
      <c r="H2926" s="5"/>
      <c r="I2926" s="11"/>
      <c r="J2926" s="20"/>
      <c r="K29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7" spans="1:11" x14ac:dyDescent="0.25">
      <c r="A2927" s="11"/>
      <c r="B2927" s="11" t="s">
        <v>446</v>
      </c>
      <c r="C2927" s="5" t="s">
        <v>25</v>
      </c>
      <c r="D2927">
        <v>400</v>
      </c>
      <c r="E2927">
        <v>4</v>
      </c>
      <c r="F2927">
        <v>15</v>
      </c>
      <c r="G2927" s="11">
        <v>1</v>
      </c>
      <c r="H2927" s="5">
        <v>2.4E-2</v>
      </c>
      <c r="I2927" s="11">
        <v>506400</v>
      </c>
      <c r="J2927" s="20">
        <v>506400</v>
      </c>
      <c r="K29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8" spans="1:11" hidden="1" x14ac:dyDescent="0.25">
      <c r="A2928" s="11"/>
      <c r="B2928" s="11"/>
      <c r="C2928" s="5"/>
      <c r="G2928" s="11"/>
      <c r="H2928" s="5"/>
      <c r="I2928" s="11"/>
      <c r="J2928" s="20"/>
      <c r="K29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29" spans="1:11" x14ac:dyDescent="0.25">
      <c r="A2929" s="11"/>
      <c r="B2929" s="11" t="s">
        <v>487</v>
      </c>
      <c r="C2929" s="5" t="s">
        <v>77</v>
      </c>
      <c r="D2929">
        <v>250</v>
      </c>
      <c r="E2929">
        <v>4</v>
      </c>
      <c r="F2929">
        <v>30</v>
      </c>
      <c r="G2929" s="11">
        <v>4</v>
      </c>
      <c r="H2929" s="5">
        <v>0.12</v>
      </c>
      <c r="I2929" s="11">
        <v>672000</v>
      </c>
      <c r="J2929" s="20">
        <v>2688000</v>
      </c>
      <c r="K29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30" spans="1:11" hidden="1" x14ac:dyDescent="0.25">
      <c r="A2930" s="11"/>
      <c r="B2930" s="11"/>
      <c r="C2930" s="5"/>
      <c r="G2930" s="11"/>
      <c r="H2930" s="5"/>
      <c r="I2930" s="11"/>
      <c r="J2930" s="20"/>
      <c r="K29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31" spans="1:11" hidden="1" x14ac:dyDescent="0.25">
      <c r="A2931" s="11"/>
      <c r="B2931" s="11"/>
      <c r="C2931" s="5"/>
      <c r="G2931" s="11"/>
      <c r="H2931" s="5"/>
      <c r="I2931" s="11"/>
      <c r="J2931" s="20"/>
      <c r="K29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32" spans="1:11" x14ac:dyDescent="0.25">
      <c r="A2932" s="11" t="s">
        <v>325</v>
      </c>
      <c r="B2932" s="11" t="s">
        <v>535</v>
      </c>
      <c r="C2932" s="5" t="s">
        <v>154</v>
      </c>
      <c r="D2932">
        <v>140</v>
      </c>
      <c r="E2932">
        <v>6</v>
      </c>
      <c r="F2932">
        <v>15</v>
      </c>
      <c r="G2932" s="11">
        <v>13</v>
      </c>
      <c r="H2932" s="5">
        <v>0.1638</v>
      </c>
      <c r="I2932" s="11">
        <v>229320</v>
      </c>
      <c r="J2932" s="20">
        <v>2981160</v>
      </c>
      <c r="K29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33" spans="1:11" hidden="1" x14ac:dyDescent="0.25">
      <c r="A2933" s="11"/>
      <c r="B2933" s="11"/>
      <c r="C2933" s="5"/>
      <c r="G2933" s="11"/>
      <c r="H2933" s="5"/>
      <c r="I2933" s="11"/>
      <c r="J2933" s="20"/>
      <c r="K29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34" spans="1:11" x14ac:dyDescent="0.25">
      <c r="A2934" s="11"/>
      <c r="B2934" s="11" t="s">
        <v>478</v>
      </c>
      <c r="C2934" s="5" t="s">
        <v>64</v>
      </c>
      <c r="D2934">
        <v>180</v>
      </c>
      <c r="E2934">
        <v>6</v>
      </c>
      <c r="F2934">
        <v>15</v>
      </c>
      <c r="G2934" s="11">
        <v>18</v>
      </c>
      <c r="H2934" s="5">
        <v>0.29160000000000003</v>
      </c>
      <c r="I2934" s="11">
        <v>294840</v>
      </c>
      <c r="J2934" s="20">
        <v>5307120</v>
      </c>
      <c r="K29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35" spans="1:11" hidden="1" x14ac:dyDescent="0.25">
      <c r="A2935" s="11"/>
      <c r="B2935" s="11"/>
      <c r="C2935" s="5"/>
      <c r="G2935" s="11"/>
      <c r="H2935" s="5"/>
      <c r="I2935" s="11"/>
      <c r="J2935" s="20"/>
      <c r="K29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36" spans="1:11" x14ac:dyDescent="0.25">
      <c r="A2936" s="11"/>
      <c r="B2936" s="11" t="s">
        <v>522</v>
      </c>
      <c r="C2936" s="5" t="s">
        <v>131</v>
      </c>
      <c r="D2936">
        <v>200</v>
      </c>
      <c r="E2936">
        <v>6</v>
      </c>
      <c r="F2936">
        <v>15</v>
      </c>
      <c r="G2936" s="11">
        <v>8</v>
      </c>
      <c r="H2936" s="5">
        <v>0.14399999999999999</v>
      </c>
      <c r="I2936" s="11">
        <v>352800</v>
      </c>
      <c r="J2936" s="20">
        <v>2822400</v>
      </c>
      <c r="K29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37" spans="1:11" hidden="1" x14ac:dyDescent="0.25">
      <c r="A2937" s="11"/>
      <c r="B2937" s="11"/>
      <c r="C2937" s="5"/>
      <c r="G2937" s="11"/>
      <c r="H2937" s="5"/>
      <c r="I2937" s="11"/>
      <c r="J2937" s="20"/>
      <c r="K29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38" spans="1:11" x14ac:dyDescent="0.25">
      <c r="A2938" s="11"/>
      <c r="B2938" s="11" t="s">
        <v>490</v>
      </c>
      <c r="C2938" s="5" t="s">
        <v>82</v>
      </c>
      <c r="D2938">
        <v>250</v>
      </c>
      <c r="E2938">
        <v>6</v>
      </c>
      <c r="F2938">
        <v>15</v>
      </c>
      <c r="G2938" s="11">
        <v>12</v>
      </c>
      <c r="H2938" s="5">
        <v>0.27</v>
      </c>
      <c r="I2938" s="11">
        <v>213750</v>
      </c>
      <c r="J2938" s="20">
        <v>2565000</v>
      </c>
      <c r="K29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39" spans="1:11" hidden="1" x14ac:dyDescent="0.25">
      <c r="A2939" s="11"/>
      <c r="B2939" s="11"/>
      <c r="C2939" s="5"/>
      <c r="G2939" s="11"/>
      <c r="H2939" s="5"/>
      <c r="I2939" s="11"/>
      <c r="J2939" s="20"/>
      <c r="K29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0" spans="1:11" x14ac:dyDescent="0.25">
      <c r="A2940" s="11"/>
      <c r="B2940" s="11" t="s">
        <v>503</v>
      </c>
      <c r="C2940" s="5" t="s">
        <v>99</v>
      </c>
      <c r="D2940">
        <v>300</v>
      </c>
      <c r="E2940">
        <v>6</v>
      </c>
      <c r="F2940">
        <v>15</v>
      </c>
      <c r="G2940" s="11">
        <v>4</v>
      </c>
      <c r="H2940" s="5">
        <v>0.108</v>
      </c>
      <c r="I2940" s="11">
        <v>243000</v>
      </c>
      <c r="J2940" s="20">
        <v>972000</v>
      </c>
      <c r="K29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41" spans="1:11" hidden="1" x14ac:dyDescent="0.25">
      <c r="A2941" s="11"/>
      <c r="B2941" s="11"/>
      <c r="C2941" s="5"/>
      <c r="G2941" s="11"/>
      <c r="H2941" s="5"/>
      <c r="I2941" s="11"/>
      <c r="J2941" s="20"/>
      <c r="K29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2" spans="1:11" hidden="1" x14ac:dyDescent="0.25">
      <c r="A2942" s="11"/>
      <c r="B2942" s="11"/>
      <c r="C2942" s="5"/>
      <c r="G2942" s="11"/>
      <c r="H2942" s="5"/>
      <c r="I2942" s="11"/>
      <c r="J2942" s="20"/>
      <c r="K29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3" spans="1:11" x14ac:dyDescent="0.25">
      <c r="A2943" s="11" t="s">
        <v>325</v>
      </c>
      <c r="B2943" s="11" t="s">
        <v>471</v>
      </c>
      <c r="C2943" s="5" t="s">
        <v>56</v>
      </c>
      <c r="D2943">
        <v>500</v>
      </c>
      <c r="E2943">
        <v>5</v>
      </c>
      <c r="F2943">
        <v>15</v>
      </c>
      <c r="G2943" s="11">
        <v>6</v>
      </c>
      <c r="H2943" s="5">
        <v>0.22500000000000001</v>
      </c>
      <c r="I2943" s="11">
        <v>371250</v>
      </c>
      <c r="J2943" s="20">
        <v>2227500</v>
      </c>
      <c r="K29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44" spans="1:11" hidden="1" x14ac:dyDescent="0.25">
      <c r="A2944" s="11"/>
      <c r="B2944" s="11"/>
      <c r="C2944" s="5"/>
      <c r="G2944" s="11"/>
      <c r="H2944" s="5"/>
      <c r="I2944" s="11"/>
      <c r="J2944" s="20"/>
      <c r="K29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5" spans="1:11" hidden="1" x14ac:dyDescent="0.25">
      <c r="A2945" s="11"/>
      <c r="B2945" s="11"/>
      <c r="C2945" s="5"/>
      <c r="G2945" s="11"/>
      <c r="H2945" s="5"/>
      <c r="I2945" s="11"/>
      <c r="J2945" s="20"/>
      <c r="K29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6" spans="1:11" x14ac:dyDescent="0.25">
      <c r="A2946" s="11" t="s">
        <v>325</v>
      </c>
      <c r="B2946" s="11" t="s">
        <v>522</v>
      </c>
      <c r="C2946" s="5" t="s">
        <v>131</v>
      </c>
      <c r="D2946">
        <v>200</v>
      </c>
      <c r="E2946">
        <v>6</v>
      </c>
      <c r="F2946">
        <v>15</v>
      </c>
      <c r="G2946" s="11">
        <v>1</v>
      </c>
      <c r="H2946" s="5">
        <v>1.7999999999999999E-2</v>
      </c>
      <c r="I2946" s="11">
        <v>352800</v>
      </c>
      <c r="J2946" s="20">
        <v>352800</v>
      </c>
      <c r="K29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47" spans="1:11" hidden="1" x14ac:dyDescent="0.25">
      <c r="A2947" s="11"/>
      <c r="B2947" s="11"/>
      <c r="C2947" s="5"/>
      <c r="G2947" s="11"/>
      <c r="H2947" s="5"/>
      <c r="I2947" s="11"/>
      <c r="J2947" s="20"/>
      <c r="K29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8" spans="1:11" hidden="1" x14ac:dyDescent="0.25">
      <c r="A2948" s="11"/>
      <c r="B2948" s="11"/>
      <c r="C2948" s="5"/>
      <c r="G2948" s="11"/>
      <c r="H2948" s="5"/>
      <c r="I2948" s="11"/>
      <c r="J2948" s="20"/>
      <c r="K29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49" spans="1:11" x14ac:dyDescent="0.25">
      <c r="A2949" s="11" t="s">
        <v>325</v>
      </c>
      <c r="B2949" s="11" t="s">
        <v>564</v>
      </c>
      <c r="C2949" s="5" t="s">
        <v>233</v>
      </c>
      <c r="D2949">
        <v>400</v>
      </c>
      <c r="E2949">
        <v>4</v>
      </c>
      <c r="F2949">
        <v>25</v>
      </c>
      <c r="G2949" s="11">
        <v>4</v>
      </c>
      <c r="H2949" s="5">
        <v>0.16</v>
      </c>
      <c r="I2949" s="11">
        <v>312000</v>
      </c>
      <c r="J2949" s="20">
        <v>1248000</v>
      </c>
      <c r="K29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0" spans="1:11" hidden="1" x14ac:dyDescent="0.25">
      <c r="A2950" s="11"/>
      <c r="B2950" s="11"/>
      <c r="C2950" s="5"/>
      <c r="G2950" s="11"/>
      <c r="H2950" s="5"/>
      <c r="I2950" s="11"/>
      <c r="J2950" s="20"/>
      <c r="K29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1" spans="1:11" hidden="1" x14ac:dyDescent="0.25">
      <c r="A2951" s="11"/>
      <c r="B2951" s="11"/>
      <c r="C2951" s="5"/>
      <c r="G2951" s="11"/>
      <c r="H2951" s="5"/>
      <c r="I2951" s="11"/>
      <c r="J2951" s="20"/>
      <c r="K29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2" spans="1:11" x14ac:dyDescent="0.25">
      <c r="A2952" s="11" t="s">
        <v>326</v>
      </c>
      <c r="B2952" s="11" t="s">
        <v>527</v>
      </c>
      <c r="C2952" s="5" t="s">
        <v>143</v>
      </c>
      <c r="D2952">
        <v>400</v>
      </c>
      <c r="E2952">
        <v>4</v>
      </c>
      <c r="F2952">
        <v>20</v>
      </c>
      <c r="G2952" s="11">
        <v>2</v>
      </c>
      <c r="H2952" s="5">
        <v>6.4000000000000001E-2</v>
      </c>
      <c r="I2952" s="11">
        <v>697600</v>
      </c>
      <c r="J2952" s="20">
        <v>1395200</v>
      </c>
      <c r="K29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3" spans="1:11" hidden="1" x14ac:dyDescent="0.25">
      <c r="A2953" s="11"/>
      <c r="B2953" s="11"/>
      <c r="C2953" s="5"/>
      <c r="G2953" s="11"/>
      <c r="H2953" s="5"/>
      <c r="I2953" s="11"/>
      <c r="J2953" s="20"/>
      <c r="K29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4" spans="1:11" x14ac:dyDescent="0.25">
      <c r="A2954" s="11"/>
      <c r="B2954" s="11" t="s">
        <v>517</v>
      </c>
      <c r="C2954" s="5" t="s">
        <v>122</v>
      </c>
      <c r="D2954">
        <v>400</v>
      </c>
      <c r="E2954">
        <v>6</v>
      </c>
      <c r="F2954">
        <v>15</v>
      </c>
      <c r="G2954" s="11">
        <v>1</v>
      </c>
      <c r="H2954" s="5">
        <v>3.5999999999999997E-2</v>
      </c>
      <c r="I2954" s="11">
        <v>723600</v>
      </c>
      <c r="J2954" s="20">
        <v>723600</v>
      </c>
      <c r="K29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55" spans="1:11" hidden="1" x14ac:dyDescent="0.25">
      <c r="A2955" s="11"/>
      <c r="B2955" s="11"/>
      <c r="C2955" s="5"/>
      <c r="G2955" s="11"/>
      <c r="H2955" s="5"/>
      <c r="I2955" s="11"/>
      <c r="J2955" s="20"/>
      <c r="K29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6" spans="1:11" x14ac:dyDescent="0.25">
      <c r="A2956" s="11"/>
      <c r="B2956" s="11" t="s">
        <v>587</v>
      </c>
      <c r="C2956" s="5" t="s">
        <v>327</v>
      </c>
      <c r="D2956">
        <v>450</v>
      </c>
      <c r="E2956">
        <v>6</v>
      </c>
      <c r="F2956">
        <v>15</v>
      </c>
      <c r="G2956" s="11">
        <v>1</v>
      </c>
      <c r="H2956" s="5">
        <v>4.0500000000000001E-2</v>
      </c>
      <c r="I2956" s="11">
        <v>834300</v>
      </c>
      <c r="J2956" s="20">
        <v>834300</v>
      </c>
      <c r="K29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57" spans="1:11" hidden="1" x14ac:dyDescent="0.25">
      <c r="A2957" s="11"/>
      <c r="B2957" s="11"/>
      <c r="C2957" s="5"/>
      <c r="G2957" s="11"/>
      <c r="H2957" s="5"/>
      <c r="I2957" s="11"/>
      <c r="J2957" s="20"/>
      <c r="K29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8" spans="1:11" x14ac:dyDescent="0.25">
      <c r="A2958" s="11"/>
      <c r="B2958" s="11" t="s">
        <v>534</v>
      </c>
      <c r="C2958" s="5" t="s">
        <v>153</v>
      </c>
      <c r="D2958">
        <v>500</v>
      </c>
      <c r="E2958">
        <v>4</v>
      </c>
      <c r="F2958">
        <v>25</v>
      </c>
      <c r="G2958" s="11">
        <v>1</v>
      </c>
      <c r="H2958" s="5">
        <v>0.05</v>
      </c>
      <c r="I2958" s="11">
        <v>1120000</v>
      </c>
      <c r="J2958" s="20">
        <v>1120000</v>
      </c>
      <c r="K29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59" spans="1:11" hidden="1" x14ac:dyDescent="0.25">
      <c r="A2959" s="11"/>
      <c r="B2959" s="11"/>
      <c r="C2959" s="5"/>
      <c r="G2959" s="11"/>
      <c r="H2959" s="5"/>
      <c r="I2959" s="11"/>
      <c r="J2959" s="20"/>
      <c r="K29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0" spans="1:11" x14ac:dyDescent="0.25">
      <c r="A2960" s="11"/>
      <c r="B2960" s="11" t="s">
        <v>468</v>
      </c>
      <c r="C2960" s="5" t="s">
        <v>51</v>
      </c>
      <c r="D2960">
        <v>500</v>
      </c>
      <c r="E2960">
        <v>6</v>
      </c>
      <c r="F2960">
        <v>15</v>
      </c>
      <c r="G2960" s="11">
        <v>1</v>
      </c>
      <c r="H2960" s="5">
        <v>4.4999999999999998E-2</v>
      </c>
      <c r="I2960" s="11">
        <v>927000</v>
      </c>
      <c r="J2960" s="20">
        <v>927000</v>
      </c>
      <c r="K29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61" spans="1:11" hidden="1" x14ac:dyDescent="0.25">
      <c r="A2961" s="11"/>
      <c r="B2961" s="11"/>
      <c r="C2961" s="5"/>
      <c r="G2961" s="11"/>
      <c r="H2961" s="5"/>
      <c r="I2961" s="11"/>
      <c r="J2961" s="20"/>
      <c r="K29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2" spans="1:11" hidden="1" x14ac:dyDescent="0.25">
      <c r="A2962" s="11"/>
      <c r="B2962" s="11"/>
      <c r="C2962" s="5"/>
      <c r="G2962" s="11"/>
      <c r="H2962" s="5"/>
      <c r="I2962" s="11"/>
      <c r="J2962" s="20"/>
      <c r="K29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3" spans="1:11" x14ac:dyDescent="0.25">
      <c r="A2963" s="11" t="s">
        <v>326</v>
      </c>
      <c r="B2963" s="11" t="s">
        <v>533</v>
      </c>
      <c r="C2963" s="5" t="s">
        <v>152</v>
      </c>
      <c r="D2963">
        <v>400</v>
      </c>
      <c r="E2963">
        <v>3</v>
      </c>
      <c r="F2963">
        <v>20</v>
      </c>
      <c r="G2963" s="11">
        <v>1</v>
      </c>
      <c r="H2963" s="5">
        <v>2.4E-2</v>
      </c>
      <c r="I2963" s="11">
        <v>523200</v>
      </c>
      <c r="J2963" s="20">
        <v>523200</v>
      </c>
      <c r="K29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4" spans="1:11" hidden="1" x14ac:dyDescent="0.25">
      <c r="A2964" s="11"/>
      <c r="B2964" s="11"/>
      <c r="C2964" s="5"/>
      <c r="G2964" s="11"/>
      <c r="H2964" s="5"/>
      <c r="I2964" s="11"/>
      <c r="J2964" s="20"/>
      <c r="K29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5" spans="1:11" x14ac:dyDescent="0.25">
      <c r="A2965" s="11"/>
      <c r="B2965" s="11" t="s">
        <v>486</v>
      </c>
      <c r="C2965" s="5" t="s">
        <v>76</v>
      </c>
      <c r="D2965">
        <v>400</v>
      </c>
      <c r="E2965">
        <v>3</v>
      </c>
      <c r="F2965">
        <v>25</v>
      </c>
      <c r="G2965" s="11">
        <v>2</v>
      </c>
      <c r="H2965" s="5">
        <v>0.06</v>
      </c>
      <c r="I2965" s="11">
        <v>657000</v>
      </c>
      <c r="J2965" s="20">
        <v>1314000</v>
      </c>
      <c r="K29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6" spans="1:11" hidden="1" x14ac:dyDescent="0.25">
      <c r="A2966" s="11"/>
      <c r="B2966" s="11"/>
      <c r="C2966" s="5"/>
      <c r="G2966" s="11"/>
      <c r="H2966" s="5"/>
      <c r="I2966" s="11"/>
      <c r="J2966" s="20"/>
      <c r="K29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7" spans="1:11" x14ac:dyDescent="0.25">
      <c r="A2967" s="11"/>
      <c r="B2967" s="11" t="s">
        <v>443</v>
      </c>
      <c r="C2967" s="5" t="s">
        <v>21</v>
      </c>
      <c r="D2967">
        <v>400</v>
      </c>
      <c r="E2967">
        <v>4</v>
      </c>
      <c r="F2967">
        <v>25</v>
      </c>
      <c r="G2967" s="11">
        <v>1</v>
      </c>
      <c r="H2967" s="5">
        <v>0.04</v>
      </c>
      <c r="I2967" s="11">
        <v>384000</v>
      </c>
      <c r="J2967" s="20">
        <v>384000</v>
      </c>
      <c r="K29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8" spans="1:11" hidden="1" x14ac:dyDescent="0.25">
      <c r="A2968" s="11"/>
      <c r="B2968" s="11"/>
      <c r="C2968" s="5"/>
      <c r="G2968" s="11"/>
      <c r="H2968" s="5"/>
      <c r="I2968" s="11"/>
      <c r="J2968" s="20"/>
      <c r="K29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69" spans="1:11" hidden="1" x14ac:dyDescent="0.25">
      <c r="A2969" s="11"/>
      <c r="B2969" s="11"/>
      <c r="C2969" s="5"/>
      <c r="G2969" s="11"/>
      <c r="H2969" s="5"/>
      <c r="I2969" s="11"/>
      <c r="J2969" s="20"/>
      <c r="K29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0" spans="1:11" x14ac:dyDescent="0.25">
      <c r="A2970" s="11" t="s">
        <v>328</v>
      </c>
      <c r="B2970" s="11" t="s">
        <v>540</v>
      </c>
      <c r="C2970" s="5" t="s">
        <v>166</v>
      </c>
      <c r="D2970">
        <v>250</v>
      </c>
      <c r="E2970">
        <v>4</v>
      </c>
      <c r="F2970">
        <v>20</v>
      </c>
      <c r="G2970" s="11">
        <v>1</v>
      </c>
      <c r="H2970" s="5">
        <v>0.02</v>
      </c>
      <c r="I2970" s="11">
        <v>436000</v>
      </c>
      <c r="J2970" s="20">
        <v>436000</v>
      </c>
      <c r="K29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1" spans="1:11" hidden="1" x14ac:dyDescent="0.25">
      <c r="A2971" s="11"/>
      <c r="B2971" s="11"/>
      <c r="C2971" s="5"/>
      <c r="G2971" s="11"/>
      <c r="H2971" s="5"/>
      <c r="I2971" s="11"/>
      <c r="J2971" s="20"/>
      <c r="K29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2" spans="1:11" x14ac:dyDescent="0.25">
      <c r="A2972" s="11"/>
      <c r="B2972" s="11" t="s">
        <v>433</v>
      </c>
      <c r="C2972" s="5" t="s">
        <v>9</v>
      </c>
      <c r="D2972">
        <v>400</v>
      </c>
      <c r="E2972">
        <v>4</v>
      </c>
      <c r="F2972">
        <v>20</v>
      </c>
      <c r="G2972" s="11">
        <v>1</v>
      </c>
      <c r="H2972" s="5">
        <v>3.2000000000000001E-2</v>
      </c>
      <c r="I2972" s="11">
        <v>304000</v>
      </c>
      <c r="J2972" s="20">
        <v>304000</v>
      </c>
      <c r="K29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3" spans="1:11" hidden="1" x14ac:dyDescent="0.25">
      <c r="A2973" s="11"/>
      <c r="B2973" s="11"/>
      <c r="C2973" s="5"/>
      <c r="G2973" s="11"/>
      <c r="H2973" s="5"/>
      <c r="I2973" s="11"/>
      <c r="J2973" s="20"/>
      <c r="K29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4" spans="1:11" x14ac:dyDescent="0.25">
      <c r="A2974" s="11"/>
      <c r="B2974" s="11" t="s">
        <v>481</v>
      </c>
      <c r="C2974" s="5" t="s">
        <v>68</v>
      </c>
      <c r="D2974">
        <v>400</v>
      </c>
      <c r="E2974">
        <v>6</v>
      </c>
      <c r="F2974">
        <v>15</v>
      </c>
      <c r="G2974" s="11">
        <v>1</v>
      </c>
      <c r="H2974" s="5">
        <v>3.5999999999999997E-2</v>
      </c>
      <c r="I2974" s="11">
        <v>324000</v>
      </c>
      <c r="J2974" s="20">
        <v>324000</v>
      </c>
      <c r="K29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75" spans="1:11" hidden="1" x14ac:dyDescent="0.25">
      <c r="A2975" s="11"/>
      <c r="B2975" s="11"/>
      <c r="C2975" s="5"/>
      <c r="G2975" s="11"/>
      <c r="H2975" s="5"/>
      <c r="I2975" s="11"/>
      <c r="J2975" s="20"/>
      <c r="K29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6" spans="1:11" hidden="1" x14ac:dyDescent="0.25">
      <c r="A2976" s="11"/>
      <c r="B2976" s="11"/>
      <c r="C2976" s="5"/>
      <c r="G2976" s="11"/>
      <c r="H2976" s="5"/>
      <c r="I2976" s="11"/>
      <c r="J2976" s="20"/>
      <c r="K29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7" spans="1:11" x14ac:dyDescent="0.25">
      <c r="A2977" s="11" t="s">
        <v>328</v>
      </c>
      <c r="B2977" s="11" t="s">
        <v>434</v>
      </c>
      <c r="C2977" s="5" t="s">
        <v>10</v>
      </c>
      <c r="D2977">
        <v>400</v>
      </c>
      <c r="E2977">
        <v>4</v>
      </c>
      <c r="F2977">
        <v>30</v>
      </c>
      <c r="G2977" s="11">
        <v>1</v>
      </c>
      <c r="H2977" s="5">
        <v>4.8000000000000001E-2</v>
      </c>
      <c r="I2977" s="11">
        <v>470400</v>
      </c>
      <c r="J2977" s="20">
        <v>470400</v>
      </c>
      <c r="K29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8" spans="1:11" hidden="1" x14ac:dyDescent="0.25">
      <c r="A2978" s="11"/>
      <c r="B2978" s="11"/>
      <c r="C2978" s="5"/>
      <c r="G2978" s="11"/>
      <c r="H2978" s="5"/>
      <c r="I2978" s="11"/>
      <c r="J2978" s="20"/>
      <c r="K29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79" spans="1:11" x14ac:dyDescent="0.25">
      <c r="A2979" s="11"/>
      <c r="B2979" s="11" t="s">
        <v>440</v>
      </c>
      <c r="C2979" s="5" t="s">
        <v>17</v>
      </c>
      <c r="D2979">
        <v>500</v>
      </c>
      <c r="E2979">
        <v>4</v>
      </c>
      <c r="F2979">
        <v>25</v>
      </c>
      <c r="G2979" s="11">
        <v>1</v>
      </c>
      <c r="H2979" s="5">
        <v>0.05</v>
      </c>
      <c r="I2979" s="11">
        <v>480000</v>
      </c>
      <c r="J2979" s="20">
        <v>480000</v>
      </c>
      <c r="K29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0" spans="1:11" hidden="1" x14ac:dyDescent="0.25">
      <c r="A2980" s="11"/>
      <c r="B2980" s="11"/>
      <c r="C2980" s="5"/>
      <c r="G2980" s="11"/>
      <c r="H2980" s="5"/>
      <c r="I2980" s="11"/>
      <c r="J2980" s="20"/>
      <c r="K29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1" spans="1:11" hidden="1" x14ac:dyDescent="0.25">
      <c r="A2981" s="11"/>
      <c r="B2981" s="11"/>
      <c r="C2981" s="5"/>
      <c r="G2981" s="11"/>
      <c r="H2981" s="5"/>
      <c r="I2981" s="11"/>
      <c r="J2981" s="20"/>
      <c r="K29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2" spans="1:11" x14ac:dyDescent="0.25">
      <c r="A2982" s="11" t="s">
        <v>328</v>
      </c>
      <c r="B2982" s="11" t="s">
        <v>439</v>
      </c>
      <c r="C2982" s="5" t="s">
        <v>16</v>
      </c>
      <c r="D2982">
        <v>400</v>
      </c>
      <c r="E2982">
        <v>3</v>
      </c>
      <c r="F2982">
        <v>30</v>
      </c>
      <c r="G2982" s="11">
        <v>2</v>
      </c>
      <c r="H2982" s="5">
        <v>7.1999999999999995E-2</v>
      </c>
      <c r="I2982" s="11">
        <v>352800</v>
      </c>
      <c r="J2982" s="20">
        <v>705600</v>
      </c>
      <c r="K29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3" spans="1:11" hidden="1" x14ac:dyDescent="0.25">
      <c r="A2983" s="11"/>
      <c r="B2983" s="11"/>
      <c r="C2983" s="5"/>
      <c r="G2983" s="11"/>
      <c r="H2983" s="5"/>
      <c r="I2983" s="11"/>
      <c r="J2983" s="20"/>
      <c r="K29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4" spans="1:11" x14ac:dyDescent="0.25">
      <c r="A2984" s="11"/>
      <c r="B2984" s="11" t="s">
        <v>523</v>
      </c>
      <c r="C2984" s="5" t="s">
        <v>133</v>
      </c>
      <c r="D2984">
        <v>500</v>
      </c>
      <c r="E2984">
        <v>4</v>
      </c>
      <c r="F2984">
        <v>20</v>
      </c>
      <c r="G2984" s="11">
        <v>1</v>
      </c>
      <c r="H2984" s="5">
        <v>0.04</v>
      </c>
      <c r="I2984" s="11">
        <v>380000</v>
      </c>
      <c r="J2984" s="20">
        <v>380000</v>
      </c>
      <c r="K29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5" spans="1:11" hidden="1" x14ac:dyDescent="0.25">
      <c r="A2985" s="11"/>
      <c r="B2985" s="11"/>
      <c r="C2985" s="5"/>
      <c r="G2985" s="11"/>
      <c r="H2985" s="5"/>
      <c r="I2985" s="11"/>
      <c r="J2985" s="20"/>
      <c r="K29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6" spans="1:11" x14ac:dyDescent="0.25">
      <c r="A2986" s="11"/>
      <c r="B2986" s="11" t="s">
        <v>440</v>
      </c>
      <c r="C2986" s="5" t="s">
        <v>17</v>
      </c>
      <c r="D2986">
        <v>500</v>
      </c>
      <c r="E2986">
        <v>4</v>
      </c>
      <c r="F2986">
        <v>25</v>
      </c>
      <c r="G2986" s="11">
        <v>1</v>
      </c>
      <c r="H2986" s="5">
        <v>0.05</v>
      </c>
      <c r="I2986" s="11">
        <v>480000</v>
      </c>
      <c r="J2986" s="20">
        <v>480000</v>
      </c>
      <c r="K29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7" spans="1:11" hidden="1" x14ac:dyDescent="0.25">
      <c r="A2987" s="11"/>
      <c r="B2987" s="11"/>
      <c r="C2987" s="5"/>
      <c r="G2987" s="11"/>
      <c r="H2987" s="5"/>
      <c r="I2987" s="11"/>
      <c r="J2987" s="20"/>
      <c r="K29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8" spans="1:11" hidden="1" x14ac:dyDescent="0.25">
      <c r="A2988" s="11"/>
      <c r="B2988" s="11"/>
      <c r="C2988" s="5"/>
      <c r="G2988" s="11"/>
      <c r="H2988" s="5"/>
      <c r="I2988" s="11"/>
      <c r="J2988" s="20"/>
      <c r="K29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89" spans="1:11" x14ac:dyDescent="0.25">
      <c r="A2989" s="11" t="s">
        <v>328</v>
      </c>
      <c r="B2989" s="11" t="s">
        <v>443</v>
      </c>
      <c r="C2989" s="5" t="s">
        <v>21</v>
      </c>
      <c r="D2989">
        <v>400</v>
      </c>
      <c r="E2989">
        <v>4</v>
      </c>
      <c r="F2989">
        <v>25</v>
      </c>
      <c r="G2989" s="11">
        <v>1</v>
      </c>
      <c r="H2989" s="5">
        <v>0.04</v>
      </c>
      <c r="I2989" s="11">
        <v>384000</v>
      </c>
      <c r="J2989" s="20">
        <v>384000</v>
      </c>
      <c r="K29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0" spans="1:11" hidden="1" x14ac:dyDescent="0.25">
      <c r="A2990" s="11"/>
      <c r="B2990" s="11"/>
      <c r="C2990" s="5"/>
      <c r="G2990" s="11"/>
      <c r="H2990" s="5"/>
      <c r="I2990" s="11"/>
      <c r="J2990" s="20"/>
      <c r="K29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1" spans="1:11" x14ac:dyDescent="0.25">
      <c r="A2991" s="11"/>
      <c r="B2991" s="11" t="s">
        <v>511</v>
      </c>
      <c r="C2991" s="5" t="s">
        <v>111</v>
      </c>
      <c r="D2991">
        <v>400</v>
      </c>
      <c r="E2991">
        <v>8</v>
      </c>
      <c r="F2991">
        <v>12</v>
      </c>
      <c r="G2991" s="11">
        <v>2</v>
      </c>
      <c r="H2991" s="5">
        <v>7.6799999999999993E-2</v>
      </c>
      <c r="I2991" s="11">
        <v>360960</v>
      </c>
      <c r="J2991" s="20">
        <v>721920</v>
      </c>
      <c r="K29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2992" spans="1:11" hidden="1" x14ac:dyDescent="0.25">
      <c r="A2992" s="11"/>
      <c r="B2992" s="11"/>
      <c r="C2992" s="5"/>
      <c r="G2992" s="11"/>
      <c r="H2992" s="5"/>
      <c r="I2992" s="11"/>
      <c r="J2992" s="20"/>
      <c r="K29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3" spans="1:11" hidden="1" x14ac:dyDescent="0.25">
      <c r="A2993" s="11"/>
      <c r="B2993" s="11"/>
      <c r="C2993" s="5"/>
      <c r="G2993" s="11"/>
      <c r="H2993" s="5"/>
      <c r="I2993" s="11"/>
      <c r="J2993" s="20"/>
      <c r="K29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4" spans="1:11" x14ac:dyDescent="0.25">
      <c r="A2994" s="11" t="s">
        <v>329</v>
      </c>
      <c r="B2994" s="11" t="s">
        <v>564</v>
      </c>
      <c r="C2994" s="5" t="s">
        <v>233</v>
      </c>
      <c r="D2994">
        <v>400</v>
      </c>
      <c r="E2994">
        <v>4</v>
      </c>
      <c r="F2994">
        <v>25</v>
      </c>
      <c r="G2994" s="11">
        <v>1</v>
      </c>
      <c r="H2994" s="5">
        <v>0.04</v>
      </c>
      <c r="I2994" s="11">
        <v>312000</v>
      </c>
      <c r="J2994" s="20">
        <v>312000</v>
      </c>
      <c r="K29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5" spans="1:11" hidden="1" x14ac:dyDescent="0.25">
      <c r="A2995" s="11"/>
      <c r="B2995" s="11"/>
      <c r="C2995" s="5"/>
      <c r="G2995" s="11"/>
      <c r="H2995" s="5"/>
      <c r="I2995" s="11"/>
      <c r="J2995" s="20"/>
      <c r="K29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6" spans="1:11" x14ac:dyDescent="0.25">
      <c r="A2996" s="11"/>
      <c r="B2996" s="11" t="s">
        <v>443</v>
      </c>
      <c r="C2996" s="5" t="s">
        <v>21</v>
      </c>
      <c r="D2996">
        <v>400</v>
      </c>
      <c r="E2996">
        <v>4</v>
      </c>
      <c r="F2996">
        <v>25</v>
      </c>
      <c r="G2996" s="11">
        <v>1</v>
      </c>
      <c r="H2996" s="5">
        <v>0.04</v>
      </c>
      <c r="I2996" s="11">
        <v>384000</v>
      </c>
      <c r="J2996" s="20">
        <v>384000</v>
      </c>
      <c r="K29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7" spans="1:11" hidden="1" x14ac:dyDescent="0.25">
      <c r="A2997" s="11"/>
      <c r="B2997" s="11"/>
      <c r="C2997" s="5"/>
      <c r="G2997" s="11"/>
      <c r="H2997" s="5"/>
      <c r="I2997" s="11"/>
      <c r="J2997" s="20"/>
      <c r="K29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2998" spans="1:11" x14ac:dyDescent="0.25">
      <c r="A2998" s="11"/>
      <c r="B2998" s="11" t="s">
        <v>502</v>
      </c>
      <c r="C2998" s="5" t="s">
        <v>98</v>
      </c>
      <c r="D2998">
        <v>400</v>
      </c>
      <c r="E2998">
        <v>5</v>
      </c>
      <c r="F2998">
        <v>15</v>
      </c>
      <c r="G2998" s="11">
        <v>7</v>
      </c>
      <c r="H2998" s="5">
        <v>0.21</v>
      </c>
      <c r="I2998" s="11">
        <v>282000</v>
      </c>
      <c r="J2998" s="20">
        <v>1974000</v>
      </c>
      <c r="K29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2999" spans="1:11" hidden="1" x14ac:dyDescent="0.25">
      <c r="A2999" s="11"/>
      <c r="B2999" s="11"/>
      <c r="C2999" s="5"/>
      <c r="G2999" s="11"/>
      <c r="H2999" s="5"/>
      <c r="I2999" s="11"/>
      <c r="J2999" s="20"/>
      <c r="K29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0" spans="1:11" hidden="1" x14ac:dyDescent="0.25">
      <c r="A3000" s="11"/>
      <c r="B3000" s="11"/>
      <c r="C3000" s="5"/>
      <c r="G3000" s="11"/>
      <c r="H3000" s="5"/>
      <c r="I3000" s="11"/>
      <c r="J3000" s="20"/>
      <c r="K30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1" spans="1:11" x14ac:dyDescent="0.25">
      <c r="A3001" s="11" t="s">
        <v>329</v>
      </c>
      <c r="B3001" s="11" t="s">
        <v>570</v>
      </c>
      <c r="C3001" s="5" t="s">
        <v>264</v>
      </c>
      <c r="D3001">
        <v>260</v>
      </c>
      <c r="E3001">
        <v>4</v>
      </c>
      <c r="F3001">
        <v>20</v>
      </c>
      <c r="G3001" s="11">
        <v>10</v>
      </c>
      <c r="H3001" s="5">
        <v>0.20799999999999999</v>
      </c>
      <c r="I3001" s="11">
        <v>453440</v>
      </c>
      <c r="J3001" s="20">
        <v>4534400</v>
      </c>
      <c r="K30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2" spans="1:11" hidden="1" x14ac:dyDescent="0.25">
      <c r="A3002" s="11"/>
      <c r="B3002" s="11"/>
      <c r="C3002" s="5"/>
      <c r="G3002" s="11"/>
      <c r="H3002" s="5"/>
      <c r="I3002" s="11"/>
      <c r="J3002" s="20"/>
      <c r="K30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3" spans="1:11" x14ac:dyDescent="0.25">
      <c r="A3003" s="11"/>
      <c r="B3003" s="11" t="s">
        <v>477</v>
      </c>
      <c r="C3003" s="5" t="s">
        <v>63</v>
      </c>
      <c r="D3003">
        <v>100</v>
      </c>
      <c r="E3003">
        <v>6</v>
      </c>
      <c r="F3003">
        <v>15</v>
      </c>
      <c r="G3003" s="11">
        <v>2</v>
      </c>
      <c r="H3003" s="5">
        <v>1.7999999999999999E-2</v>
      </c>
      <c r="I3003" s="11">
        <v>163800</v>
      </c>
      <c r="J3003" s="20">
        <v>327600</v>
      </c>
      <c r="K30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04" spans="1:11" hidden="1" x14ac:dyDescent="0.25">
      <c r="A3004" s="11"/>
      <c r="B3004" s="11"/>
      <c r="C3004" s="5"/>
      <c r="G3004" s="11"/>
      <c r="H3004" s="5"/>
      <c r="I3004" s="11"/>
      <c r="J3004" s="20"/>
      <c r="K30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5" spans="1:11" x14ac:dyDescent="0.25">
      <c r="A3005" s="11"/>
      <c r="B3005" s="11" t="s">
        <v>441</v>
      </c>
      <c r="C3005" s="5" t="s">
        <v>19</v>
      </c>
      <c r="D3005">
        <v>230</v>
      </c>
      <c r="E3005">
        <v>6</v>
      </c>
      <c r="F3005">
        <v>15</v>
      </c>
      <c r="G3005" s="11">
        <v>9</v>
      </c>
      <c r="H3005" s="5">
        <v>0.18629999999999999</v>
      </c>
      <c r="I3005" s="11">
        <v>405720</v>
      </c>
      <c r="J3005" s="20">
        <v>3651480</v>
      </c>
      <c r="K30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06" spans="1:11" hidden="1" x14ac:dyDescent="0.25">
      <c r="A3006" s="11"/>
      <c r="B3006" s="11"/>
      <c r="C3006" s="5"/>
      <c r="G3006" s="11"/>
      <c r="H3006" s="5"/>
      <c r="I3006" s="11"/>
      <c r="J3006" s="20"/>
      <c r="K30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7" spans="1:11" x14ac:dyDescent="0.25">
      <c r="A3007" s="11"/>
      <c r="B3007" s="11" t="s">
        <v>499</v>
      </c>
      <c r="C3007" s="5" t="s">
        <v>94</v>
      </c>
      <c r="D3007">
        <v>300</v>
      </c>
      <c r="E3007">
        <v>6</v>
      </c>
      <c r="F3007">
        <v>15</v>
      </c>
      <c r="G3007" s="11">
        <v>3</v>
      </c>
      <c r="H3007" s="5">
        <v>8.1000000000000003E-2</v>
      </c>
      <c r="I3007" s="11">
        <v>529200</v>
      </c>
      <c r="J3007" s="20">
        <v>1587600</v>
      </c>
      <c r="K30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08" spans="1:11" hidden="1" x14ac:dyDescent="0.25">
      <c r="A3008" s="11"/>
      <c r="B3008" s="11"/>
      <c r="C3008" s="5"/>
      <c r="G3008" s="11"/>
      <c r="H3008" s="5"/>
      <c r="I3008" s="11"/>
      <c r="J3008" s="20"/>
      <c r="K30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09" spans="1:11" hidden="1" x14ac:dyDescent="0.25">
      <c r="A3009" s="11"/>
      <c r="B3009" s="11"/>
      <c r="C3009" s="5"/>
      <c r="G3009" s="11"/>
      <c r="H3009" s="5"/>
      <c r="I3009" s="11"/>
      <c r="J3009" s="20"/>
      <c r="K30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0" spans="1:11" x14ac:dyDescent="0.25">
      <c r="A3010" s="11" t="s">
        <v>330</v>
      </c>
      <c r="B3010" s="11" t="s">
        <v>476</v>
      </c>
      <c r="C3010" s="5" t="s">
        <v>62</v>
      </c>
      <c r="D3010">
        <v>400</v>
      </c>
      <c r="E3010">
        <v>3</v>
      </c>
      <c r="F3010">
        <v>20</v>
      </c>
      <c r="G3010" s="11">
        <v>4</v>
      </c>
      <c r="H3010" s="5">
        <v>9.6000000000000002E-2</v>
      </c>
      <c r="I3010" s="11">
        <v>216000</v>
      </c>
      <c r="J3010" s="20">
        <v>864000</v>
      </c>
      <c r="K30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1" spans="1:11" hidden="1" x14ac:dyDescent="0.25">
      <c r="A3011" s="11"/>
      <c r="B3011" s="11"/>
      <c r="C3011" s="5"/>
      <c r="G3011" s="11"/>
      <c r="H3011" s="5"/>
      <c r="I3011" s="11"/>
      <c r="J3011" s="20"/>
      <c r="K30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2" spans="1:11" x14ac:dyDescent="0.25">
      <c r="A3012" s="11"/>
      <c r="B3012" s="11" t="s">
        <v>438</v>
      </c>
      <c r="C3012" s="5" t="s">
        <v>15</v>
      </c>
      <c r="D3012">
        <v>400</v>
      </c>
      <c r="E3012">
        <v>3</v>
      </c>
      <c r="F3012">
        <v>25</v>
      </c>
      <c r="G3012" s="11">
        <v>2</v>
      </c>
      <c r="H3012" s="5">
        <v>0.06</v>
      </c>
      <c r="I3012" s="11">
        <v>288000</v>
      </c>
      <c r="J3012" s="20">
        <v>576000</v>
      </c>
      <c r="K30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3" spans="1:11" hidden="1" x14ac:dyDescent="0.25">
      <c r="A3013" s="11"/>
      <c r="B3013" s="11"/>
      <c r="C3013" s="5"/>
      <c r="G3013" s="11"/>
      <c r="H3013" s="5"/>
      <c r="I3013" s="11"/>
      <c r="J3013" s="20"/>
      <c r="K30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4" spans="1:11" x14ac:dyDescent="0.25">
      <c r="A3014" s="11"/>
      <c r="B3014" s="11" t="s">
        <v>433</v>
      </c>
      <c r="C3014" s="5" t="s">
        <v>9</v>
      </c>
      <c r="D3014">
        <v>400</v>
      </c>
      <c r="E3014">
        <v>4</v>
      </c>
      <c r="F3014">
        <v>20</v>
      </c>
      <c r="G3014" s="11">
        <v>5</v>
      </c>
      <c r="H3014" s="5">
        <v>0.16</v>
      </c>
      <c r="I3014" s="11">
        <v>304000</v>
      </c>
      <c r="J3014" s="20">
        <v>1520000</v>
      </c>
      <c r="K30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5" spans="1:11" hidden="1" x14ac:dyDescent="0.25">
      <c r="A3015" s="11"/>
      <c r="B3015" s="11"/>
      <c r="C3015" s="5"/>
      <c r="G3015" s="11"/>
      <c r="H3015" s="5"/>
      <c r="I3015" s="11"/>
      <c r="J3015" s="20"/>
      <c r="K30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6" spans="1:11" x14ac:dyDescent="0.25">
      <c r="A3016" s="11"/>
      <c r="B3016" s="11" t="s">
        <v>443</v>
      </c>
      <c r="C3016" s="5" t="s">
        <v>21</v>
      </c>
      <c r="D3016">
        <v>400</v>
      </c>
      <c r="E3016">
        <v>4</v>
      </c>
      <c r="F3016">
        <v>25</v>
      </c>
      <c r="G3016" s="11">
        <v>2</v>
      </c>
      <c r="H3016" s="5">
        <v>0.08</v>
      </c>
      <c r="I3016" s="11">
        <v>384000</v>
      </c>
      <c r="J3016" s="20">
        <v>768000</v>
      </c>
      <c r="K30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7" spans="1:11" hidden="1" x14ac:dyDescent="0.25">
      <c r="A3017" s="11"/>
      <c r="B3017" s="11"/>
      <c r="C3017" s="5"/>
      <c r="G3017" s="11"/>
      <c r="H3017" s="5"/>
      <c r="I3017" s="11"/>
      <c r="J3017" s="20"/>
      <c r="K30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8" spans="1:11" hidden="1" x14ac:dyDescent="0.25">
      <c r="A3018" s="11"/>
      <c r="B3018" s="11"/>
      <c r="C3018" s="5"/>
      <c r="G3018" s="11"/>
      <c r="H3018" s="5"/>
      <c r="I3018" s="11"/>
      <c r="J3018" s="20"/>
      <c r="K30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19" spans="1:11" x14ac:dyDescent="0.25">
      <c r="A3019" s="11" t="s">
        <v>331</v>
      </c>
      <c r="B3019" s="11" t="s">
        <v>476</v>
      </c>
      <c r="C3019" s="5" t="s">
        <v>62</v>
      </c>
      <c r="D3019">
        <v>400</v>
      </c>
      <c r="E3019">
        <v>3</v>
      </c>
      <c r="F3019">
        <v>20</v>
      </c>
      <c r="G3019" s="11">
        <v>3</v>
      </c>
      <c r="H3019" s="5">
        <v>7.1999999999999995E-2</v>
      </c>
      <c r="I3019" s="11">
        <v>216000</v>
      </c>
      <c r="J3019" s="20">
        <v>648000</v>
      </c>
      <c r="K30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0" spans="1:11" hidden="1" x14ac:dyDescent="0.25">
      <c r="A3020" s="11"/>
      <c r="B3020" s="11"/>
      <c r="C3020" s="5"/>
      <c r="G3020" s="11"/>
      <c r="H3020" s="5"/>
      <c r="I3020" s="11"/>
      <c r="J3020" s="20"/>
      <c r="K30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1" spans="1:11" x14ac:dyDescent="0.25">
      <c r="A3021" s="11"/>
      <c r="B3021" s="11" t="s">
        <v>503</v>
      </c>
      <c r="C3021" s="5" t="s">
        <v>99</v>
      </c>
      <c r="D3021">
        <v>300</v>
      </c>
      <c r="E3021">
        <v>6</v>
      </c>
      <c r="F3021">
        <v>15</v>
      </c>
      <c r="G3021" s="11">
        <v>3</v>
      </c>
      <c r="H3021" s="5">
        <v>8.1000000000000003E-2</v>
      </c>
      <c r="I3021" s="11">
        <v>243000</v>
      </c>
      <c r="J3021" s="20">
        <v>729000</v>
      </c>
      <c r="K30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22" spans="1:11" hidden="1" x14ac:dyDescent="0.25">
      <c r="A3022" s="11"/>
      <c r="B3022" s="11"/>
      <c r="C3022" s="5"/>
      <c r="G3022" s="11"/>
      <c r="H3022" s="5"/>
      <c r="I3022" s="11"/>
      <c r="J3022" s="20"/>
      <c r="K30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3" spans="1:11" x14ac:dyDescent="0.25">
      <c r="A3023" s="11"/>
      <c r="B3023" s="11" t="s">
        <v>443</v>
      </c>
      <c r="C3023" s="5" t="s">
        <v>21</v>
      </c>
      <c r="D3023">
        <v>400</v>
      </c>
      <c r="E3023">
        <v>4</v>
      </c>
      <c r="F3023">
        <v>25</v>
      </c>
      <c r="G3023" s="11">
        <v>2</v>
      </c>
      <c r="H3023" s="5">
        <v>0.08</v>
      </c>
      <c r="I3023" s="11">
        <v>384000</v>
      </c>
      <c r="J3023" s="20">
        <v>768000</v>
      </c>
      <c r="K30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4" spans="1:11" hidden="1" x14ac:dyDescent="0.25">
      <c r="A3024" s="11"/>
      <c r="B3024" s="11"/>
      <c r="C3024" s="5"/>
      <c r="G3024" s="11"/>
      <c r="H3024" s="5"/>
      <c r="I3024" s="11"/>
      <c r="J3024" s="20"/>
      <c r="K30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5" spans="1:11" hidden="1" x14ac:dyDescent="0.25">
      <c r="A3025" s="11"/>
      <c r="B3025" s="11"/>
      <c r="C3025" s="5"/>
      <c r="G3025" s="11"/>
      <c r="H3025" s="5"/>
      <c r="I3025" s="11"/>
      <c r="J3025" s="20"/>
      <c r="K30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6" spans="1:11" x14ac:dyDescent="0.25">
      <c r="A3026" s="11" t="s">
        <v>331</v>
      </c>
      <c r="B3026" s="11" t="s">
        <v>527</v>
      </c>
      <c r="C3026" s="5" t="s">
        <v>143</v>
      </c>
      <c r="D3026">
        <v>400</v>
      </c>
      <c r="E3026">
        <v>4</v>
      </c>
      <c r="F3026">
        <v>20</v>
      </c>
      <c r="G3026" s="11">
        <v>15</v>
      </c>
      <c r="H3026" s="5">
        <v>0.48</v>
      </c>
      <c r="I3026" s="11">
        <v>697600</v>
      </c>
      <c r="J3026" s="20">
        <v>10464000</v>
      </c>
      <c r="K30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7" spans="1:11" hidden="1" x14ac:dyDescent="0.25">
      <c r="A3027" s="11"/>
      <c r="B3027" s="11"/>
      <c r="C3027" s="5"/>
      <c r="G3027" s="11"/>
      <c r="H3027" s="5"/>
      <c r="I3027" s="11"/>
      <c r="J3027" s="20"/>
      <c r="K30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8" spans="1:11" hidden="1" x14ac:dyDescent="0.25">
      <c r="A3028" s="11"/>
      <c r="B3028" s="11"/>
      <c r="C3028" s="5"/>
      <c r="G3028" s="11"/>
      <c r="H3028" s="5"/>
      <c r="I3028" s="11"/>
      <c r="J3028" s="20"/>
      <c r="K30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29" spans="1:11" x14ac:dyDescent="0.25">
      <c r="A3029" s="11" t="s">
        <v>331</v>
      </c>
      <c r="B3029" s="11" t="s">
        <v>438</v>
      </c>
      <c r="C3029" s="5" t="s">
        <v>15</v>
      </c>
      <c r="D3029">
        <v>400</v>
      </c>
      <c r="E3029">
        <v>3</v>
      </c>
      <c r="F3029">
        <v>25</v>
      </c>
      <c r="G3029" s="11">
        <v>4</v>
      </c>
      <c r="H3029" s="5">
        <v>0.12</v>
      </c>
      <c r="I3029" s="11">
        <v>288000</v>
      </c>
      <c r="J3029" s="20">
        <v>1152000</v>
      </c>
      <c r="K30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0" spans="1:11" hidden="1" x14ac:dyDescent="0.25">
      <c r="A3030" s="11"/>
      <c r="B3030" s="11"/>
      <c r="C3030" s="5"/>
      <c r="G3030" s="11"/>
      <c r="H3030" s="5"/>
      <c r="I3030" s="11"/>
      <c r="J3030" s="20"/>
      <c r="K30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1" spans="1:11" x14ac:dyDescent="0.25">
      <c r="A3031" s="11"/>
      <c r="B3031" s="11" t="s">
        <v>443</v>
      </c>
      <c r="C3031" s="5" t="s">
        <v>21</v>
      </c>
      <c r="D3031">
        <v>400</v>
      </c>
      <c r="E3031">
        <v>4</v>
      </c>
      <c r="F3031">
        <v>25</v>
      </c>
      <c r="G3031" s="11">
        <v>2</v>
      </c>
      <c r="H3031" s="5">
        <v>0.08</v>
      </c>
      <c r="I3031" s="11">
        <v>384000</v>
      </c>
      <c r="J3031" s="20">
        <v>768000</v>
      </c>
      <c r="K30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2" spans="1:11" hidden="1" x14ac:dyDescent="0.25">
      <c r="A3032" s="11"/>
      <c r="B3032" s="11"/>
      <c r="C3032" s="5"/>
      <c r="G3032" s="11"/>
      <c r="H3032" s="5"/>
      <c r="I3032" s="11"/>
      <c r="J3032" s="20"/>
      <c r="K30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3" spans="1:11" x14ac:dyDescent="0.25">
      <c r="A3033" s="11"/>
      <c r="B3033" s="11" t="s">
        <v>453</v>
      </c>
      <c r="C3033" s="5" t="s">
        <v>34</v>
      </c>
      <c r="D3033">
        <v>400</v>
      </c>
      <c r="E3033">
        <v>5</v>
      </c>
      <c r="F3033">
        <v>20</v>
      </c>
      <c r="G3033" s="11">
        <v>1</v>
      </c>
      <c r="H3033" s="5">
        <v>0.04</v>
      </c>
      <c r="I3033" s="11">
        <v>392000</v>
      </c>
      <c r="J3033" s="20">
        <v>392000</v>
      </c>
      <c r="K30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034" spans="1:11" hidden="1" x14ac:dyDescent="0.25">
      <c r="A3034" s="11"/>
      <c r="B3034" s="11"/>
      <c r="C3034" s="5"/>
      <c r="G3034" s="11"/>
      <c r="H3034" s="5"/>
      <c r="I3034" s="11"/>
      <c r="J3034" s="20"/>
      <c r="K30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5" spans="1:11" x14ac:dyDescent="0.25">
      <c r="A3035" s="11"/>
      <c r="B3035" s="11" t="s">
        <v>454</v>
      </c>
      <c r="C3035" s="5" t="s">
        <v>35</v>
      </c>
      <c r="D3035">
        <v>400</v>
      </c>
      <c r="E3035">
        <v>5</v>
      </c>
      <c r="F3035">
        <v>30</v>
      </c>
      <c r="G3035" s="11">
        <v>1</v>
      </c>
      <c r="H3035" s="5">
        <v>0.06</v>
      </c>
      <c r="I3035" s="11">
        <v>600000</v>
      </c>
      <c r="J3035" s="20">
        <v>600000</v>
      </c>
      <c r="K30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036" spans="1:11" hidden="1" x14ac:dyDescent="0.25">
      <c r="A3036" s="11"/>
      <c r="B3036" s="11"/>
      <c r="C3036" s="5"/>
      <c r="G3036" s="11"/>
      <c r="H3036" s="5"/>
      <c r="I3036" s="11"/>
      <c r="J3036" s="20"/>
      <c r="K30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7" spans="1:11" x14ac:dyDescent="0.25">
      <c r="A3037" s="11"/>
      <c r="B3037" s="11" t="s">
        <v>494</v>
      </c>
      <c r="C3037" s="5" t="s">
        <v>87</v>
      </c>
      <c r="D3037">
        <v>450</v>
      </c>
      <c r="E3037">
        <v>4</v>
      </c>
      <c r="F3037">
        <v>25</v>
      </c>
      <c r="G3037" s="11">
        <v>2</v>
      </c>
      <c r="H3037" s="5">
        <v>0.09</v>
      </c>
      <c r="I3037" s="11">
        <v>432000</v>
      </c>
      <c r="J3037" s="20">
        <v>864000</v>
      </c>
      <c r="K30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8" spans="1:11" hidden="1" x14ac:dyDescent="0.25">
      <c r="A3038" s="11"/>
      <c r="B3038" s="11"/>
      <c r="C3038" s="5"/>
      <c r="G3038" s="11"/>
      <c r="H3038" s="5"/>
      <c r="I3038" s="11"/>
      <c r="J3038" s="20"/>
      <c r="K30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39" spans="1:11" hidden="1" x14ac:dyDescent="0.25">
      <c r="A3039" s="11"/>
      <c r="B3039" s="11"/>
      <c r="C3039" s="5"/>
      <c r="G3039" s="11"/>
      <c r="H3039" s="5"/>
      <c r="I3039" s="11"/>
      <c r="J3039" s="20"/>
      <c r="K30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0" spans="1:11" x14ac:dyDescent="0.25">
      <c r="A3040" s="11" t="s">
        <v>331</v>
      </c>
      <c r="B3040" s="11" t="s">
        <v>433</v>
      </c>
      <c r="C3040" s="5" t="s">
        <v>9</v>
      </c>
      <c r="D3040">
        <v>400</v>
      </c>
      <c r="E3040">
        <v>4</v>
      </c>
      <c r="F3040">
        <v>20</v>
      </c>
      <c r="G3040" s="11">
        <v>3</v>
      </c>
      <c r="H3040" s="5">
        <v>9.6000000000000002E-2</v>
      </c>
      <c r="I3040" s="11">
        <v>304000</v>
      </c>
      <c r="J3040" s="20">
        <v>912000</v>
      </c>
      <c r="K30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1" spans="1:11" hidden="1" x14ac:dyDescent="0.25">
      <c r="A3041" s="11"/>
      <c r="B3041" s="11"/>
      <c r="C3041" s="5"/>
      <c r="G3041" s="11"/>
      <c r="H3041" s="5"/>
      <c r="I3041" s="11"/>
      <c r="J3041" s="20"/>
      <c r="K30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2" spans="1:11" x14ac:dyDescent="0.25">
      <c r="A3042" s="11"/>
      <c r="B3042" s="11" t="s">
        <v>519</v>
      </c>
      <c r="C3042" s="5" t="s">
        <v>125</v>
      </c>
      <c r="D3042">
        <v>400</v>
      </c>
      <c r="E3042">
        <v>5</v>
      </c>
      <c r="F3042">
        <v>25</v>
      </c>
      <c r="G3042" s="11">
        <v>1</v>
      </c>
      <c r="H3042" s="5">
        <v>0.05</v>
      </c>
      <c r="I3042" s="11">
        <v>490000</v>
      </c>
      <c r="J3042" s="20">
        <v>490000</v>
      </c>
      <c r="K30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043" spans="1:11" hidden="1" x14ac:dyDescent="0.25">
      <c r="A3043" s="11"/>
      <c r="B3043" s="11"/>
      <c r="C3043" s="5"/>
      <c r="G3043" s="11"/>
      <c r="H3043" s="5"/>
      <c r="I3043" s="11"/>
      <c r="J3043" s="20"/>
      <c r="K30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4" spans="1:11" x14ac:dyDescent="0.25">
      <c r="A3044" s="11"/>
      <c r="B3044" s="11" t="s">
        <v>481</v>
      </c>
      <c r="C3044" s="5" t="s">
        <v>68</v>
      </c>
      <c r="D3044">
        <v>400</v>
      </c>
      <c r="E3044">
        <v>6</v>
      </c>
      <c r="F3044">
        <v>15</v>
      </c>
      <c r="G3044" s="11">
        <v>2</v>
      </c>
      <c r="H3044" s="5">
        <v>7.1999999999999995E-2</v>
      </c>
      <c r="I3044" s="11">
        <v>324000</v>
      </c>
      <c r="J3044" s="20">
        <v>648000</v>
      </c>
      <c r="K30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45" spans="1:11" hidden="1" x14ac:dyDescent="0.25">
      <c r="A3045" s="11"/>
      <c r="B3045" s="11"/>
      <c r="C3045" s="5"/>
      <c r="G3045" s="11"/>
      <c r="H3045" s="5"/>
      <c r="I3045" s="11"/>
      <c r="J3045" s="20"/>
      <c r="K30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6" spans="1:11" x14ac:dyDescent="0.25">
      <c r="A3046" s="11"/>
      <c r="B3046" s="11" t="s">
        <v>436</v>
      </c>
      <c r="C3046" s="5" t="s">
        <v>12</v>
      </c>
      <c r="D3046">
        <v>400</v>
      </c>
      <c r="E3046">
        <v>6</v>
      </c>
      <c r="F3046">
        <v>17</v>
      </c>
      <c r="G3046" s="11">
        <v>3</v>
      </c>
      <c r="H3046" s="5">
        <v>0.12239999999999999</v>
      </c>
      <c r="I3046" s="11">
        <v>383520</v>
      </c>
      <c r="J3046" s="20">
        <v>1150560</v>
      </c>
      <c r="K30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47" spans="1:11" hidden="1" x14ac:dyDescent="0.25">
      <c r="A3047" s="11"/>
      <c r="B3047" s="11"/>
      <c r="C3047" s="5"/>
      <c r="G3047" s="11"/>
      <c r="H3047" s="5"/>
      <c r="I3047" s="11"/>
      <c r="J3047" s="20"/>
      <c r="K30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48" spans="1:11" x14ac:dyDescent="0.25">
      <c r="A3048" s="11"/>
      <c r="B3048" s="11" t="s">
        <v>498</v>
      </c>
      <c r="C3048" s="5" t="s">
        <v>92</v>
      </c>
      <c r="D3048">
        <v>500</v>
      </c>
      <c r="E3048">
        <v>6</v>
      </c>
      <c r="F3048">
        <v>15</v>
      </c>
      <c r="G3048" s="11">
        <v>4</v>
      </c>
      <c r="H3048" s="5">
        <v>0.18</v>
      </c>
      <c r="I3048" s="11">
        <v>427500</v>
      </c>
      <c r="J3048" s="20">
        <v>1710000</v>
      </c>
      <c r="K30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49" spans="1:11" hidden="1" x14ac:dyDescent="0.25">
      <c r="A3049" s="11"/>
      <c r="B3049" s="11"/>
      <c r="C3049" s="5"/>
      <c r="G3049" s="11"/>
      <c r="H3049" s="5"/>
      <c r="I3049" s="11"/>
      <c r="J3049" s="20"/>
      <c r="K30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0" spans="1:11" hidden="1" x14ac:dyDescent="0.25">
      <c r="A3050" s="11"/>
      <c r="B3050" s="11"/>
      <c r="C3050" s="5"/>
      <c r="G3050" s="11"/>
      <c r="H3050" s="5"/>
      <c r="I3050" s="11"/>
      <c r="J3050" s="20"/>
      <c r="K30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1" spans="1:11" x14ac:dyDescent="0.25">
      <c r="A3051" s="11" t="s">
        <v>331</v>
      </c>
      <c r="B3051" s="11" t="s">
        <v>440</v>
      </c>
      <c r="C3051" s="5" t="s">
        <v>17</v>
      </c>
      <c r="D3051">
        <v>500</v>
      </c>
      <c r="E3051">
        <v>4</v>
      </c>
      <c r="F3051">
        <v>25</v>
      </c>
      <c r="G3051" s="11">
        <v>2</v>
      </c>
      <c r="H3051" s="5">
        <v>0.1</v>
      </c>
      <c r="I3051" s="11">
        <v>480000</v>
      </c>
      <c r="J3051" s="20">
        <v>960000</v>
      </c>
      <c r="K30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2" spans="1:11" hidden="1" x14ac:dyDescent="0.25">
      <c r="A3052" s="11"/>
      <c r="B3052" s="11"/>
      <c r="C3052" s="5"/>
      <c r="G3052" s="11"/>
      <c r="H3052" s="5"/>
      <c r="I3052" s="11"/>
      <c r="J3052" s="20"/>
      <c r="K30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3" spans="1:11" x14ac:dyDescent="0.25">
      <c r="A3053" s="11"/>
      <c r="B3053" s="11" t="s">
        <v>550</v>
      </c>
      <c r="C3053" s="5" t="s">
        <v>186</v>
      </c>
      <c r="D3053">
        <v>500</v>
      </c>
      <c r="E3053">
        <v>5</v>
      </c>
      <c r="F3053">
        <v>25</v>
      </c>
      <c r="G3053" s="11">
        <v>1</v>
      </c>
      <c r="H3053" s="5">
        <v>6.25E-2</v>
      </c>
      <c r="I3053" s="11">
        <v>612500</v>
      </c>
      <c r="J3053" s="20">
        <v>612500</v>
      </c>
      <c r="K30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054" spans="1:11" hidden="1" x14ac:dyDescent="0.25">
      <c r="A3054" s="11"/>
      <c r="B3054" s="11"/>
      <c r="C3054" s="5"/>
      <c r="G3054" s="11"/>
      <c r="H3054" s="5"/>
      <c r="I3054" s="11"/>
      <c r="J3054" s="20"/>
      <c r="K30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5" spans="1:11" x14ac:dyDescent="0.25">
      <c r="A3055" s="11"/>
      <c r="B3055" s="11" t="s">
        <v>514</v>
      </c>
      <c r="C3055" s="5" t="s">
        <v>116</v>
      </c>
      <c r="D3055">
        <v>500</v>
      </c>
      <c r="E3055">
        <v>5</v>
      </c>
      <c r="F3055">
        <v>30</v>
      </c>
      <c r="G3055" s="11">
        <v>2</v>
      </c>
      <c r="H3055" s="5">
        <v>0.15</v>
      </c>
      <c r="I3055" s="11">
        <v>750000</v>
      </c>
      <c r="J3055" s="20">
        <v>1500000</v>
      </c>
      <c r="K30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056" spans="1:11" hidden="1" x14ac:dyDescent="0.25">
      <c r="A3056" s="11"/>
      <c r="B3056" s="11"/>
      <c r="C3056" s="5"/>
      <c r="G3056" s="11"/>
      <c r="H3056" s="5"/>
      <c r="I3056" s="11"/>
      <c r="J3056" s="20"/>
      <c r="K30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7" spans="1:11" x14ac:dyDescent="0.25">
      <c r="A3057" s="11"/>
      <c r="B3057" s="11" t="s">
        <v>452</v>
      </c>
      <c r="C3057" s="5" t="s">
        <v>32</v>
      </c>
      <c r="D3057">
        <v>500</v>
      </c>
      <c r="E3057">
        <v>6</v>
      </c>
      <c r="F3057">
        <v>17</v>
      </c>
      <c r="G3057" s="11">
        <v>21</v>
      </c>
      <c r="H3057" s="5">
        <v>1.071</v>
      </c>
      <c r="I3057" s="11">
        <v>504900</v>
      </c>
      <c r="J3057" s="20">
        <v>10602900</v>
      </c>
      <c r="K30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58" spans="1:11" hidden="1" x14ac:dyDescent="0.25">
      <c r="A3058" s="11"/>
      <c r="B3058" s="11"/>
      <c r="C3058" s="5"/>
      <c r="G3058" s="11"/>
      <c r="H3058" s="5"/>
      <c r="I3058" s="11"/>
      <c r="J3058" s="20"/>
      <c r="K30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59" spans="1:11" hidden="1" x14ac:dyDescent="0.25">
      <c r="A3059" s="11"/>
      <c r="B3059" s="11"/>
      <c r="C3059" s="5"/>
      <c r="G3059" s="11"/>
      <c r="H3059" s="5"/>
      <c r="I3059" s="11"/>
      <c r="J3059" s="20"/>
      <c r="K30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0" spans="1:11" x14ac:dyDescent="0.25">
      <c r="A3060" s="11" t="s">
        <v>332</v>
      </c>
      <c r="B3060" s="11" t="s">
        <v>503</v>
      </c>
      <c r="C3060" s="5" t="s">
        <v>99</v>
      </c>
      <c r="D3060">
        <v>300</v>
      </c>
      <c r="E3060">
        <v>6</v>
      </c>
      <c r="F3060">
        <v>15</v>
      </c>
      <c r="G3060" s="11">
        <v>1</v>
      </c>
      <c r="H3060" s="5">
        <v>2.7E-2</v>
      </c>
      <c r="I3060" s="11">
        <v>243000</v>
      </c>
      <c r="J3060" s="20">
        <v>243000</v>
      </c>
      <c r="K30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61" spans="1:11" hidden="1" x14ac:dyDescent="0.25">
      <c r="A3061" s="11"/>
      <c r="B3061" s="11"/>
      <c r="C3061" s="5"/>
      <c r="G3061" s="11"/>
      <c r="H3061" s="5"/>
      <c r="I3061" s="11"/>
      <c r="J3061" s="20"/>
      <c r="K30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2" spans="1:11" x14ac:dyDescent="0.25">
      <c r="A3062" s="11"/>
      <c r="B3062" s="11" t="s">
        <v>491</v>
      </c>
      <c r="C3062" s="5" t="s">
        <v>83</v>
      </c>
      <c r="D3062">
        <v>450</v>
      </c>
      <c r="E3062">
        <v>6</v>
      </c>
      <c r="F3062">
        <v>15</v>
      </c>
      <c r="G3062" s="11">
        <v>3</v>
      </c>
      <c r="H3062" s="5">
        <v>0.1215</v>
      </c>
      <c r="I3062" s="11">
        <v>384750</v>
      </c>
      <c r="J3062" s="20">
        <v>1154250</v>
      </c>
      <c r="K30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63" spans="1:11" hidden="1" x14ac:dyDescent="0.25">
      <c r="A3063" s="11"/>
      <c r="B3063" s="11"/>
      <c r="C3063" s="5"/>
      <c r="G3063" s="11"/>
      <c r="H3063" s="5"/>
      <c r="I3063" s="11"/>
      <c r="J3063" s="20"/>
      <c r="K30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4" spans="1:11" hidden="1" x14ac:dyDescent="0.25">
      <c r="A3064" s="11"/>
      <c r="B3064" s="11"/>
      <c r="C3064" s="5"/>
      <c r="G3064" s="11"/>
      <c r="H3064" s="5"/>
      <c r="I3064" s="11"/>
      <c r="J3064" s="20"/>
      <c r="K30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5" spans="1:11" x14ac:dyDescent="0.25">
      <c r="A3065" s="11" t="s">
        <v>332</v>
      </c>
      <c r="B3065" s="11" t="s">
        <v>435</v>
      </c>
      <c r="C3065" s="5" t="s">
        <v>11</v>
      </c>
      <c r="D3065">
        <v>400</v>
      </c>
      <c r="E3065">
        <v>6</v>
      </c>
      <c r="F3065">
        <v>12</v>
      </c>
      <c r="G3065" s="11">
        <v>2</v>
      </c>
      <c r="H3065" s="5">
        <v>5.7599999999999998E-2</v>
      </c>
      <c r="I3065" s="11">
        <v>259200</v>
      </c>
      <c r="J3065" s="20">
        <v>518400</v>
      </c>
      <c r="K30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66" spans="1:11" hidden="1" x14ac:dyDescent="0.25">
      <c r="A3066" s="11"/>
      <c r="B3066" s="11"/>
      <c r="C3066" s="5"/>
      <c r="G3066" s="11"/>
      <c r="H3066" s="5"/>
      <c r="I3066" s="11"/>
      <c r="J3066" s="20"/>
      <c r="K30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7" spans="1:11" x14ac:dyDescent="0.25">
      <c r="A3067" s="11"/>
      <c r="B3067" s="11" t="s">
        <v>481</v>
      </c>
      <c r="C3067" s="5" t="s">
        <v>68</v>
      </c>
      <c r="D3067">
        <v>400</v>
      </c>
      <c r="E3067">
        <v>6</v>
      </c>
      <c r="F3067">
        <v>15</v>
      </c>
      <c r="G3067" s="11">
        <v>15</v>
      </c>
      <c r="H3067" s="5">
        <v>0.54</v>
      </c>
      <c r="I3067" s="11">
        <v>324000</v>
      </c>
      <c r="J3067" s="20">
        <v>4860000</v>
      </c>
      <c r="K30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68" spans="1:11" hidden="1" x14ac:dyDescent="0.25">
      <c r="A3068" s="11"/>
      <c r="B3068" s="11"/>
      <c r="C3068" s="5"/>
      <c r="G3068" s="11"/>
      <c r="H3068" s="5"/>
      <c r="I3068" s="11"/>
      <c r="J3068" s="20"/>
      <c r="K30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69" spans="1:11" hidden="1" x14ac:dyDescent="0.25">
      <c r="A3069" s="11"/>
      <c r="B3069" s="11"/>
      <c r="C3069" s="5"/>
      <c r="G3069" s="11"/>
      <c r="H3069" s="5"/>
      <c r="I3069" s="11"/>
      <c r="J3069" s="20"/>
      <c r="K30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0" spans="1:11" x14ac:dyDescent="0.25">
      <c r="A3070" s="11" t="s">
        <v>333</v>
      </c>
      <c r="B3070" s="11" t="s">
        <v>504</v>
      </c>
      <c r="C3070" s="5" t="s">
        <v>100</v>
      </c>
      <c r="D3070">
        <v>250</v>
      </c>
      <c r="E3070">
        <v>6</v>
      </c>
      <c r="F3070">
        <v>15</v>
      </c>
      <c r="G3070" s="11">
        <v>10</v>
      </c>
      <c r="H3070" s="5">
        <v>0.22500000000000001</v>
      </c>
      <c r="I3070" s="11">
        <v>470250</v>
      </c>
      <c r="J3070" s="20">
        <v>4702500</v>
      </c>
      <c r="K30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71" spans="1:11" hidden="1" x14ac:dyDescent="0.25">
      <c r="A3071" s="11"/>
      <c r="B3071" s="11"/>
      <c r="C3071" s="5"/>
      <c r="G3071" s="11"/>
      <c r="H3071" s="5"/>
      <c r="I3071" s="11"/>
      <c r="J3071" s="20"/>
      <c r="K30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2" spans="1:11" x14ac:dyDescent="0.25">
      <c r="A3072" s="11"/>
      <c r="B3072" s="11" t="s">
        <v>477</v>
      </c>
      <c r="C3072" s="5" t="s">
        <v>63</v>
      </c>
      <c r="D3072">
        <v>100</v>
      </c>
      <c r="E3072">
        <v>6</v>
      </c>
      <c r="F3072">
        <v>15</v>
      </c>
      <c r="G3072" s="11">
        <v>5</v>
      </c>
      <c r="H3072" s="5">
        <v>4.4999999999999998E-2</v>
      </c>
      <c r="I3072" s="11">
        <v>166050</v>
      </c>
      <c r="J3072" s="20">
        <v>830250</v>
      </c>
      <c r="K30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73" spans="1:11" hidden="1" x14ac:dyDescent="0.25">
      <c r="A3073" s="11"/>
      <c r="B3073" s="11"/>
      <c r="C3073" s="5"/>
      <c r="G3073" s="11"/>
      <c r="H3073" s="5"/>
      <c r="I3073" s="11"/>
      <c r="J3073" s="20"/>
      <c r="K30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4" spans="1:11" x14ac:dyDescent="0.25">
      <c r="A3074" s="11"/>
      <c r="B3074" s="11" t="s">
        <v>443</v>
      </c>
      <c r="C3074" s="5" t="s">
        <v>21</v>
      </c>
      <c r="D3074">
        <v>400</v>
      </c>
      <c r="E3074">
        <v>4</v>
      </c>
      <c r="F3074">
        <v>25</v>
      </c>
      <c r="G3074" s="11">
        <v>1</v>
      </c>
      <c r="H3074" s="5">
        <v>0.04</v>
      </c>
      <c r="I3074" s="11">
        <v>394000</v>
      </c>
      <c r="J3074" s="20">
        <v>394000</v>
      </c>
      <c r="K30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5" spans="1:11" hidden="1" x14ac:dyDescent="0.25">
      <c r="A3075" s="11"/>
      <c r="B3075" s="11"/>
      <c r="C3075" s="5"/>
      <c r="G3075" s="11"/>
      <c r="H3075" s="5"/>
      <c r="I3075" s="11"/>
      <c r="J3075" s="20"/>
      <c r="K30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6" spans="1:11" x14ac:dyDescent="0.25">
      <c r="A3076" s="11"/>
      <c r="B3076" s="11" t="s">
        <v>502</v>
      </c>
      <c r="C3076" s="5" t="s">
        <v>98</v>
      </c>
      <c r="D3076">
        <v>400</v>
      </c>
      <c r="E3076">
        <v>5</v>
      </c>
      <c r="F3076">
        <v>15</v>
      </c>
      <c r="G3076" s="11">
        <v>1</v>
      </c>
      <c r="H3076" s="5">
        <v>0.03</v>
      </c>
      <c r="I3076" s="11">
        <v>289500</v>
      </c>
      <c r="J3076" s="20">
        <v>289500</v>
      </c>
      <c r="K30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77" spans="1:11" hidden="1" x14ac:dyDescent="0.25">
      <c r="A3077" s="11"/>
      <c r="B3077" s="11"/>
      <c r="C3077" s="5"/>
      <c r="G3077" s="11"/>
      <c r="H3077" s="5"/>
      <c r="I3077" s="11"/>
      <c r="J3077" s="20"/>
      <c r="K30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8" spans="1:11" hidden="1" x14ac:dyDescent="0.25">
      <c r="A3078" s="11"/>
      <c r="B3078" s="11"/>
      <c r="C3078" s="5"/>
      <c r="G3078" s="11"/>
      <c r="H3078" s="5"/>
      <c r="I3078" s="11"/>
      <c r="J3078" s="20"/>
      <c r="K30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79" spans="1:11" x14ac:dyDescent="0.25">
      <c r="A3079" s="11" t="s">
        <v>333</v>
      </c>
      <c r="B3079" s="11" t="s">
        <v>505</v>
      </c>
      <c r="C3079" s="5" t="s">
        <v>101</v>
      </c>
      <c r="D3079">
        <v>500</v>
      </c>
      <c r="E3079">
        <v>6</v>
      </c>
      <c r="F3079">
        <v>12</v>
      </c>
      <c r="G3079" s="11">
        <v>1</v>
      </c>
      <c r="H3079" s="5">
        <v>3.5999999999999997E-2</v>
      </c>
      <c r="I3079" s="11">
        <v>741600</v>
      </c>
      <c r="J3079" s="20">
        <v>741600</v>
      </c>
      <c r="K30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80" spans="1:11" hidden="1" x14ac:dyDescent="0.25">
      <c r="A3080" s="11"/>
      <c r="B3080" s="11"/>
      <c r="C3080" s="5"/>
      <c r="G3080" s="11"/>
      <c r="H3080" s="5"/>
      <c r="I3080" s="11"/>
      <c r="J3080" s="20"/>
      <c r="K30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1" spans="1:11" hidden="1" x14ac:dyDescent="0.25">
      <c r="A3081" s="11"/>
      <c r="B3081" s="11"/>
      <c r="C3081" s="5"/>
      <c r="G3081" s="11"/>
      <c r="H3081" s="5"/>
      <c r="I3081" s="11"/>
      <c r="J3081" s="20"/>
      <c r="K30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>
      </c>
      <c r="D3082">
        <v>400</v>
      </c>
      <c r="E3082">
        <v>4</v>
      </c>
      <c r="F3082">
        <v>25</v>
      </c>
      <c r="G3082" s="11">
        <v>1</v>
      </c>
      <c r="H3082" s="5">
        <v>0.04</v>
      </c>
      <c r="I3082" s="11">
        <v>876000</v>
      </c>
      <c r="J3082" s="20">
        <v>876000</v>
      </c>
      <c r="K30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3" spans="1:11" hidden="1" x14ac:dyDescent="0.25">
      <c r="A3083" s="11"/>
      <c r="B3083" s="11"/>
      <c r="C3083" s="5"/>
      <c r="G3083" s="11"/>
      <c r="H3083" s="5"/>
      <c r="I3083" s="11"/>
      <c r="J3083" s="20"/>
      <c r="K30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4" spans="1:11" x14ac:dyDescent="0.25">
      <c r="A3084" s="11"/>
      <c r="B3084" s="11" t="s">
        <v>524</v>
      </c>
      <c r="C3084" s="5" t="s">
        <v>137</v>
      </c>
      <c r="D3084">
        <v>400</v>
      </c>
      <c r="E3084">
        <v>4</v>
      </c>
      <c r="F3084">
        <v>30</v>
      </c>
      <c r="G3084" s="11">
        <v>5</v>
      </c>
      <c r="H3084" s="5">
        <v>0.24</v>
      </c>
      <c r="I3084" s="11">
        <v>1075200</v>
      </c>
      <c r="J3084" s="20">
        <v>5376000</v>
      </c>
      <c r="K30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5" spans="1:11" hidden="1" x14ac:dyDescent="0.25">
      <c r="A3085" s="11"/>
      <c r="B3085" s="11"/>
      <c r="C3085" s="5"/>
      <c r="G3085" s="11"/>
      <c r="H3085" s="5"/>
      <c r="I3085" s="11"/>
      <c r="J3085" s="20"/>
      <c r="K30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6" spans="1:11" x14ac:dyDescent="0.25">
      <c r="A3086" s="11"/>
      <c r="B3086" s="11" t="s">
        <v>432</v>
      </c>
      <c r="C3086" s="5" t="s">
        <v>7</v>
      </c>
      <c r="D3086">
        <v>500</v>
      </c>
      <c r="E3086">
        <v>3</v>
      </c>
      <c r="F3086">
        <v>35</v>
      </c>
      <c r="G3086" s="11">
        <v>1</v>
      </c>
      <c r="H3086" s="5">
        <v>5.2499999999999998E-2</v>
      </c>
      <c r="I3086" s="11">
        <v>1223250</v>
      </c>
      <c r="J3086" s="20">
        <v>1223250</v>
      </c>
      <c r="K30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7" spans="1:11" hidden="1" x14ac:dyDescent="0.25">
      <c r="A3087" s="11"/>
      <c r="B3087" s="11"/>
      <c r="C3087" s="5"/>
      <c r="G3087" s="11"/>
      <c r="H3087" s="5"/>
      <c r="I3087" s="11"/>
      <c r="J3087" s="20"/>
      <c r="K30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8" spans="1:11" x14ac:dyDescent="0.25">
      <c r="A3088" s="11"/>
      <c r="B3088" s="11" t="s">
        <v>508</v>
      </c>
      <c r="C3088" s="5" t="s">
        <v>105</v>
      </c>
      <c r="D3088">
        <v>500</v>
      </c>
      <c r="E3088">
        <v>4</v>
      </c>
      <c r="F3088">
        <v>30</v>
      </c>
      <c r="G3088" s="11">
        <v>5</v>
      </c>
      <c r="H3088" s="5">
        <v>0.3</v>
      </c>
      <c r="I3088" s="11">
        <v>1374000</v>
      </c>
      <c r="J3088" s="20">
        <v>6870000</v>
      </c>
      <c r="K30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89" spans="1:11" hidden="1" x14ac:dyDescent="0.25">
      <c r="A3089" s="11"/>
      <c r="B3089" s="11"/>
      <c r="C3089" s="5"/>
      <c r="G3089" s="11"/>
      <c r="H3089" s="5"/>
      <c r="I3089" s="11"/>
      <c r="J3089" s="20"/>
      <c r="K30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0" spans="1:11" hidden="1" x14ac:dyDescent="0.25">
      <c r="A3090" s="11"/>
      <c r="B3090" s="11"/>
      <c r="C3090" s="5"/>
      <c r="G3090" s="11"/>
      <c r="H3090" s="5"/>
      <c r="I3090" s="11"/>
      <c r="J3090" s="20"/>
      <c r="K30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1" spans="1:11" x14ac:dyDescent="0.25">
      <c r="A3091" s="11" t="s">
        <v>333</v>
      </c>
      <c r="B3091" s="11" t="s">
        <v>438</v>
      </c>
      <c r="C3091" s="5" t="s">
        <v>15</v>
      </c>
      <c r="D3091">
        <v>400</v>
      </c>
      <c r="E3091">
        <v>3</v>
      </c>
      <c r="F3091">
        <v>25</v>
      </c>
      <c r="G3091" s="11">
        <v>2</v>
      </c>
      <c r="H3091" s="5">
        <v>0.06</v>
      </c>
      <c r="I3091" s="11">
        <v>288000</v>
      </c>
      <c r="J3091" s="20">
        <v>576000</v>
      </c>
      <c r="K30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2" spans="1:11" hidden="1" x14ac:dyDescent="0.25">
      <c r="A3092" s="11"/>
      <c r="B3092" s="11"/>
      <c r="C3092" s="5"/>
      <c r="G3092" s="11"/>
      <c r="H3092" s="5"/>
      <c r="I3092" s="11"/>
      <c r="J3092" s="20"/>
      <c r="K30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3" spans="1:11" x14ac:dyDescent="0.25">
      <c r="A3093" s="11"/>
      <c r="B3093" s="11" t="s">
        <v>439</v>
      </c>
      <c r="C3093" s="5" t="s">
        <v>16</v>
      </c>
      <c r="D3093">
        <v>400</v>
      </c>
      <c r="E3093">
        <v>3</v>
      </c>
      <c r="F3093">
        <v>30</v>
      </c>
      <c r="G3093" s="11">
        <v>5</v>
      </c>
      <c r="H3093" s="5">
        <v>0.18</v>
      </c>
      <c r="I3093" s="11">
        <v>352800</v>
      </c>
      <c r="J3093" s="20">
        <v>1764000</v>
      </c>
      <c r="K30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4" spans="1:11" hidden="1" x14ac:dyDescent="0.25">
      <c r="A3094" s="11"/>
      <c r="B3094" s="11"/>
      <c r="C3094" s="5"/>
      <c r="G3094" s="11"/>
      <c r="H3094" s="5"/>
      <c r="I3094" s="11"/>
      <c r="J3094" s="20"/>
      <c r="K30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5" spans="1:11" x14ac:dyDescent="0.25">
      <c r="A3095" s="11"/>
      <c r="B3095" s="11" t="s">
        <v>440</v>
      </c>
      <c r="C3095" s="5" t="s">
        <v>17</v>
      </c>
      <c r="D3095">
        <v>500</v>
      </c>
      <c r="E3095">
        <v>4</v>
      </c>
      <c r="F3095">
        <v>25</v>
      </c>
      <c r="G3095" s="11">
        <v>12</v>
      </c>
      <c r="H3095" s="5">
        <v>0.6</v>
      </c>
      <c r="I3095" s="11">
        <v>480000</v>
      </c>
      <c r="J3095" s="20">
        <v>5760000</v>
      </c>
      <c r="K30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6" spans="1:11" hidden="1" x14ac:dyDescent="0.25">
      <c r="A3096" s="11"/>
      <c r="B3096" s="11"/>
      <c r="C3096" s="5"/>
      <c r="G3096" s="11"/>
      <c r="H3096" s="5"/>
      <c r="I3096" s="11"/>
      <c r="J3096" s="20"/>
      <c r="K30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7" spans="1:11" hidden="1" x14ac:dyDescent="0.25">
      <c r="A3097" s="11"/>
      <c r="B3097" s="11"/>
      <c r="C3097" s="5"/>
      <c r="G3097" s="11"/>
      <c r="H3097" s="5"/>
      <c r="I3097" s="11"/>
      <c r="J3097" s="20"/>
      <c r="K30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098" spans="1:11" x14ac:dyDescent="0.25">
      <c r="A3098" s="11" t="s">
        <v>334</v>
      </c>
      <c r="B3098" s="11" t="s">
        <v>485</v>
      </c>
      <c r="C3098" s="5" t="s">
        <v>74</v>
      </c>
      <c r="D3098">
        <v>150</v>
      </c>
      <c r="E3098">
        <v>6</v>
      </c>
      <c r="F3098">
        <v>15</v>
      </c>
      <c r="G3098" s="11">
        <v>1</v>
      </c>
      <c r="H3098" s="5">
        <v>1.35E-2</v>
      </c>
      <c r="I3098" s="11">
        <v>245700</v>
      </c>
      <c r="J3098" s="20">
        <v>245700</v>
      </c>
      <c r="K30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099" spans="1:11" hidden="1" x14ac:dyDescent="0.25">
      <c r="A3099" s="11"/>
      <c r="B3099" s="11"/>
      <c r="C3099" s="5"/>
      <c r="G3099" s="11"/>
      <c r="H3099" s="5"/>
      <c r="I3099" s="11"/>
      <c r="J3099" s="20"/>
      <c r="K30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0" spans="1:11" x14ac:dyDescent="0.25">
      <c r="A3100" s="11"/>
      <c r="B3100" s="11" t="s">
        <v>500</v>
      </c>
      <c r="C3100" s="5" t="s">
        <v>95</v>
      </c>
      <c r="D3100">
        <v>210</v>
      </c>
      <c r="E3100">
        <v>6</v>
      </c>
      <c r="F3100">
        <v>15</v>
      </c>
      <c r="G3100" s="11">
        <v>2</v>
      </c>
      <c r="H3100" s="5">
        <v>3.78E-2</v>
      </c>
      <c r="I3100" s="11">
        <v>370440</v>
      </c>
      <c r="J3100" s="20">
        <v>740880</v>
      </c>
      <c r="K31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01" spans="1:11" hidden="1" x14ac:dyDescent="0.25">
      <c r="A3101" s="11"/>
      <c r="B3101" s="11"/>
      <c r="C3101" s="5"/>
      <c r="G3101" s="11"/>
      <c r="H3101" s="5"/>
      <c r="I3101" s="11"/>
      <c r="J3101" s="20"/>
      <c r="K31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2" spans="1:11" hidden="1" x14ac:dyDescent="0.25">
      <c r="A3102" s="11"/>
      <c r="B3102" s="11"/>
      <c r="C3102" s="5"/>
      <c r="G3102" s="11"/>
      <c r="H3102" s="5"/>
      <c r="I3102" s="11"/>
      <c r="J3102" s="20"/>
      <c r="K31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3" spans="1:11" x14ac:dyDescent="0.25">
      <c r="A3103" s="11" t="s">
        <v>334</v>
      </c>
      <c r="B3103" s="11" t="s">
        <v>433</v>
      </c>
      <c r="C3103" s="5" t="s">
        <v>9</v>
      </c>
      <c r="D3103">
        <v>400</v>
      </c>
      <c r="E3103">
        <v>4</v>
      </c>
      <c r="F3103">
        <v>20</v>
      </c>
      <c r="G3103" s="11">
        <v>7</v>
      </c>
      <c r="H3103" s="5">
        <v>0.224</v>
      </c>
      <c r="I3103" s="11">
        <v>304000</v>
      </c>
      <c r="J3103" s="20">
        <v>2128000</v>
      </c>
      <c r="K31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4" spans="1:11" hidden="1" x14ac:dyDescent="0.25">
      <c r="A3104" s="11"/>
      <c r="B3104" s="11"/>
      <c r="C3104" s="5"/>
      <c r="G3104" s="11"/>
      <c r="H3104" s="5"/>
      <c r="I3104" s="11"/>
      <c r="J3104" s="20"/>
      <c r="K31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5" spans="1:11" x14ac:dyDescent="0.25">
      <c r="A3105" s="11"/>
      <c r="B3105" s="11" t="s">
        <v>440</v>
      </c>
      <c r="C3105" s="5" t="s">
        <v>17</v>
      </c>
      <c r="D3105">
        <v>500</v>
      </c>
      <c r="E3105">
        <v>4</v>
      </c>
      <c r="F3105">
        <v>25</v>
      </c>
      <c r="G3105" s="11">
        <v>9</v>
      </c>
      <c r="H3105" s="5">
        <v>0.45</v>
      </c>
      <c r="I3105" s="11">
        <v>480000</v>
      </c>
      <c r="J3105" s="20">
        <v>4320000</v>
      </c>
      <c r="K31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6" spans="1:11" hidden="1" x14ac:dyDescent="0.25">
      <c r="A3106" s="11"/>
      <c r="B3106" s="11"/>
      <c r="C3106" s="5"/>
      <c r="G3106" s="11"/>
      <c r="H3106" s="5"/>
      <c r="I3106" s="11"/>
      <c r="J3106" s="20"/>
      <c r="K31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7" spans="1:11" hidden="1" x14ac:dyDescent="0.25">
      <c r="A3107" s="11"/>
      <c r="B3107" s="11"/>
      <c r="C3107" s="5"/>
      <c r="G3107" s="11"/>
      <c r="H3107" s="5"/>
      <c r="I3107" s="11"/>
      <c r="J3107" s="20"/>
      <c r="K31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08" spans="1:11" x14ac:dyDescent="0.25">
      <c r="A3108" s="11" t="s">
        <v>334</v>
      </c>
      <c r="B3108" s="11" t="s">
        <v>441</v>
      </c>
      <c r="C3108" s="5" t="s">
        <v>19</v>
      </c>
      <c r="D3108">
        <v>230</v>
      </c>
      <c r="E3108">
        <v>6</v>
      </c>
      <c r="F3108">
        <v>15</v>
      </c>
      <c r="G3108" s="11">
        <v>2</v>
      </c>
      <c r="H3108" s="5">
        <v>4.1399999999999999E-2</v>
      </c>
      <c r="I3108" s="11">
        <v>405720</v>
      </c>
      <c r="J3108" s="20">
        <v>811440</v>
      </c>
      <c r="K31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09" spans="1:11" hidden="1" x14ac:dyDescent="0.25">
      <c r="A3109" s="11"/>
      <c r="B3109" s="11"/>
      <c r="C3109" s="5"/>
      <c r="G3109" s="11"/>
      <c r="H3109" s="5"/>
      <c r="I3109" s="11"/>
      <c r="J3109" s="20"/>
      <c r="K31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0" spans="1:11" hidden="1" x14ac:dyDescent="0.25">
      <c r="A3110" s="11"/>
      <c r="B3110" s="11"/>
      <c r="C3110" s="5"/>
      <c r="G3110" s="11"/>
      <c r="H3110" s="5"/>
      <c r="I3110" s="11"/>
      <c r="J3110" s="20"/>
      <c r="K31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1" spans="1:11" x14ac:dyDescent="0.25">
      <c r="A3111" s="11" t="s">
        <v>334</v>
      </c>
      <c r="B3111" s="11" t="s">
        <v>433</v>
      </c>
      <c r="C3111" s="5" t="s">
        <v>9</v>
      </c>
      <c r="D3111">
        <v>400</v>
      </c>
      <c r="E3111">
        <v>4</v>
      </c>
      <c r="F3111">
        <v>20</v>
      </c>
      <c r="G3111" s="11">
        <v>4</v>
      </c>
      <c r="H3111" s="5">
        <v>0.128</v>
      </c>
      <c r="I3111" s="11">
        <v>304000</v>
      </c>
      <c r="J3111" s="20">
        <v>1216000</v>
      </c>
      <c r="K31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2" spans="1:11" hidden="1" x14ac:dyDescent="0.25">
      <c r="A3112" s="11"/>
      <c r="B3112" s="11"/>
      <c r="C3112" s="5"/>
      <c r="G3112" s="11"/>
      <c r="H3112" s="5"/>
      <c r="I3112" s="11"/>
      <c r="J3112" s="20"/>
      <c r="K31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3" spans="1:11" x14ac:dyDescent="0.25">
      <c r="A3113" s="11"/>
      <c r="B3113" s="11" t="s">
        <v>443</v>
      </c>
      <c r="C3113" s="5" t="s">
        <v>21</v>
      </c>
      <c r="D3113">
        <v>400</v>
      </c>
      <c r="E3113">
        <v>4</v>
      </c>
      <c r="F3113">
        <v>25</v>
      </c>
      <c r="G3113" s="11">
        <v>2</v>
      </c>
      <c r="H3113" s="5">
        <v>0.08</v>
      </c>
      <c r="I3113" s="11">
        <v>384000</v>
      </c>
      <c r="J3113" s="20">
        <v>768000</v>
      </c>
      <c r="K31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4" spans="1:11" hidden="1" x14ac:dyDescent="0.25">
      <c r="A3114" s="11"/>
      <c r="B3114" s="11"/>
      <c r="C3114" s="5"/>
      <c r="G3114" s="11"/>
      <c r="H3114" s="5"/>
      <c r="I3114" s="11"/>
      <c r="J3114" s="20"/>
      <c r="K31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5" spans="1:11" hidden="1" x14ac:dyDescent="0.25">
      <c r="A3115" s="11"/>
      <c r="B3115" s="11"/>
      <c r="C3115" s="5"/>
      <c r="G3115" s="11"/>
      <c r="H3115" s="5"/>
      <c r="I3115" s="11"/>
      <c r="J3115" s="20"/>
      <c r="K31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6" spans="1:11" x14ac:dyDescent="0.25">
      <c r="A3116" s="11" t="s">
        <v>334</v>
      </c>
      <c r="B3116" s="11" t="s">
        <v>518</v>
      </c>
      <c r="C3116" s="5" t="s">
        <v>123</v>
      </c>
      <c r="D3116">
        <v>400</v>
      </c>
      <c r="E3116">
        <v>5</v>
      </c>
      <c r="F3116">
        <v>10</v>
      </c>
      <c r="G3116" s="11">
        <v>4</v>
      </c>
      <c r="H3116" s="5">
        <v>0.08</v>
      </c>
      <c r="I3116" s="11">
        <v>404000</v>
      </c>
      <c r="J3116" s="20">
        <v>1616000</v>
      </c>
      <c r="K31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17" spans="1:11" hidden="1" x14ac:dyDescent="0.25">
      <c r="A3117" s="11"/>
      <c r="B3117" s="11"/>
      <c r="C3117" s="5"/>
      <c r="G3117" s="11"/>
      <c r="H3117" s="5"/>
      <c r="I3117" s="11"/>
      <c r="J3117" s="20"/>
      <c r="K31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8" spans="1:11" hidden="1" x14ac:dyDescent="0.25">
      <c r="A3118" s="11"/>
      <c r="B3118" s="11"/>
      <c r="C3118" s="5"/>
      <c r="G3118" s="11"/>
      <c r="H3118" s="5"/>
      <c r="I3118" s="11"/>
      <c r="J3118" s="20"/>
      <c r="K31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19" spans="1:11" x14ac:dyDescent="0.25">
      <c r="A3119" s="11" t="s">
        <v>334</v>
      </c>
      <c r="B3119" s="11" t="s">
        <v>436</v>
      </c>
      <c r="C3119" s="5" t="s">
        <v>12</v>
      </c>
      <c r="D3119">
        <v>400</v>
      </c>
      <c r="E3119">
        <v>6</v>
      </c>
      <c r="F3119">
        <v>17</v>
      </c>
      <c r="G3119" s="11">
        <v>2</v>
      </c>
      <c r="H3119" s="5">
        <v>8.1600000000000006E-2</v>
      </c>
      <c r="I3119" s="11">
        <v>383520</v>
      </c>
      <c r="J3119" s="20">
        <v>767040</v>
      </c>
      <c r="K31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20" spans="1:11" hidden="1" x14ac:dyDescent="0.25">
      <c r="A3120" s="11"/>
      <c r="B3120" s="11"/>
      <c r="C3120" s="5"/>
      <c r="G3120" s="11"/>
      <c r="H3120" s="5"/>
      <c r="I3120" s="11"/>
      <c r="J3120" s="20"/>
      <c r="K31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1" spans="1:11" hidden="1" x14ac:dyDescent="0.25">
      <c r="A3121" s="11"/>
      <c r="B3121" s="11"/>
      <c r="C3121" s="5"/>
      <c r="G3121" s="11"/>
      <c r="H3121" s="5"/>
      <c r="I3121" s="11"/>
      <c r="J3121" s="20"/>
      <c r="K31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2" spans="1:11" x14ac:dyDescent="0.25">
      <c r="A3122" s="11" t="s">
        <v>334</v>
      </c>
      <c r="B3122" s="11" t="s">
        <v>434</v>
      </c>
      <c r="C3122" s="5" t="s">
        <v>10</v>
      </c>
      <c r="D3122">
        <v>400</v>
      </c>
      <c r="E3122">
        <v>4</v>
      </c>
      <c r="F3122">
        <v>30</v>
      </c>
      <c r="G3122" s="11">
        <v>2</v>
      </c>
      <c r="H3122" s="5">
        <v>9.6000000000000002E-2</v>
      </c>
      <c r="I3122" s="11">
        <v>470400</v>
      </c>
      <c r="J3122" s="20">
        <v>940800</v>
      </c>
      <c r="K31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3" spans="1:11" hidden="1" x14ac:dyDescent="0.25">
      <c r="A3123" s="11"/>
      <c r="B3123" s="11"/>
      <c r="C3123" s="5"/>
      <c r="G3123" s="11"/>
      <c r="H3123" s="5"/>
      <c r="I3123" s="11"/>
      <c r="J3123" s="20"/>
      <c r="K31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4" spans="1:11" hidden="1" x14ac:dyDescent="0.25">
      <c r="A3124" s="11"/>
      <c r="B3124" s="11"/>
      <c r="C3124" s="5"/>
      <c r="G3124" s="11"/>
      <c r="H3124" s="5"/>
      <c r="I3124" s="11"/>
      <c r="J3124" s="20"/>
      <c r="K31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5" spans="1:11" x14ac:dyDescent="0.25">
      <c r="A3125" s="11" t="s">
        <v>335</v>
      </c>
      <c r="B3125" s="11" t="s">
        <v>507</v>
      </c>
      <c r="C3125" s="5" t="s">
        <v>104</v>
      </c>
      <c r="D3125">
        <v>400</v>
      </c>
      <c r="E3125">
        <v>4</v>
      </c>
      <c r="F3125">
        <v>25</v>
      </c>
      <c r="G3125" s="11">
        <v>17</v>
      </c>
      <c r="H3125" s="5">
        <v>0.68</v>
      </c>
      <c r="I3125" s="11">
        <v>876000</v>
      </c>
      <c r="J3125" s="20">
        <v>14892000</v>
      </c>
      <c r="K31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6" spans="1:11" hidden="1" x14ac:dyDescent="0.25">
      <c r="A3126" s="11"/>
      <c r="B3126" s="11"/>
      <c r="C3126" s="5"/>
      <c r="G3126" s="11"/>
      <c r="H3126" s="5"/>
      <c r="I3126" s="11"/>
      <c r="J3126" s="20"/>
      <c r="K31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7" spans="1:11" x14ac:dyDescent="0.25">
      <c r="A3127" s="11"/>
      <c r="B3127" s="11" t="s">
        <v>588</v>
      </c>
      <c r="C3127" s="5" t="s">
        <v>336</v>
      </c>
      <c r="D3127">
        <v>400</v>
      </c>
      <c r="E3127">
        <v>12</v>
      </c>
      <c r="F3127">
        <v>12</v>
      </c>
      <c r="G3127" s="11">
        <v>12</v>
      </c>
      <c r="H3127" s="5">
        <v>0.69120000000000004</v>
      </c>
      <c r="I3127" s="11">
        <v>1324800</v>
      </c>
      <c r="J3127" s="20">
        <v>15897600</v>
      </c>
      <c r="K31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128" spans="1:11" hidden="1" x14ac:dyDescent="0.25">
      <c r="A3128" s="11"/>
      <c r="B3128" s="11"/>
      <c r="C3128" s="5"/>
      <c r="G3128" s="11"/>
      <c r="H3128" s="5"/>
      <c r="I3128" s="11"/>
      <c r="J3128" s="20"/>
      <c r="K31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29" spans="1:11" hidden="1" x14ac:dyDescent="0.25">
      <c r="A3129" s="11"/>
      <c r="B3129" s="11"/>
      <c r="C3129" s="5"/>
      <c r="G3129" s="11"/>
      <c r="H3129" s="5"/>
      <c r="I3129" s="11"/>
      <c r="J3129" s="20"/>
      <c r="K31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0" spans="1:11" x14ac:dyDescent="0.25">
      <c r="A3130" s="11" t="s">
        <v>335</v>
      </c>
      <c r="B3130" s="11" t="s">
        <v>553</v>
      </c>
      <c r="C3130" s="5" t="s">
        <v>194</v>
      </c>
      <c r="D3130">
        <v>400</v>
      </c>
      <c r="E3130">
        <v>3</v>
      </c>
      <c r="F3130">
        <v>30</v>
      </c>
      <c r="G3130" s="11">
        <v>1</v>
      </c>
      <c r="H3130" s="5">
        <v>3.5999999999999997E-2</v>
      </c>
      <c r="I3130" s="11">
        <v>298800</v>
      </c>
      <c r="J3130" s="20">
        <v>298800</v>
      </c>
      <c r="K31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1" spans="1:11" hidden="1" x14ac:dyDescent="0.25">
      <c r="A3131" s="11"/>
      <c r="B3131" s="11"/>
      <c r="C3131" s="5"/>
      <c r="G3131" s="11"/>
      <c r="H3131" s="5"/>
      <c r="I3131" s="11"/>
      <c r="J3131" s="20"/>
      <c r="K31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2" spans="1:11" x14ac:dyDescent="0.25">
      <c r="A3132" s="11"/>
      <c r="B3132" s="11" t="s">
        <v>564</v>
      </c>
      <c r="C3132" s="5" t="s">
        <v>233</v>
      </c>
      <c r="D3132">
        <v>400</v>
      </c>
      <c r="E3132">
        <v>4</v>
      </c>
      <c r="F3132">
        <v>25</v>
      </c>
      <c r="G3132" s="11">
        <v>1</v>
      </c>
      <c r="H3132" s="5">
        <v>0.04</v>
      </c>
      <c r="I3132" s="11">
        <v>312000</v>
      </c>
      <c r="J3132" s="20">
        <v>312000</v>
      </c>
      <c r="K31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3" spans="1:11" hidden="1" x14ac:dyDescent="0.25">
      <c r="A3133" s="11"/>
      <c r="B3133" s="11"/>
      <c r="C3133" s="5"/>
      <c r="G3133" s="11"/>
      <c r="H3133" s="5"/>
      <c r="I3133" s="11"/>
      <c r="J3133" s="20"/>
      <c r="K31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4" spans="1:11" x14ac:dyDescent="0.25">
      <c r="A3134" s="11"/>
      <c r="B3134" s="11" t="s">
        <v>435</v>
      </c>
      <c r="C3134" s="5" t="s">
        <v>11</v>
      </c>
      <c r="D3134">
        <v>400</v>
      </c>
      <c r="E3134">
        <v>6</v>
      </c>
      <c r="F3134">
        <v>12</v>
      </c>
      <c r="G3134" s="11">
        <v>3</v>
      </c>
      <c r="H3134" s="5">
        <v>8.6400000000000005E-2</v>
      </c>
      <c r="I3134" s="11">
        <v>259200</v>
      </c>
      <c r="J3134" s="20">
        <v>777600</v>
      </c>
      <c r="K31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35" spans="1:11" hidden="1" x14ac:dyDescent="0.25">
      <c r="A3135" s="11"/>
      <c r="B3135" s="11"/>
      <c r="C3135" s="5"/>
      <c r="G3135" s="11"/>
      <c r="H3135" s="5"/>
      <c r="I3135" s="11"/>
      <c r="J3135" s="20"/>
      <c r="K31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6" spans="1:11" hidden="1" x14ac:dyDescent="0.25">
      <c r="A3136" s="11"/>
      <c r="B3136" s="11"/>
      <c r="C3136" s="5"/>
      <c r="G3136" s="11"/>
      <c r="H3136" s="5"/>
      <c r="I3136" s="11"/>
      <c r="J3136" s="20"/>
      <c r="K31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7" spans="1:11" x14ac:dyDescent="0.25">
      <c r="A3137" s="11" t="s">
        <v>335</v>
      </c>
      <c r="B3137" s="11" t="s">
        <v>471</v>
      </c>
      <c r="C3137" s="5" t="s">
        <v>56</v>
      </c>
      <c r="D3137">
        <v>500</v>
      </c>
      <c r="E3137">
        <v>5</v>
      </c>
      <c r="F3137">
        <v>15</v>
      </c>
      <c r="G3137" s="11">
        <v>21</v>
      </c>
      <c r="H3137" s="5">
        <v>0.78749999999999998</v>
      </c>
      <c r="I3137" s="11">
        <v>371250</v>
      </c>
      <c r="J3137" s="20">
        <v>7796250</v>
      </c>
      <c r="K31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38" spans="1:11" hidden="1" x14ac:dyDescent="0.25">
      <c r="A3138" s="11"/>
      <c r="B3138" s="11"/>
      <c r="C3138" s="5"/>
      <c r="G3138" s="11"/>
      <c r="H3138" s="5"/>
      <c r="I3138" s="11"/>
      <c r="J3138" s="20"/>
      <c r="K31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39" spans="1:11" hidden="1" x14ac:dyDescent="0.25">
      <c r="A3139" s="11"/>
      <c r="B3139" s="11"/>
      <c r="C3139" s="5"/>
      <c r="G3139" s="11"/>
      <c r="H3139" s="5"/>
      <c r="I3139" s="11"/>
      <c r="J3139" s="20"/>
      <c r="K31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0" spans="1:11" x14ac:dyDescent="0.25">
      <c r="A3140" s="11" t="s">
        <v>335</v>
      </c>
      <c r="B3140" s="11" t="s">
        <v>478</v>
      </c>
      <c r="C3140" s="5" t="s">
        <v>64</v>
      </c>
      <c r="D3140">
        <v>180</v>
      </c>
      <c r="E3140">
        <v>6</v>
      </c>
      <c r="F3140">
        <v>15</v>
      </c>
      <c r="G3140" s="11">
        <v>2</v>
      </c>
      <c r="H3140" s="5">
        <v>3.2399999999999998E-2</v>
      </c>
      <c r="I3140" s="11">
        <v>294840</v>
      </c>
      <c r="J3140" s="20">
        <v>589680</v>
      </c>
      <c r="K31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41" spans="1:11" hidden="1" x14ac:dyDescent="0.25">
      <c r="A3141" s="11"/>
      <c r="B3141" s="11"/>
      <c r="C3141" s="5"/>
      <c r="G3141" s="11"/>
      <c r="H3141" s="5"/>
      <c r="I3141" s="11"/>
      <c r="J3141" s="20"/>
      <c r="K31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2" spans="1:11" hidden="1" x14ac:dyDescent="0.25">
      <c r="A3142" s="11"/>
      <c r="B3142" s="11"/>
      <c r="C3142" s="5"/>
      <c r="G3142" s="11"/>
      <c r="H3142" s="5"/>
      <c r="I3142" s="11"/>
      <c r="J3142" s="20"/>
      <c r="K31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3" spans="1:11" x14ac:dyDescent="0.25">
      <c r="A3143" s="11" t="s">
        <v>337</v>
      </c>
      <c r="B3143" s="11" t="s">
        <v>456</v>
      </c>
      <c r="C3143" s="5" t="s">
        <v>37</v>
      </c>
      <c r="D3143">
        <v>250</v>
      </c>
      <c r="E3143">
        <v>4</v>
      </c>
      <c r="F3143">
        <v>25</v>
      </c>
      <c r="G3143" s="11">
        <v>2</v>
      </c>
      <c r="H3143" s="5">
        <v>0.05</v>
      </c>
      <c r="I3143" s="11">
        <v>547500</v>
      </c>
      <c r="J3143" s="20">
        <v>1095000</v>
      </c>
      <c r="K31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4" spans="1:11" hidden="1" x14ac:dyDescent="0.25">
      <c r="A3144" s="11"/>
      <c r="B3144" s="11"/>
      <c r="C3144" s="5"/>
      <c r="G3144" s="11"/>
      <c r="H3144" s="5"/>
      <c r="I3144" s="11"/>
      <c r="J3144" s="20"/>
      <c r="K31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5" spans="1:11" x14ac:dyDescent="0.25">
      <c r="A3145" s="11"/>
      <c r="B3145" s="11" t="s">
        <v>504</v>
      </c>
      <c r="C3145" s="5" t="s">
        <v>100</v>
      </c>
      <c r="D3145">
        <v>250</v>
      </c>
      <c r="E3145">
        <v>6</v>
      </c>
      <c r="F3145">
        <v>15</v>
      </c>
      <c r="G3145" s="11">
        <v>1</v>
      </c>
      <c r="H3145" s="5">
        <v>2.2499999999999999E-2</v>
      </c>
      <c r="I3145" s="11">
        <v>463500</v>
      </c>
      <c r="J3145" s="20">
        <v>463500</v>
      </c>
      <c r="K31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46" spans="1:11" hidden="1" x14ac:dyDescent="0.25">
      <c r="A3146" s="11"/>
      <c r="B3146" s="11"/>
      <c r="C3146" s="5"/>
      <c r="G3146" s="11"/>
      <c r="H3146" s="5"/>
      <c r="I3146" s="11"/>
      <c r="J3146" s="20"/>
      <c r="K31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7" spans="1:11" x14ac:dyDescent="0.25">
      <c r="A3147" s="11"/>
      <c r="B3147" s="11" t="s">
        <v>457</v>
      </c>
      <c r="C3147" s="5" t="s">
        <v>38</v>
      </c>
      <c r="D3147">
        <v>300</v>
      </c>
      <c r="E3147">
        <v>4</v>
      </c>
      <c r="F3147">
        <v>25</v>
      </c>
      <c r="G3147" s="11">
        <v>2</v>
      </c>
      <c r="H3147" s="5">
        <v>0.06</v>
      </c>
      <c r="I3147" s="11">
        <v>657000</v>
      </c>
      <c r="J3147" s="20">
        <v>1314000</v>
      </c>
      <c r="K31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8" spans="1:11" hidden="1" x14ac:dyDescent="0.25">
      <c r="A3148" s="11"/>
      <c r="B3148" s="11"/>
      <c r="C3148" s="5"/>
      <c r="G3148" s="11"/>
      <c r="H3148" s="5"/>
      <c r="I3148" s="11"/>
      <c r="J3148" s="20"/>
      <c r="K31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49" spans="1:11" x14ac:dyDescent="0.25">
      <c r="A3149" s="11"/>
      <c r="B3149" s="11" t="s">
        <v>507</v>
      </c>
      <c r="C3149" s="5" t="s">
        <v>104</v>
      </c>
      <c r="D3149">
        <v>400</v>
      </c>
      <c r="E3149">
        <v>4</v>
      </c>
      <c r="F3149">
        <v>25</v>
      </c>
      <c r="G3149" s="11">
        <v>3</v>
      </c>
      <c r="H3149" s="5">
        <v>0.12</v>
      </c>
      <c r="I3149" s="11">
        <v>876000</v>
      </c>
      <c r="J3149" s="20">
        <v>2628000</v>
      </c>
      <c r="K31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0" spans="1:11" hidden="1" x14ac:dyDescent="0.25">
      <c r="A3150" s="11"/>
      <c r="B3150" s="11"/>
      <c r="C3150" s="5"/>
      <c r="G3150" s="11"/>
      <c r="H3150" s="5"/>
      <c r="I3150" s="11"/>
      <c r="J3150" s="20"/>
      <c r="K31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1" spans="1:11" x14ac:dyDescent="0.25">
      <c r="A3151" s="11"/>
      <c r="B3151" s="11" t="s">
        <v>508</v>
      </c>
      <c r="C3151" s="5" t="s">
        <v>105</v>
      </c>
      <c r="D3151">
        <v>500</v>
      </c>
      <c r="E3151">
        <v>4</v>
      </c>
      <c r="F3151">
        <v>30</v>
      </c>
      <c r="G3151" s="11">
        <v>1</v>
      </c>
      <c r="H3151" s="5">
        <v>0.06</v>
      </c>
      <c r="I3151" s="11">
        <v>1374000</v>
      </c>
      <c r="J3151" s="20">
        <v>1374000</v>
      </c>
      <c r="K31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2" spans="1:11" hidden="1" x14ac:dyDescent="0.25">
      <c r="A3152" s="11"/>
      <c r="B3152" s="11"/>
      <c r="C3152" s="5"/>
      <c r="G3152" s="11"/>
      <c r="H3152" s="5"/>
      <c r="I3152" s="11"/>
      <c r="J3152" s="20"/>
      <c r="K31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3" spans="1:11" x14ac:dyDescent="0.25">
      <c r="A3153" s="11"/>
      <c r="B3153" s="11" t="s">
        <v>446</v>
      </c>
      <c r="C3153" s="5" t="s">
        <v>25</v>
      </c>
      <c r="D3153">
        <v>400</v>
      </c>
      <c r="E3153">
        <v>4</v>
      </c>
      <c r="F3153">
        <v>15</v>
      </c>
      <c r="G3153" s="11">
        <v>1</v>
      </c>
      <c r="H3153" s="5">
        <v>2.4E-2</v>
      </c>
      <c r="I3153" s="11">
        <v>506400</v>
      </c>
      <c r="J3153" s="20">
        <v>506400</v>
      </c>
      <c r="K31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4" spans="1:11" hidden="1" x14ac:dyDescent="0.25">
      <c r="A3154" s="11"/>
      <c r="B3154" s="11"/>
      <c r="C3154" s="5"/>
      <c r="G3154" s="11"/>
      <c r="H3154" s="5"/>
      <c r="I3154" s="11"/>
      <c r="J3154" s="20"/>
      <c r="K31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5" spans="1:11" x14ac:dyDescent="0.25">
      <c r="A3155" s="11"/>
      <c r="B3155" s="11" t="s">
        <v>488</v>
      </c>
      <c r="C3155" s="5" t="s">
        <v>78</v>
      </c>
      <c r="D3155">
        <v>300</v>
      </c>
      <c r="E3155">
        <v>4</v>
      </c>
      <c r="F3155">
        <v>20</v>
      </c>
      <c r="G3155" s="11">
        <v>2</v>
      </c>
      <c r="H3155" s="5">
        <v>4.8000000000000001E-2</v>
      </c>
      <c r="I3155" s="11">
        <v>523200</v>
      </c>
      <c r="J3155" s="20">
        <v>1046400</v>
      </c>
      <c r="K31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6" spans="1:11" hidden="1" x14ac:dyDescent="0.25">
      <c r="A3156" s="11"/>
      <c r="B3156" s="11"/>
      <c r="C3156" s="5"/>
      <c r="G3156" s="11"/>
      <c r="H3156" s="5"/>
      <c r="I3156" s="11"/>
      <c r="J3156" s="20"/>
      <c r="K31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7" spans="1:11" hidden="1" x14ac:dyDescent="0.25">
      <c r="A3157" s="11"/>
      <c r="B3157" s="11"/>
      <c r="C3157" s="5"/>
      <c r="G3157" s="11"/>
      <c r="H3157" s="5"/>
      <c r="I3157" s="11"/>
      <c r="J3157" s="20"/>
      <c r="K31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58" spans="1:11" x14ac:dyDescent="0.25">
      <c r="A3158" s="11" t="s">
        <v>337</v>
      </c>
      <c r="B3158" s="11" t="s">
        <v>505</v>
      </c>
      <c r="C3158" s="5" t="s">
        <v>101</v>
      </c>
      <c r="D3158">
        <v>500</v>
      </c>
      <c r="E3158">
        <v>6</v>
      </c>
      <c r="F3158">
        <v>12</v>
      </c>
      <c r="G3158" s="11">
        <v>3</v>
      </c>
      <c r="H3158" s="5">
        <v>0.108</v>
      </c>
      <c r="I3158" s="11">
        <v>741600</v>
      </c>
      <c r="J3158" s="20">
        <v>2224800</v>
      </c>
      <c r="K31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59" spans="1:11" hidden="1" x14ac:dyDescent="0.25">
      <c r="A3159" s="11"/>
      <c r="B3159" s="11"/>
      <c r="C3159" s="5"/>
      <c r="G3159" s="11"/>
      <c r="H3159" s="5"/>
      <c r="I3159" s="11"/>
      <c r="J3159" s="20"/>
      <c r="K31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0" spans="1:11" hidden="1" x14ac:dyDescent="0.25">
      <c r="A3160" s="11"/>
      <c r="B3160" s="11"/>
      <c r="C3160" s="5"/>
      <c r="G3160" s="11"/>
      <c r="H3160" s="5"/>
      <c r="I3160" s="11"/>
      <c r="J3160" s="20"/>
      <c r="K31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1" spans="1:11" x14ac:dyDescent="0.25">
      <c r="A3161" s="11" t="s">
        <v>337</v>
      </c>
      <c r="B3161" s="11" t="s">
        <v>486</v>
      </c>
      <c r="C3161" s="5" t="s">
        <v>76</v>
      </c>
      <c r="D3161">
        <v>400</v>
      </c>
      <c r="E3161">
        <v>3</v>
      </c>
      <c r="F3161">
        <v>25</v>
      </c>
      <c r="G3161" s="11">
        <v>4</v>
      </c>
      <c r="H3161" s="5">
        <v>0.12</v>
      </c>
      <c r="I3161" s="11">
        <v>657000</v>
      </c>
      <c r="J3161" s="20">
        <v>2628000</v>
      </c>
      <c r="K31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2" spans="1:11" hidden="1" x14ac:dyDescent="0.25">
      <c r="A3162" s="11"/>
      <c r="B3162" s="11"/>
      <c r="C3162" s="5"/>
      <c r="G3162" s="11"/>
      <c r="H3162" s="5"/>
      <c r="I3162" s="11"/>
      <c r="J3162" s="20"/>
      <c r="K31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3" spans="1:11" x14ac:dyDescent="0.25">
      <c r="A3163" s="11"/>
      <c r="B3163" s="11" t="s">
        <v>489</v>
      </c>
      <c r="C3163" s="5" t="s">
        <v>80</v>
      </c>
      <c r="D3163">
        <v>400</v>
      </c>
      <c r="E3163">
        <v>5</v>
      </c>
      <c r="F3163">
        <v>20</v>
      </c>
      <c r="G3163" s="11">
        <v>1</v>
      </c>
      <c r="H3163" s="5">
        <v>0.04</v>
      </c>
      <c r="I3163" s="11">
        <v>880000</v>
      </c>
      <c r="J3163" s="20">
        <v>880000</v>
      </c>
      <c r="K31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164" spans="1:11" hidden="1" x14ac:dyDescent="0.25">
      <c r="A3164" s="11"/>
      <c r="B3164" s="11"/>
      <c r="C3164" s="5"/>
      <c r="G3164" s="11"/>
      <c r="H3164" s="5"/>
      <c r="I3164" s="11"/>
      <c r="J3164" s="20"/>
      <c r="K31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5" spans="1:11" x14ac:dyDescent="0.25">
      <c r="A3165" s="11"/>
      <c r="B3165" s="11" t="s">
        <v>517</v>
      </c>
      <c r="C3165" s="5" t="s">
        <v>122</v>
      </c>
      <c r="D3165">
        <v>400</v>
      </c>
      <c r="E3165">
        <v>6</v>
      </c>
      <c r="F3165">
        <v>15</v>
      </c>
      <c r="G3165" s="11">
        <v>1</v>
      </c>
      <c r="H3165" s="5">
        <v>3.5999999999999997E-2</v>
      </c>
      <c r="I3165" s="11">
        <v>723600</v>
      </c>
      <c r="J3165" s="20">
        <v>723600</v>
      </c>
      <c r="K31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66" spans="1:11" hidden="1" x14ac:dyDescent="0.25">
      <c r="A3166" s="11"/>
      <c r="B3166" s="11"/>
      <c r="C3166" s="5"/>
      <c r="G3166" s="11"/>
      <c r="H3166" s="5"/>
      <c r="I3166" s="11"/>
      <c r="J3166" s="20"/>
      <c r="K31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7" spans="1:11" x14ac:dyDescent="0.25">
      <c r="A3167" s="11"/>
      <c r="B3167" s="11" t="s">
        <v>445</v>
      </c>
      <c r="C3167" s="5" t="s">
        <v>24</v>
      </c>
      <c r="D3167">
        <v>500</v>
      </c>
      <c r="E3167">
        <v>5</v>
      </c>
      <c r="F3167">
        <v>15</v>
      </c>
      <c r="G3167" s="11">
        <v>2</v>
      </c>
      <c r="H3167" s="5">
        <v>7.4999999999999997E-2</v>
      </c>
      <c r="I3167" s="11">
        <v>791250</v>
      </c>
      <c r="J3167" s="20">
        <v>1582500</v>
      </c>
      <c r="K31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68" spans="1:11" hidden="1" x14ac:dyDescent="0.25">
      <c r="A3168" s="11"/>
      <c r="B3168" s="11"/>
      <c r="C3168" s="5"/>
      <c r="G3168" s="11"/>
      <c r="H3168" s="5"/>
      <c r="I3168" s="11"/>
      <c r="J3168" s="20"/>
      <c r="K31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69" spans="1:11" x14ac:dyDescent="0.25">
      <c r="A3169" s="11"/>
      <c r="B3169" s="11" t="s">
        <v>481</v>
      </c>
      <c r="C3169" s="5" t="s">
        <v>68</v>
      </c>
      <c r="D3169">
        <v>400</v>
      </c>
      <c r="E3169">
        <v>6</v>
      </c>
      <c r="F3169">
        <v>15</v>
      </c>
      <c r="G3169" s="11">
        <v>1</v>
      </c>
      <c r="H3169" s="5">
        <v>3.5999999999999997E-2</v>
      </c>
      <c r="I3169" s="11">
        <v>334800</v>
      </c>
      <c r="J3169" s="20">
        <v>334800</v>
      </c>
      <c r="K31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70" spans="1:11" hidden="1" x14ac:dyDescent="0.25">
      <c r="A3170" s="11"/>
      <c r="B3170" s="11"/>
      <c r="C3170" s="5"/>
      <c r="G3170" s="11"/>
      <c r="H3170" s="5"/>
      <c r="I3170" s="11"/>
      <c r="J3170" s="20"/>
      <c r="K31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1" spans="1:11" hidden="1" x14ac:dyDescent="0.25">
      <c r="A3171" s="11"/>
      <c r="B3171" s="11"/>
      <c r="C3171" s="5"/>
      <c r="G3171" s="11"/>
      <c r="H3171" s="5"/>
      <c r="I3171" s="11"/>
      <c r="J3171" s="20"/>
      <c r="K31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2" spans="1:11" x14ac:dyDescent="0.25">
      <c r="A3172" s="11" t="s">
        <v>337</v>
      </c>
      <c r="B3172" s="11" t="s">
        <v>506</v>
      </c>
      <c r="C3172" s="5" t="s">
        <v>103</v>
      </c>
      <c r="D3172">
        <v>400</v>
      </c>
      <c r="E3172">
        <v>3</v>
      </c>
      <c r="F3172">
        <v>30</v>
      </c>
      <c r="G3172" s="11">
        <v>1</v>
      </c>
      <c r="H3172" s="5">
        <v>3.5999999999999997E-2</v>
      </c>
      <c r="I3172" s="11">
        <v>806400</v>
      </c>
      <c r="J3172" s="20">
        <v>806400</v>
      </c>
      <c r="K31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3" spans="1:11" hidden="1" x14ac:dyDescent="0.25">
      <c r="A3173" s="11"/>
      <c r="B3173" s="11"/>
      <c r="C3173" s="5"/>
      <c r="G3173" s="11"/>
      <c r="H3173" s="5"/>
      <c r="I3173" s="11"/>
      <c r="J3173" s="20"/>
      <c r="K31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4" spans="1:11" x14ac:dyDescent="0.25">
      <c r="A3174" s="11"/>
      <c r="B3174" s="11" t="s">
        <v>458</v>
      </c>
      <c r="C3174" s="5" t="s">
        <v>39</v>
      </c>
      <c r="D3174">
        <v>220</v>
      </c>
      <c r="E3174">
        <v>6</v>
      </c>
      <c r="F3174">
        <v>15</v>
      </c>
      <c r="G3174" s="11">
        <v>1</v>
      </c>
      <c r="H3174" s="5">
        <v>1.9800000000000002E-2</v>
      </c>
      <c r="I3174" s="11">
        <v>388080</v>
      </c>
      <c r="J3174" s="20">
        <v>388080</v>
      </c>
      <c r="K31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75" spans="1:11" hidden="1" x14ac:dyDescent="0.25">
      <c r="A3175" s="11"/>
      <c r="B3175" s="11"/>
      <c r="C3175" s="5"/>
      <c r="G3175" s="11"/>
      <c r="H3175" s="5"/>
      <c r="I3175" s="11"/>
      <c r="J3175" s="20"/>
      <c r="K31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6" spans="1:11" hidden="1" x14ac:dyDescent="0.25">
      <c r="A3176" s="11"/>
      <c r="B3176" s="11"/>
      <c r="C3176" s="5"/>
      <c r="G3176" s="11"/>
      <c r="H3176" s="5"/>
      <c r="I3176" s="11"/>
      <c r="J3176" s="20"/>
      <c r="K31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7" spans="1:11" x14ac:dyDescent="0.25">
      <c r="A3177" s="11" t="s">
        <v>337</v>
      </c>
      <c r="B3177" s="11" t="s">
        <v>455</v>
      </c>
      <c r="C3177" s="5" t="s">
        <v>36</v>
      </c>
      <c r="D3177">
        <v>400</v>
      </c>
      <c r="E3177">
        <v>3</v>
      </c>
      <c r="F3177">
        <v>20</v>
      </c>
      <c r="G3177" s="11">
        <v>1</v>
      </c>
      <c r="H3177" s="5">
        <v>2.4E-2</v>
      </c>
      <c r="I3177" s="11">
        <v>235200</v>
      </c>
      <c r="J3177" s="20">
        <v>235200</v>
      </c>
      <c r="K31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8" spans="1:11" hidden="1" x14ac:dyDescent="0.25">
      <c r="A3178" s="11"/>
      <c r="B3178" s="11"/>
      <c r="C3178" s="5"/>
      <c r="G3178" s="11"/>
      <c r="H3178" s="5"/>
      <c r="I3178" s="11"/>
      <c r="J3178" s="20"/>
      <c r="K31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79" spans="1:11" x14ac:dyDescent="0.25">
      <c r="A3179" s="11"/>
      <c r="B3179" s="11" t="s">
        <v>439</v>
      </c>
      <c r="C3179" s="5" t="s">
        <v>16</v>
      </c>
      <c r="D3179">
        <v>400</v>
      </c>
      <c r="E3179">
        <v>3</v>
      </c>
      <c r="F3179">
        <v>30</v>
      </c>
      <c r="G3179" s="11">
        <v>5</v>
      </c>
      <c r="H3179" s="5">
        <v>0.18</v>
      </c>
      <c r="I3179" s="11">
        <v>363600</v>
      </c>
      <c r="J3179" s="20">
        <v>1818000</v>
      </c>
      <c r="K31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0" spans="1:11" hidden="1" x14ac:dyDescent="0.25">
      <c r="A3180" s="11"/>
      <c r="B3180" s="11"/>
      <c r="C3180" s="5"/>
      <c r="G3180" s="11"/>
      <c r="H3180" s="5"/>
      <c r="I3180" s="11"/>
      <c r="J3180" s="20"/>
      <c r="K31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1" spans="1:11" x14ac:dyDescent="0.25">
      <c r="A3181" s="11"/>
      <c r="B3181" s="11" t="s">
        <v>433</v>
      </c>
      <c r="C3181" s="5" t="s">
        <v>9</v>
      </c>
      <c r="D3181">
        <v>400</v>
      </c>
      <c r="E3181">
        <v>4</v>
      </c>
      <c r="F3181">
        <v>20</v>
      </c>
      <c r="G3181" s="11">
        <v>2</v>
      </c>
      <c r="H3181" s="5">
        <v>6.4000000000000001E-2</v>
      </c>
      <c r="I3181" s="11">
        <v>313600</v>
      </c>
      <c r="J3181" s="20">
        <v>627200</v>
      </c>
      <c r="K31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2" spans="1:11" hidden="1" x14ac:dyDescent="0.25">
      <c r="A3182" s="11"/>
      <c r="B3182" s="11"/>
      <c r="C3182" s="5"/>
      <c r="G3182" s="11"/>
      <c r="H3182" s="5"/>
      <c r="I3182" s="11"/>
      <c r="J3182" s="20"/>
      <c r="K31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3" spans="1:11" x14ac:dyDescent="0.25">
      <c r="A3183" s="11"/>
      <c r="B3183" s="11" t="s">
        <v>443</v>
      </c>
      <c r="C3183" s="5" t="s">
        <v>21</v>
      </c>
      <c r="D3183">
        <v>400</v>
      </c>
      <c r="E3183">
        <v>4</v>
      </c>
      <c r="F3183">
        <v>25</v>
      </c>
      <c r="G3183" s="11">
        <v>5</v>
      </c>
      <c r="H3183" s="5">
        <v>0.2</v>
      </c>
      <c r="I3183" s="11">
        <v>396000</v>
      </c>
      <c r="J3183" s="20">
        <v>1980000</v>
      </c>
      <c r="K31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4" spans="1:11" hidden="1" x14ac:dyDescent="0.25">
      <c r="A3184" s="11"/>
      <c r="B3184" s="11"/>
      <c r="C3184" s="5"/>
      <c r="G3184" s="11"/>
      <c r="H3184" s="5"/>
      <c r="I3184" s="11"/>
      <c r="J3184" s="20"/>
      <c r="K31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5" spans="1:11" x14ac:dyDescent="0.25">
      <c r="A3185" s="11"/>
      <c r="B3185" s="11" t="s">
        <v>481</v>
      </c>
      <c r="C3185" s="5" t="s">
        <v>68</v>
      </c>
      <c r="D3185">
        <v>400</v>
      </c>
      <c r="E3185">
        <v>6</v>
      </c>
      <c r="F3185">
        <v>15</v>
      </c>
      <c r="G3185" s="11">
        <v>2</v>
      </c>
      <c r="H3185" s="5">
        <v>7.1999999999999995E-2</v>
      </c>
      <c r="I3185" s="11">
        <v>334800</v>
      </c>
      <c r="J3185" s="20">
        <v>669600</v>
      </c>
      <c r="K31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86" spans="1:11" hidden="1" x14ac:dyDescent="0.25">
      <c r="A3186" s="11"/>
      <c r="B3186" s="11"/>
      <c r="C3186" s="5"/>
      <c r="G3186" s="11"/>
      <c r="H3186" s="5"/>
      <c r="I3186" s="11"/>
      <c r="J3186" s="20"/>
      <c r="K31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7" spans="1:11" hidden="1" x14ac:dyDescent="0.25">
      <c r="A3187" s="11"/>
      <c r="B3187" s="11"/>
      <c r="C3187" s="5"/>
      <c r="G3187" s="11"/>
      <c r="H3187" s="5"/>
      <c r="I3187" s="11"/>
      <c r="J3187" s="20"/>
      <c r="K31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8" spans="1:11" x14ac:dyDescent="0.25">
      <c r="A3188" s="11" t="s">
        <v>337</v>
      </c>
      <c r="B3188" s="11" t="s">
        <v>564</v>
      </c>
      <c r="C3188" s="5" t="s">
        <v>233</v>
      </c>
      <c r="D3188">
        <v>400</v>
      </c>
      <c r="E3188">
        <v>4</v>
      </c>
      <c r="F3188">
        <v>25</v>
      </c>
      <c r="G3188" s="11">
        <v>1</v>
      </c>
      <c r="H3188" s="5">
        <v>0.04</v>
      </c>
      <c r="I3188" s="11">
        <v>312000</v>
      </c>
      <c r="J3188" s="20">
        <v>312000</v>
      </c>
      <c r="K31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89" spans="1:11" hidden="1" x14ac:dyDescent="0.25">
      <c r="A3189" s="11"/>
      <c r="B3189" s="11"/>
      <c r="C3189" s="5"/>
      <c r="G3189" s="11"/>
      <c r="H3189" s="5"/>
      <c r="I3189" s="11"/>
      <c r="J3189" s="20"/>
      <c r="K31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0" spans="1:11" x14ac:dyDescent="0.25">
      <c r="A3190" s="11"/>
      <c r="B3190" s="11" t="s">
        <v>560</v>
      </c>
      <c r="C3190" s="5" t="s">
        <v>214</v>
      </c>
      <c r="D3190">
        <v>400</v>
      </c>
      <c r="E3190">
        <v>3</v>
      </c>
      <c r="F3190">
        <v>25</v>
      </c>
      <c r="G3190" s="11">
        <v>2</v>
      </c>
      <c r="H3190" s="5">
        <v>0.06</v>
      </c>
      <c r="I3190" s="11">
        <v>234000</v>
      </c>
      <c r="J3190" s="20">
        <v>468000</v>
      </c>
      <c r="K31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1" spans="1:11" hidden="1" x14ac:dyDescent="0.25">
      <c r="A3191" s="11"/>
      <c r="B3191" s="11"/>
      <c r="C3191" s="5"/>
      <c r="G3191" s="11"/>
      <c r="H3191" s="5"/>
      <c r="I3191" s="11"/>
      <c r="J3191" s="20"/>
      <c r="K31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2" spans="1:11" x14ac:dyDescent="0.25">
      <c r="A3192" s="11"/>
      <c r="B3192" s="11" t="s">
        <v>462</v>
      </c>
      <c r="C3192" s="5" t="s">
        <v>44</v>
      </c>
      <c r="D3192">
        <v>400</v>
      </c>
      <c r="E3192">
        <v>6</v>
      </c>
      <c r="F3192">
        <v>15</v>
      </c>
      <c r="G3192" s="11">
        <v>2</v>
      </c>
      <c r="H3192" s="5">
        <v>7.1999999999999995E-2</v>
      </c>
      <c r="I3192" s="11">
        <v>244800</v>
      </c>
      <c r="J3192" s="20">
        <v>489600</v>
      </c>
      <c r="K31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93" spans="1:11" hidden="1" x14ac:dyDescent="0.25">
      <c r="A3193" s="11"/>
      <c r="B3193" s="11"/>
      <c r="C3193" s="5"/>
      <c r="G3193" s="11"/>
      <c r="H3193" s="5"/>
      <c r="I3193" s="11"/>
      <c r="J3193" s="20"/>
      <c r="K31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4" spans="1:11" hidden="1" x14ac:dyDescent="0.25">
      <c r="A3194" s="11"/>
      <c r="B3194" s="11"/>
      <c r="C3194" s="5"/>
      <c r="G3194" s="11"/>
      <c r="H3194" s="5"/>
      <c r="I3194" s="11"/>
      <c r="J3194" s="20"/>
      <c r="K31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5" spans="1:11" x14ac:dyDescent="0.25">
      <c r="A3195" s="11" t="s">
        <v>337</v>
      </c>
      <c r="B3195" s="11" t="s">
        <v>490</v>
      </c>
      <c r="C3195" s="5" t="s">
        <v>82</v>
      </c>
      <c r="D3195">
        <v>250</v>
      </c>
      <c r="E3195">
        <v>6</v>
      </c>
      <c r="F3195">
        <v>15</v>
      </c>
      <c r="G3195" s="11">
        <v>1</v>
      </c>
      <c r="H3195" s="5">
        <v>2.2499999999999999E-2</v>
      </c>
      <c r="I3195" s="11">
        <v>220500</v>
      </c>
      <c r="J3195" s="20">
        <v>220500</v>
      </c>
      <c r="K31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196" spans="1:11" hidden="1" x14ac:dyDescent="0.25">
      <c r="A3196" s="11"/>
      <c r="B3196" s="11"/>
      <c r="C3196" s="5"/>
      <c r="G3196" s="11"/>
      <c r="H3196" s="5"/>
      <c r="I3196" s="11"/>
      <c r="J3196" s="20"/>
      <c r="K31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7" spans="1:11" x14ac:dyDescent="0.25">
      <c r="A3197" s="11"/>
      <c r="B3197" s="11" t="s">
        <v>438</v>
      </c>
      <c r="C3197" s="5" t="s">
        <v>15</v>
      </c>
      <c r="D3197">
        <v>400</v>
      </c>
      <c r="E3197">
        <v>3</v>
      </c>
      <c r="F3197">
        <v>25</v>
      </c>
      <c r="G3197" s="11">
        <v>1</v>
      </c>
      <c r="H3197" s="5">
        <v>0.03</v>
      </c>
      <c r="I3197" s="11">
        <v>297000</v>
      </c>
      <c r="J3197" s="20">
        <v>297000</v>
      </c>
      <c r="K31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8" spans="1:11" hidden="1" x14ac:dyDescent="0.25">
      <c r="A3198" s="11"/>
      <c r="B3198" s="11"/>
      <c r="C3198" s="5"/>
      <c r="G3198" s="11"/>
      <c r="H3198" s="5"/>
      <c r="I3198" s="11"/>
      <c r="J3198" s="20"/>
      <c r="K31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199" spans="1:11" x14ac:dyDescent="0.25">
      <c r="A3199" s="11"/>
      <c r="B3199" s="11" t="s">
        <v>443</v>
      </c>
      <c r="C3199" s="5" t="s">
        <v>21</v>
      </c>
      <c r="D3199">
        <v>400</v>
      </c>
      <c r="E3199">
        <v>4</v>
      </c>
      <c r="F3199">
        <v>25</v>
      </c>
      <c r="G3199" s="11">
        <v>2</v>
      </c>
      <c r="H3199" s="5">
        <v>0.08</v>
      </c>
      <c r="I3199" s="11">
        <v>396000</v>
      </c>
      <c r="J3199" s="20">
        <v>792000</v>
      </c>
      <c r="K31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0" spans="1:11" hidden="1" x14ac:dyDescent="0.25">
      <c r="A3200" s="11"/>
      <c r="B3200" s="11"/>
      <c r="C3200" s="5"/>
      <c r="G3200" s="11"/>
      <c r="H3200" s="5"/>
      <c r="I3200" s="11"/>
      <c r="J3200" s="20"/>
      <c r="K32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1" spans="1:11" x14ac:dyDescent="0.25">
      <c r="A3201" s="11"/>
      <c r="B3201" s="11" t="s">
        <v>481</v>
      </c>
      <c r="C3201" s="5" t="s">
        <v>68</v>
      </c>
      <c r="D3201">
        <v>400</v>
      </c>
      <c r="E3201">
        <v>6</v>
      </c>
      <c r="F3201">
        <v>15</v>
      </c>
      <c r="G3201" s="11">
        <v>5</v>
      </c>
      <c r="H3201" s="5">
        <v>0.18</v>
      </c>
      <c r="I3201" s="11">
        <v>334800</v>
      </c>
      <c r="J3201" s="20">
        <v>1674000</v>
      </c>
      <c r="K32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02" spans="1:11" hidden="1" x14ac:dyDescent="0.25">
      <c r="A3202" s="11"/>
      <c r="B3202" s="11"/>
      <c r="C3202" s="5"/>
      <c r="G3202" s="11"/>
      <c r="H3202" s="5"/>
      <c r="I3202" s="11"/>
      <c r="J3202" s="20"/>
      <c r="K32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3" spans="1:11" hidden="1" x14ac:dyDescent="0.25">
      <c r="A3203" s="11"/>
      <c r="B3203" s="11"/>
      <c r="C3203" s="5"/>
      <c r="G3203" s="11"/>
      <c r="H3203" s="5"/>
      <c r="I3203" s="11"/>
      <c r="J3203" s="20"/>
      <c r="K32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4" spans="1:11" x14ac:dyDescent="0.25">
      <c r="A3204" s="11" t="s">
        <v>337</v>
      </c>
      <c r="B3204" s="11" t="s">
        <v>477</v>
      </c>
      <c r="C3204" s="5" t="s">
        <v>63</v>
      </c>
      <c r="D3204">
        <v>100</v>
      </c>
      <c r="E3204">
        <v>6</v>
      </c>
      <c r="F3204">
        <v>15</v>
      </c>
      <c r="G3204" s="11">
        <v>1</v>
      </c>
      <c r="H3204" s="5">
        <v>8.9999999999999993E-3</v>
      </c>
      <c r="I3204" s="11">
        <v>163800</v>
      </c>
      <c r="J3204" s="20">
        <v>163800</v>
      </c>
      <c r="K32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05" spans="1:11" hidden="1" x14ac:dyDescent="0.25">
      <c r="A3205" s="11"/>
      <c r="B3205" s="11"/>
      <c r="C3205" s="5"/>
      <c r="G3205" s="11"/>
      <c r="H3205" s="5"/>
      <c r="I3205" s="11"/>
      <c r="J3205" s="20"/>
      <c r="K32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6" spans="1:11" x14ac:dyDescent="0.25">
      <c r="A3206" s="11"/>
      <c r="B3206" s="11" t="s">
        <v>451</v>
      </c>
      <c r="C3206" s="5" t="s">
        <v>30</v>
      </c>
      <c r="D3206">
        <v>90</v>
      </c>
      <c r="E3206">
        <v>6</v>
      </c>
      <c r="F3206">
        <v>15</v>
      </c>
      <c r="G3206" s="11">
        <v>1</v>
      </c>
      <c r="H3206" s="5">
        <v>8.0999999999999996E-3</v>
      </c>
      <c r="I3206" s="11">
        <v>147420</v>
      </c>
      <c r="J3206" s="20">
        <v>147420</v>
      </c>
      <c r="K32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07" spans="1:11" hidden="1" x14ac:dyDescent="0.25">
      <c r="A3207" s="11"/>
      <c r="B3207" s="11"/>
      <c r="C3207" s="5"/>
      <c r="G3207" s="11"/>
      <c r="H3207" s="5"/>
      <c r="I3207" s="11"/>
      <c r="J3207" s="20"/>
      <c r="K32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8" spans="1:11" hidden="1" x14ac:dyDescent="0.25">
      <c r="A3208" s="11"/>
      <c r="B3208" s="11"/>
      <c r="C3208" s="5"/>
      <c r="G3208" s="11"/>
      <c r="H3208" s="5"/>
      <c r="I3208" s="11"/>
      <c r="J3208" s="20"/>
      <c r="K32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09" spans="1:11" x14ac:dyDescent="0.25">
      <c r="A3209" s="11" t="s">
        <v>338</v>
      </c>
      <c r="B3209" s="11" t="s">
        <v>490</v>
      </c>
      <c r="C3209" s="5" t="s">
        <v>82</v>
      </c>
      <c r="D3209">
        <v>250</v>
      </c>
      <c r="E3209">
        <v>6</v>
      </c>
      <c r="F3209">
        <v>15</v>
      </c>
      <c r="G3209" s="11">
        <v>1</v>
      </c>
      <c r="H3209" s="5">
        <v>2.2499999999999999E-2</v>
      </c>
      <c r="I3209" s="11">
        <v>220500</v>
      </c>
      <c r="J3209" s="20">
        <v>220500</v>
      </c>
      <c r="K32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10" spans="1:11" hidden="1" x14ac:dyDescent="0.25">
      <c r="A3210" s="11"/>
      <c r="B3210" s="11"/>
      <c r="C3210" s="5"/>
      <c r="G3210" s="11"/>
      <c r="H3210" s="5"/>
      <c r="I3210" s="11"/>
      <c r="J3210" s="20"/>
      <c r="K32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1" spans="1:11" x14ac:dyDescent="0.25">
      <c r="A3211" s="11"/>
      <c r="B3211" s="11" t="s">
        <v>439</v>
      </c>
      <c r="C3211" s="5" t="s">
        <v>16</v>
      </c>
      <c r="D3211">
        <v>400</v>
      </c>
      <c r="E3211">
        <v>3</v>
      </c>
      <c r="F3211">
        <v>30</v>
      </c>
      <c r="G3211" s="11">
        <v>2</v>
      </c>
      <c r="H3211" s="5">
        <v>7.1999999999999995E-2</v>
      </c>
      <c r="I3211" s="11">
        <v>363600</v>
      </c>
      <c r="J3211" s="20">
        <v>727200</v>
      </c>
      <c r="K32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2" spans="1:11" hidden="1" x14ac:dyDescent="0.25">
      <c r="A3212" s="11"/>
      <c r="B3212" s="11"/>
      <c r="C3212" s="5"/>
      <c r="G3212" s="11"/>
      <c r="H3212" s="5"/>
      <c r="I3212" s="11"/>
      <c r="J3212" s="20"/>
      <c r="K32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3" spans="1:11" x14ac:dyDescent="0.25">
      <c r="A3213" s="11"/>
      <c r="B3213" s="11" t="s">
        <v>491</v>
      </c>
      <c r="C3213" s="5" t="s">
        <v>83</v>
      </c>
      <c r="D3213">
        <v>450</v>
      </c>
      <c r="E3213">
        <v>6</v>
      </c>
      <c r="F3213">
        <v>15</v>
      </c>
      <c r="G3213" s="11">
        <v>2</v>
      </c>
      <c r="H3213" s="5">
        <v>8.1000000000000003E-2</v>
      </c>
      <c r="I3213" s="11">
        <v>396900</v>
      </c>
      <c r="J3213" s="20">
        <v>793800</v>
      </c>
      <c r="K32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14" spans="1:11" hidden="1" x14ac:dyDescent="0.25">
      <c r="A3214" s="11"/>
      <c r="B3214" s="11"/>
      <c r="C3214" s="5"/>
      <c r="G3214" s="11"/>
      <c r="H3214" s="5"/>
      <c r="I3214" s="11"/>
      <c r="J3214" s="20"/>
      <c r="K32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5" spans="1:11" hidden="1" x14ac:dyDescent="0.25">
      <c r="A3215" s="11"/>
      <c r="B3215" s="11"/>
      <c r="C3215" s="5"/>
      <c r="G3215" s="11"/>
      <c r="H3215" s="5"/>
      <c r="I3215" s="11"/>
      <c r="J3215" s="20"/>
      <c r="K32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6" spans="1:11" x14ac:dyDescent="0.25">
      <c r="A3216" s="11" t="s">
        <v>338</v>
      </c>
      <c r="B3216" s="11" t="s">
        <v>502</v>
      </c>
      <c r="C3216" s="5" t="s">
        <v>98</v>
      </c>
      <c r="D3216">
        <v>400</v>
      </c>
      <c r="E3216">
        <v>5</v>
      </c>
      <c r="F3216">
        <v>15</v>
      </c>
      <c r="G3216" s="11">
        <v>2</v>
      </c>
      <c r="H3216" s="5">
        <v>0.06</v>
      </c>
      <c r="I3216" s="11">
        <v>291000</v>
      </c>
      <c r="J3216" s="20">
        <v>582000</v>
      </c>
      <c r="K32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17" spans="1:11" hidden="1" x14ac:dyDescent="0.25">
      <c r="A3217" s="11"/>
      <c r="B3217" s="11"/>
      <c r="C3217" s="5"/>
      <c r="G3217" s="11"/>
      <c r="H3217" s="5"/>
      <c r="I3217" s="11"/>
      <c r="J3217" s="20"/>
      <c r="K32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18" spans="1:11" x14ac:dyDescent="0.25">
      <c r="A3218" s="11"/>
      <c r="B3218" s="11" t="s">
        <v>519</v>
      </c>
      <c r="C3218" s="5" t="s">
        <v>125</v>
      </c>
      <c r="D3218">
        <v>400</v>
      </c>
      <c r="E3218">
        <v>5</v>
      </c>
      <c r="F3218">
        <v>25</v>
      </c>
      <c r="G3218" s="11">
        <v>2</v>
      </c>
      <c r="H3218" s="5">
        <v>0.1</v>
      </c>
      <c r="I3218" s="11">
        <v>505000</v>
      </c>
      <c r="J3218" s="20">
        <v>1010000</v>
      </c>
      <c r="K32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219" spans="1:11" hidden="1" x14ac:dyDescent="0.25">
      <c r="A3219" s="11"/>
      <c r="B3219" s="11"/>
      <c r="C3219" s="5"/>
      <c r="G3219" s="11"/>
      <c r="H3219" s="5"/>
      <c r="I3219" s="11"/>
      <c r="J3219" s="20"/>
      <c r="K32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0" spans="1:11" hidden="1" x14ac:dyDescent="0.25">
      <c r="A3220" s="11"/>
      <c r="B3220" s="11"/>
      <c r="C3220" s="5"/>
      <c r="G3220" s="11"/>
      <c r="H3220" s="5"/>
      <c r="I3220" s="11"/>
      <c r="J3220" s="20"/>
      <c r="K32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1" spans="1:11" x14ac:dyDescent="0.25">
      <c r="A3221" s="11" t="s">
        <v>338</v>
      </c>
      <c r="B3221" s="11" t="s">
        <v>476</v>
      </c>
      <c r="C3221" s="5" t="s">
        <v>62</v>
      </c>
      <c r="D3221">
        <v>400</v>
      </c>
      <c r="E3221">
        <v>3</v>
      </c>
      <c r="F3221">
        <v>20</v>
      </c>
      <c r="G3221" s="11">
        <v>2</v>
      </c>
      <c r="H3221" s="5">
        <v>4.8000000000000001E-2</v>
      </c>
      <c r="I3221" s="11">
        <v>223200</v>
      </c>
      <c r="J3221" s="20">
        <v>446400</v>
      </c>
      <c r="K32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2" spans="1:11" hidden="1" x14ac:dyDescent="0.25">
      <c r="A3222" s="11"/>
      <c r="B3222" s="11"/>
      <c r="C3222" s="5"/>
      <c r="G3222" s="11"/>
      <c r="H3222" s="5"/>
      <c r="I3222" s="11"/>
      <c r="J3222" s="20"/>
      <c r="K32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3" spans="1:11" x14ac:dyDescent="0.25">
      <c r="A3223" s="11"/>
      <c r="B3223" s="11" t="s">
        <v>439</v>
      </c>
      <c r="C3223" s="5" t="s">
        <v>16</v>
      </c>
      <c r="D3223">
        <v>400</v>
      </c>
      <c r="E3223">
        <v>3</v>
      </c>
      <c r="F3223">
        <v>30</v>
      </c>
      <c r="G3223" s="11">
        <v>6</v>
      </c>
      <c r="H3223" s="5">
        <v>0.216</v>
      </c>
      <c r="I3223" s="11">
        <v>363600</v>
      </c>
      <c r="J3223" s="20">
        <v>2181600</v>
      </c>
      <c r="K32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4" spans="1:11" hidden="1" x14ac:dyDescent="0.25">
      <c r="A3224" s="11"/>
      <c r="B3224" s="11"/>
      <c r="C3224" s="5"/>
      <c r="G3224" s="11"/>
      <c r="H3224" s="5"/>
      <c r="I3224" s="11"/>
      <c r="J3224" s="20"/>
      <c r="K32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5" spans="1:11" x14ac:dyDescent="0.25">
      <c r="A3225" s="11"/>
      <c r="B3225" s="11" t="s">
        <v>443</v>
      </c>
      <c r="C3225" s="5" t="s">
        <v>21</v>
      </c>
      <c r="D3225">
        <v>400</v>
      </c>
      <c r="E3225">
        <v>4</v>
      </c>
      <c r="F3225">
        <v>25</v>
      </c>
      <c r="G3225" s="11">
        <v>1</v>
      </c>
      <c r="H3225" s="5">
        <v>0.04</v>
      </c>
      <c r="I3225" s="11">
        <v>396000</v>
      </c>
      <c r="J3225" s="20">
        <v>396000</v>
      </c>
      <c r="K32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6" spans="1:11" hidden="1" x14ac:dyDescent="0.25">
      <c r="A3226" s="11"/>
      <c r="B3226" s="11"/>
      <c r="C3226" s="5"/>
      <c r="G3226" s="11"/>
      <c r="H3226" s="5"/>
      <c r="I3226" s="11"/>
      <c r="J3226" s="20"/>
      <c r="K32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7" spans="1:11" x14ac:dyDescent="0.25">
      <c r="A3227" s="11"/>
      <c r="B3227" s="11" t="s">
        <v>435</v>
      </c>
      <c r="C3227" s="5" t="s">
        <v>11</v>
      </c>
      <c r="D3227">
        <v>400</v>
      </c>
      <c r="E3227">
        <v>6</v>
      </c>
      <c r="F3227">
        <v>12</v>
      </c>
      <c r="G3227" s="11">
        <v>4</v>
      </c>
      <c r="H3227" s="5">
        <v>0.1152</v>
      </c>
      <c r="I3227" s="11">
        <v>267840</v>
      </c>
      <c r="J3227" s="20">
        <v>1071360</v>
      </c>
      <c r="K32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28" spans="1:11" hidden="1" x14ac:dyDescent="0.25">
      <c r="A3228" s="11"/>
      <c r="B3228" s="11"/>
      <c r="C3228" s="5"/>
      <c r="G3228" s="11"/>
      <c r="H3228" s="5"/>
      <c r="I3228" s="11"/>
      <c r="J3228" s="20"/>
      <c r="K32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29" spans="1:11" x14ac:dyDescent="0.25">
      <c r="A3229" s="11"/>
      <c r="B3229" s="11" t="s">
        <v>440</v>
      </c>
      <c r="C3229" s="5" t="s">
        <v>17</v>
      </c>
      <c r="D3229">
        <v>500</v>
      </c>
      <c r="E3229">
        <v>4</v>
      </c>
      <c r="F3229">
        <v>25</v>
      </c>
      <c r="G3229" s="11">
        <v>4</v>
      </c>
      <c r="H3229" s="5">
        <v>0.2</v>
      </c>
      <c r="I3229" s="11">
        <v>495000</v>
      </c>
      <c r="J3229" s="20">
        <v>1980000</v>
      </c>
      <c r="K32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0" spans="1:11" hidden="1" x14ac:dyDescent="0.25">
      <c r="A3230" s="11"/>
      <c r="B3230" s="11"/>
      <c r="C3230" s="5"/>
      <c r="G3230" s="11"/>
      <c r="H3230" s="5"/>
      <c r="I3230" s="11"/>
      <c r="J3230" s="20"/>
      <c r="K32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1" spans="1:11" hidden="1" x14ac:dyDescent="0.25">
      <c r="A3231" s="11"/>
      <c r="B3231" s="11"/>
      <c r="C3231" s="5"/>
      <c r="G3231" s="11"/>
      <c r="H3231" s="5"/>
      <c r="I3231" s="11"/>
      <c r="J3231" s="20"/>
      <c r="K32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2" spans="1:11" x14ac:dyDescent="0.25">
      <c r="A3232" s="11" t="s">
        <v>338</v>
      </c>
      <c r="B3232" s="11" t="s">
        <v>498</v>
      </c>
      <c r="C3232" s="5" t="s">
        <v>92</v>
      </c>
      <c r="D3232">
        <v>500</v>
      </c>
      <c r="E3232">
        <v>6</v>
      </c>
      <c r="F3232">
        <v>15</v>
      </c>
      <c r="G3232" s="11">
        <v>1</v>
      </c>
      <c r="H3232" s="5">
        <v>4.4999999999999998E-2</v>
      </c>
      <c r="I3232" s="11">
        <v>441000</v>
      </c>
      <c r="J3232" s="20">
        <v>441000</v>
      </c>
      <c r="K32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33" spans="1:11" hidden="1" x14ac:dyDescent="0.25">
      <c r="A3233" s="11"/>
      <c r="B3233" s="11"/>
      <c r="C3233" s="5"/>
      <c r="G3233" s="11"/>
      <c r="H3233" s="5"/>
      <c r="I3233" s="11"/>
      <c r="J3233" s="20"/>
      <c r="K32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4" spans="1:11" hidden="1" x14ac:dyDescent="0.25">
      <c r="A3234" s="11"/>
      <c r="B3234" s="11"/>
      <c r="C3234" s="5"/>
      <c r="G3234" s="11"/>
      <c r="H3234" s="5"/>
      <c r="I3234" s="11"/>
      <c r="J3234" s="20"/>
      <c r="K32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5" spans="1:11" x14ac:dyDescent="0.25">
      <c r="A3235" s="11" t="s">
        <v>339</v>
      </c>
      <c r="B3235" s="11" t="s">
        <v>438</v>
      </c>
      <c r="C3235" s="5" t="s">
        <v>15</v>
      </c>
      <c r="D3235">
        <v>400</v>
      </c>
      <c r="E3235">
        <v>3</v>
      </c>
      <c r="F3235">
        <v>25</v>
      </c>
      <c r="G3235" s="11">
        <v>2</v>
      </c>
      <c r="H3235" s="5">
        <v>0.06</v>
      </c>
      <c r="I3235" s="11">
        <v>297000</v>
      </c>
      <c r="J3235" s="20">
        <v>594000</v>
      </c>
      <c r="K32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6" spans="1:11" hidden="1" x14ac:dyDescent="0.25">
      <c r="A3236" s="11"/>
      <c r="B3236" s="11"/>
      <c r="C3236" s="5"/>
      <c r="G3236" s="11"/>
      <c r="H3236" s="5"/>
      <c r="I3236" s="11"/>
      <c r="J3236" s="20"/>
      <c r="K32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7" spans="1:11" x14ac:dyDescent="0.25">
      <c r="A3237" s="11"/>
      <c r="B3237" s="11" t="s">
        <v>439</v>
      </c>
      <c r="C3237" s="5" t="s">
        <v>16</v>
      </c>
      <c r="D3237">
        <v>400</v>
      </c>
      <c r="E3237">
        <v>3</v>
      </c>
      <c r="F3237">
        <v>30</v>
      </c>
      <c r="G3237" s="11">
        <v>2</v>
      </c>
      <c r="H3237" s="5">
        <v>7.1999999999999995E-2</v>
      </c>
      <c r="I3237" s="11">
        <v>363600</v>
      </c>
      <c r="J3237" s="20">
        <v>727200</v>
      </c>
      <c r="K32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8" spans="1:11" hidden="1" x14ac:dyDescent="0.25">
      <c r="A3238" s="11"/>
      <c r="B3238" s="11"/>
      <c r="C3238" s="5"/>
      <c r="G3238" s="11"/>
      <c r="H3238" s="5"/>
      <c r="I3238" s="11"/>
      <c r="J3238" s="20"/>
      <c r="K32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39" spans="1:11" x14ac:dyDescent="0.25">
      <c r="A3239" s="11"/>
      <c r="B3239" s="11" t="s">
        <v>433</v>
      </c>
      <c r="C3239" s="5" t="s">
        <v>9</v>
      </c>
      <c r="D3239">
        <v>400</v>
      </c>
      <c r="E3239">
        <v>4</v>
      </c>
      <c r="F3239">
        <v>20</v>
      </c>
      <c r="G3239" s="11">
        <v>1</v>
      </c>
      <c r="H3239" s="5">
        <v>3.2000000000000001E-2</v>
      </c>
      <c r="I3239" s="11">
        <v>313600</v>
      </c>
      <c r="J3239" s="20">
        <v>313600</v>
      </c>
      <c r="K32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0" spans="1:11" hidden="1" x14ac:dyDescent="0.25">
      <c r="A3240" s="11"/>
      <c r="B3240" s="11"/>
      <c r="C3240" s="5"/>
      <c r="G3240" s="11"/>
      <c r="H3240" s="5"/>
      <c r="I3240" s="11"/>
      <c r="J3240" s="20"/>
      <c r="K32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1" spans="1:11" x14ac:dyDescent="0.25">
      <c r="A3241" s="11"/>
      <c r="B3241" s="11" t="s">
        <v>443</v>
      </c>
      <c r="C3241" s="5" t="s">
        <v>21</v>
      </c>
      <c r="D3241">
        <v>400</v>
      </c>
      <c r="E3241">
        <v>4</v>
      </c>
      <c r="F3241">
        <v>25</v>
      </c>
      <c r="G3241" s="11">
        <v>1</v>
      </c>
      <c r="H3241" s="5">
        <v>0.04</v>
      </c>
      <c r="I3241" s="11">
        <v>396000</v>
      </c>
      <c r="J3241" s="20">
        <v>396000</v>
      </c>
      <c r="K32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2" spans="1:11" hidden="1" x14ac:dyDescent="0.25">
      <c r="A3242" s="11"/>
      <c r="B3242" s="11"/>
      <c r="C3242" s="5"/>
      <c r="G3242" s="11"/>
      <c r="H3242" s="5"/>
      <c r="I3242" s="11"/>
      <c r="J3242" s="20"/>
      <c r="K32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3" spans="1:11" x14ac:dyDescent="0.25">
      <c r="A3243" s="11"/>
      <c r="B3243" s="11" t="s">
        <v>481</v>
      </c>
      <c r="C3243" s="5" t="s">
        <v>68</v>
      </c>
      <c r="D3243">
        <v>400</v>
      </c>
      <c r="E3243">
        <v>6</v>
      </c>
      <c r="F3243">
        <v>15</v>
      </c>
      <c r="G3243" s="11">
        <v>1</v>
      </c>
      <c r="H3243" s="5">
        <v>3.5999999999999997E-2</v>
      </c>
      <c r="I3243" s="11">
        <v>334800</v>
      </c>
      <c r="J3243" s="20">
        <v>334800</v>
      </c>
      <c r="K32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44" spans="1:11" hidden="1" x14ac:dyDescent="0.25">
      <c r="A3244" s="11"/>
      <c r="B3244" s="11"/>
      <c r="C3244" s="5"/>
      <c r="G3244" s="11"/>
      <c r="H3244" s="5"/>
      <c r="I3244" s="11"/>
      <c r="J3244" s="20"/>
      <c r="K32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5" spans="1:11" x14ac:dyDescent="0.25">
      <c r="A3245" s="11"/>
      <c r="B3245" s="11" t="s">
        <v>440</v>
      </c>
      <c r="C3245" s="5" t="s">
        <v>17</v>
      </c>
      <c r="D3245">
        <v>500</v>
      </c>
      <c r="E3245">
        <v>4</v>
      </c>
      <c r="F3245">
        <v>25</v>
      </c>
      <c r="G3245" s="11">
        <v>2</v>
      </c>
      <c r="H3245" s="5">
        <v>0.1</v>
      </c>
      <c r="I3245" s="11">
        <v>495000</v>
      </c>
      <c r="J3245" s="20">
        <v>990000</v>
      </c>
      <c r="K32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6" spans="1:11" hidden="1" x14ac:dyDescent="0.25">
      <c r="A3246" s="11"/>
      <c r="B3246" s="11"/>
      <c r="C3246" s="5"/>
      <c r="G3246" s="11"/>
      <c r="H3246" s="5"/>
      <c r="I3246" s="11"/>
      <c r="J3246" s="20"/>
      <c r="K32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7" spans="1:11" hidden="1" x14ac:dyDescent="0.25">
      <c r="A3247" s="11"/>
      <c r="B3247" s="11"/>
      <c r="C3247" s="5"/>
      <c r="G3247" s="11"/>
      <c r="H3247" s="5"/>
      <c r="I3247" s="11"/>
      <c r="J3247" s="20"/>
      <c r="K32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8" spans="1:11" x14ac:dyDescent="0.25">
      <c r="A3248" s="11" t="s">
        <v>339</v>
      </c>
      <c r="B3248" s="11" t="s">
        <v>439</v>
      </c>
      <c r="C3248" s="5" t="s">
        <v>16</v>
      </c>
      <c r="D3248">
        <v>400</v>
      </c>
      <c r="E3248">
        <v>3</v>
      </c>
      <c r="F3248">
        <v>30</v>
      </c>
      <c r="G3248" s="11">
        <v>2</v>
      </c>
      <c r="H3248" s="5">
        <v>7.1999999999999995E-2</v>
      </c>
      <c r="I3248" s="11">
        <v>363600</v>
      </c>
      <c r="J3248" s="20">
        <v>727200</v>
      </c>
      <c r="K32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49" spans="1:11" hidden="1" x14ac:dyDescent="0.25">
      <c r="A3249" s="11"/>
      <c r="B3249" s="11"/>
      <c r="C3249" s="5"/>
      <c r="G3249" s="11"/>
      <c r="H3249" s="5"/>
      <c r="I3249" s="11"/>
      <c r="J3249" s="20"/>
      <c r="K32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0" spans="1:11" x14ac:dyDescent="0.25">
      <c r="A3250" s="11"/>
      <c r="B3250" s="11" t="s">
        <v>433</v>
      </c>
      <c r="C3250" s="5" t="s">
        <v>9</v>
      </c>
      <c r="D3250">
        <v>400</v>
      </c>
      <c r="E3250">
        <v>4</v>
      </c>
      <c r="F3250">
        <v>20</v>
      </c>
      <c r="G3250" s="11">
        <v>1</v>
      </c>
      <c r="H3250" s="5">
        <v>3.2000000000000001E-2</v>
      </c>
      <c r="I3250" s="11">
        <v>313600</v>
      </c>
      <c r="J3250" s="20">
        <v>313600</v>
      </c>
      <c r="K32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1" spans="1:11" hidden="1" x14ac:dyDescent="0.25">
      <c r="A3251" s="11"/>
      <c r="B3251" s="11"/>
      <c r="C3251" s="5"/>
      <c r="G3251" s="11"/>
      <c r="H3251" s="5"/>
      <c r="I3251" s="11"/>
      <c r="J3251" s="20"/>
      <c r="K32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2" spans="1:11" x14ac:dyDescent="0.25">
      <c r="A3252" s="11"/>
      <c r="B3252" s="11" t="s">
        <v>440</v>
      </c>
      <c r="C3252" s="5" t="s">
        <v>17</v>
      </c>
      <c r="D3252">
        <v>500</v>
      </c>
      <c r="E3252">
        <v>4</v>
      </c>
      <c r="F3252">
        <v>25</v>
      </c>
      <c r="G3252" s="11">
        <v>1</v>
      </c>
      <c r="H3252" s="5">
        <v>0.05</v>
      </c>
      <c r="I3252" s="11">
        <v>495000</v>
      </c>
      <c r="J3252" s="20">
        <v>495000</v>
      </c>
      <c r="K32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3" spans="1:11" hidden="1" x14ac:dyDescent="0.25">
      <c r="A3253" s="11"/>
      <c r="B3253" s="11"/>
      <c r="C3253" s="5"/>
      <c r="G3253" s="11"/>
      <c r="H3253" s="5"/>
      <c r="I3253" s="11"/>
      <c r="J3253" s="20"/>
      <c r="K32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4" spans="1:11" hidden="1" x14ac:dyDescent="0.25">
      <c r="A3254" s="11"/>
      <c r="B3254" s="11"/>
      <c r="C3254" s="5"/>
      <c r="G3254" s="11"/>
      <c r="H3254" s="5"/>
      <c r="I3254" s="11"/>
      <c r="J3254" s="20"/>
      <c r="K32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5" spans="1:11" x14ac:dyDescent="0.25">
      <c r="A3255" s="11" t="s">
        <v>339</v>
      </c>
      <c r="B3255" s="11" t="s">
        <v>533</v>
      </c>
      <c r="C3255" s="5" t="s">
        <v>152</v>
      </c>
      <c r="D3255">
        <v>400</v>
      </c>
      <c r="E3255">
        <v>3</v>
      </c>
      <c r="F3255">
        <v>20</v>
      </c>
      <c r="G3255" s="11">
        <v>6</v>
      </c>
      <c r="H3255" s="5">
        <v>0.14399999999999999</v>
      </c>
      <c r="I3255" s="11">
        <v>523200</v>
      </c>
      <c r="J3255" s="20">
        <v>3139200</v>
      </c>
      <c r="K32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6" spans="1:11" hidden="1" x14ac:dyDescent="0.25">
      <c r="A3256" s="11"/>
      <c r="B3256" s="11"/>
      <c r="C3256" s="5"/>
      <c r="G3256" s="11"/>
      <c r="H3256" s="5"/>
      <c r="I3256" s="11"/>
      <c r="J3256" s="20"/>
      <c r="K32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7" spans="1:11" hidden="1" x14ac:dyDescent="0.25">
      <c r="A3257" s="11"/>
      <c r="B3257" s="11"/>
      <c r="C3257" s="5"/>
      <c r="G3257" s="11"/>
      <c r="H3257" s="5"/>
      <c r="I3257" s="11"/>
      <c r="J3257" s="20"/>
      <c r="K32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8" spans="1:11" x14ac:dyDescent="0.25">
      <c r="A3258" s="11" t="s">
        <v>339</v>
      </c>
      <c r="B3258" s="11" t="s">
        <v>533</v>
      </c>
      <c r="C3258" s="5" t="s">
        <v>152</v>
      </c>
      <c r="D3258">
        <v>400</v>
      </c>
      <c r="E3258">
        <v>3</v>
      </c>
      <c r="F3258">
        <v>20</v>
      </c>
      <c r="G3258" s="11">
        <v>1</v>
      </c>
      <c r="H3258" s="5">
        <v>2.4E-2</v>
      </c>
      <c r="I3258" s="11">
        <v>523200</v>
      </c>
      <c r="J3258" s="20">
        <v>523200</v>
      </c>
      <c r="K32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59" spans="1:11" hidden="1" x14ac:dyDescent="0.25">
      <c r="A3259" s="11"/>
      <c r="B3259" s="11"/>
      <c r="C3259" s="5"/>
      <c r="G3259" s="11"/>
      <c r="H3259" s="5"/>
      <c r="I3259" s="11"/>
      <c r="J3259" s="20"/>
      <c r="K32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0" spans="1:11" x14ac:dyDescent="0.25">
      <c r="A3260" s="11"/>
      <c r="B3260" s="11" t="s">
        <v>486</v>
      </c>
      <c r="C3260" s="5" t="s">
        <v>76</v>
      </c>
      <c r="D3260">
        <v>400</v>
      </c>
      <c r="E3260">
        <v>3</v>
      </c>
      <c r="F3260">
        <v>25</v>
      </c>
      <c r="G3260" s="11">
        <v>1</v>
      </c>
      <c r="H3260" s="5">
        <v>0.03</v>
      </c>
      <c r="I3260" s="11">
        <v>657000</v>
      </c>
      <c r="J3260" s="20">
        <v>657000</v>
      </c>
      <c r="K32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1" spans="1:11" hidden="1" x14ac:dyDescent="0.25">
      <c r="A3261" s="11"/>
      <c r="B3261" s="11"/>
      <c r="C3261" s="5"/>
      <c r="G3261" s="11"/>
      <c r="H3261" s="5"/>
      <c r="I3261" s="11"/>
      <c r="J3261" s="20"/>
      <c r="K32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2" spans="1:11" x14ac:dyDescent="0.25">
      <c r="A3262" s="11"/>
      <c r="B3262" s="11" t="s">
        <v>524</v>
      </c>
      <c r="C3262" s="5" t="s">
        <v>137</v>
      </c>
      <c r="D3262">
        <v>400</v>
      </c>
      <c r="E3262">
        <v>4</v>
      </c>
      <c r="F3262">
        <v>30</v>
      </c>
      <c r="G3262" s="11">
        <v>1</v>
      </c>
      <c r="H3262" s="5">
        <v>4.8000000000000001E-2</v>
      </c>
      <c r="I3262" s="11">
        <v>1075200</v>
      </c>
      <c r="J3262" s="20">
        <v>1075200</v>
      </c>
      <c r="K32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3" spans="1:11" hidden="1" x14ac:dyDescent="0.25">
      <c r="A3263" s="11"/>
      <c r="B3263" s="11"/>
      <c r="C3263" s="5"/>
      <c r="G3263" s="11"/>
      <c r="H3263" s="5"/>
      <c r="I3263" s="11"/>
      <c r="J3263" s="20"/>
      <c r="K32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4" spans="1:11" hidden="1" x14ac:dyDescent="0.25">
      <c r="A3264" s="11"/>
      <c r="B3264" s="11"/>
      <c r="C3264" s="5"/>
      <c r="G3264" s="11"/>
      <c r="H3264" s="5"/>
      <c r="I3264" s="11"/>
      <c r="J3264" s="20"/>
      <c r="K32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5" spans="1:11" x14ac:dyDescent="0.25">
      <c r="A3265" s="11" t="s">
        <v>339</v>
      </c>
      <c r="B3265" s="11" t="s">
        <v>517</v>
      </c>
      <c r="C3265" s="5" t="s">
        <v>122</v>
      </c>
      <c r="D3265">
        <v>400</v>
      </c>
      <c r="E3265">
        <v>6</v>
      </c>
      <c r="F3265">
        <v>15</v>
      </c>
      <c r="G3265" s="11">
        <v>14</v>
      </c>
      <c r="H3265" s="5">
        <v>0.504</v>
      </c>
      <c r="I3265" s="11">
        <v>723600</v>
      </c>
      <c r="J3265" s="20">
        <v>10130400</v>
      </c>
      <c r="K32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66" spans="1:11" hidden="1" x14ac:dyDescent="0.25">
      <c r="A3266" s="11"/>
      <c r="B3266" s="11"/>
      <c r="C3266" s="5"/>
      <c r="G3266" s="11"/>
      <c r="H3266" s="5"/>
      <c r="I3266" s="11"/>
      <c r="J3266" s="20"/>
      <c r="K32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7" spans="1:11" hidden="1" x14ac:dyDescent="0.25">
      <c r="A3267" s="11"/>
      <c r="B3267" s="11"/>
      <c r="C3267" s="5"/>
      <c r="G3267" s="11"/>
      <c r="H3267" s="5"/>
      <c r="I3267" s="11"/>
      <c r="J3267" s="20"/>
      <c r="K32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8" spans="1:11" x14ac:dyDescent="0.25">
      <c r="A3268" s="11" t="s">
        <v>340</v>
      </c>
      <c r="B3268" s="11" t="s">
        <v>579</v>
      </c>
      <c r="C3268" s="5" t="s">
        <v>289</v>
      </c>
      <c r="D3268">
        <v>500</v>
      </c>
      <c r="E3268">
        <v>4</v>
      </c>
      <c r="F3268">
        <v>35</v>
      </c>
      <c r="G3268" s="11">
        <v>1</v>
      </c>
      <c r="H3268" s="5">
        <v>7.0000000000000007E-2</v>
      </c>
      <c r="I3268" s="11">
        <v>1631000</v>
      </c>
      <c r="J3268" s="20">
        <v>1631000</v>
      </c>
      <c r="K32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69" spans="1:11" hidden="1" x14ac:dyDescent="0.25">
      <c r="A3269" s="11"/>
      <c r="B3269" s="11"/>
      <c r="C3269" s="5"/>
      <c r="G3269" s="11"/>
      <c r="H3269" s="5"/>
      <c r="I3269" s="11"/>
      <c r="J3269" s="20"/>
      <c r="K32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0" spans="1:11" hidden="1" x14ac:dyDescent="0.25">
      <c r="A3270" s="11"/>
      <c r="B3270" s="11"/>
      <c r="C3270" s="5"/>
      <c r="G3270" s="11"/>
      <c r="H3270" s="5"/>
      <c r="I3270" s="11"/>
      <c r="J3270" s="20"/>
      <c r="K32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1" spans="1:11" x14ac:dyDescent="0.25">
      <c r="A3271" s="11" t="s">
        <v>340</v>
      </c>
      <c r="B3271" s="11" t="s">
        <v>546</v>
      </c>
      <c r="C3271" s="5" t="s">
        <v>180</v>
      </c>
      <c r="D3271">
        <v>130</v>
      </c>
      <c r="E3271">
        <v>6</v>
      </c>
      <c r="F3271">
        <v>15</v>
      </c>
      <c r="G3271" s="11">
        <v>1</v>
      </c>
      <c r="H3271" s="5">
        <v>1.17E-2</v>
      </c>
      <c r="I3271" s="11">
        <v>212940</v>
      </c>
      <c r="J3271" s="20">
        <v>212940</v>
      </c>
      <c r="K32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72" spans="1:11" hidden="1" x14ac:dyDescent="0.25">
      <c r="A3272" s="11"/>
      <c r="B3272" s="11"/>
      <c r="C3272" s="5"/>
      <c r="G3272" s="11"/>
      <c r="H3272" s="5"/>
      <c r="I3272" s="11"/>
      <c r="J3272" s="20"/>
      <c r="K32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3" spans="1:11" hidden="1" x14ac:dyDescent="0.25">
      <c r="A3273" s="11"/>
      <c r="B3273" s="11"/>
      <c r="C3273" s="5"/>
      <c r="G3273" s="11"/>
      <c r="H3273" s="5"/>
      <c r="I3273" s="11"/>
      <c r="J3273" s="20"/>
      <c r="K32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4" spans="1:11" x14ac:dyDescent="0.25">
      <c r="A3274" s="11" t="s">
        <v>340</v>
      </c>
      <c r="B3274" s="11" t="s">
        <v>479</v>
      </c>
      <c r="C3274" s="5" t="s">
        <v>65</v>
      </c>
      <c r="D3274">
        <v>240</v>
      </c>
      <c r="E3274">
        <v>6</v>
      </c>
      <c r="F3274">
        <v>15</v>
      </c>
      <c r="G3274" s="11">
        <v>4</v>
      </c>
      <c r="H3274" s="5">
        <v>8.6400000000000005E-2</v>
      </c>
      <c r="I3274" s="11">
        <v>423360</v>
      </c>
      <c r="J3274" s="20">
        <v>1693440</v>
      </c>
      <c r="K32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75" spans="1:11" hidden="1" x14ac:dyDescent="0.25">
      <c r="A3275" s="11"/>
      <c r="B3275" s="11"/>
      <c r="C3275" s="5"/>
      <c r="G3275" s="11"/>
      <c r="H3275" s="5"/>
      <c r="I3275" s="11"/>
      <c r="J3275" s="20"/>
      <c r="K32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6" spans="1:11" x14ac:dyDescent="0.25">
      <c r="A3276" s="11"/>
      <c r="B3276" s="11" t="s">
        <v>459</v>
      </c>
      <c r="C3276" s="5" t="s">
        <v>40</v>
      </c>
      <c r="D3276">
        <v>270</v>
      </c>
      <c r="E3276">
        <v>6</v>
      </c>
      <c r="F3276">
        <v>15</v>
      </c>
      <c r="G3276" s="11">
        <v>1</v>
      </c>
      <c r="H3276" s="5">
        <v>2.4299999999999999E-2</v>
      </c>
      <c r="I3276" s="11">
        <v>476280</v>
      </c>
      <c r="J3276" s="20">
        <v>476280</v>
      </c>
      <c r="K32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77" spans="1:11" hidden="1" x14ac:dyDescent="0.25">
      <c r="A3277" s="11"/>
      <c r="B3277" s="11"/>
      <c r="C3277" s="5"/>
      <c r="G3277" s="11"/>
      <c r="H3277" s="5"/>
      <c r="I3277" s="11"/>
      <c r="J3277" s="20"/>
      <c r="K32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8" spans="1:11" hidden="1" x14ac:dyDescent="0.25">
      <c r="A3278" s="11"/>
      <c r="B3278" s="11"/>
      <c r="C3278" s="5"/>
      <c r="G3278" s="11"/>
      <c r="H3278" s="5"/>
      <c r="I3278" s="11"/>
      <c r="J3278" s="20"/>
      <c r="K32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79" spans="1:11" x14ac:dyDescent="0.25">
      <c r="A3279" s="11" t="s">
        <v>340</v>
      </c>
      <c r="B3279" s="11" t="s">
        <v>476</v>
      </c>
      <c r="C3279" s="5" t="s">
        <v>62</v>
      </c>
      <c r="D3279">
        <v>400</v>
      </c>
      <c r="E3279">
        <v>3</v>
      </c>
      <c r="F3279">
        <v>20</v>
      </c>
      <c r="G3279" s="11">
        <v>5</v>
      </c>
      <c r="H3279" s="5">
        <v>0.12</v>
      </c>
      <c r="I3279" s="11">
        <v>223200</v>
      </c>
      <c r="J3279" s="20">
        <v>1116000</v>
      </c>
      <c r="K32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0" spans="1:11" hidden="1" x14ac:dyDescent="0.25">
      <c r="A3280" s="11"/>
      <c r="B3280" s="11"/>
      <c r="C3280" s="5"/>
      <c r="G3280" s="11"/>
      <c r="H3280" s="5"/>
      <c r="I3280" s="11"/>
      <c r="J3280" s="20"/>
      <c r="K32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1" spans="1:11" x14ac:dyDescent="0.25">
      <c r="A3281" s="11"/>
      <c r="B3281" s="11" t="s">
        <v>503</v>
      </c>
      <c r="C3281" s="5" t="s">
        <v>99</v>
      </c>
      <c r="D3281">
        <v>300</v>
      </c>
      <c r="E3281">
        <v>6</v>
      </c>
      <c r="F3281">
        <v>15</v>
      </c>
      <c r="G3281" s="11">
        <v>1</v>
      </c>
      <c r="H3281" s="5">
        <v>2.7E-2</v>
      </c>
      <c r="I3281" s="11">
        <v>251100</v>
      </c>
      <c r="J3281" s="20">
        <v>251100</v>
      </c>
      <c r="K32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82" spans="1:11" hidden="1" x14ac:dyDescent="0.25">
      <c r="A3282" s="11"/>
      <c r="B3282" s="11"/>
      <c r="C3282" s="5"/>
      <c r="G3282" s="11"/>
      <c r="H3282" s="5"/>
      <c r="I3282" s="11"/>
      <c r="J3282" s="20"/>
      <c r="K32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3" spans="1:11" x14ac:dyDescent="0.25">
      <c r="A3283" s="11"/>
      <c r="B3283" s="11" t="s">
        <v>443</v>
      </c>
      <c r="C3283" s="5" t="s">
        <v>21</v>
      </c>
      <c r="D3283">
        <v>400</v>
      </c>
      <c r="E3283">
        <v>4</v>
      </c>
      <c r="F3283">
        <v>25</v>
      </c>
      <c r="G3283" s="11">
        <v>3</v>
      </c>
      <c r="H3283" s="5">
        <v>0.12</v>
      </c>
      <c r="I3283" s="11">
        <v>396000</v>
      </c>
      <c r="J3283" s="20">
        <v>1188000</v>
      </c>
      <c r="K32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4" spans="1:11" hidden="1" x14ac:dyDescent="0.25">
      <c r="A3284" s="11"/>
      <c r="B3284" s="11"/>
      <c r="C3284" s="5"/>
      <c r="G3284" s="11"/>
      <c r="H3284" s="5"/>
      <c r="I3284" s="11"/>
      <c r="J3284" s="20"/>
      <c r="K32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5" spans="1:11" x14ac:dyDescent="0.25">
      <c r="A3285" s="11"/>
      <c r="B3285" s="11" t="s">
        <v>481</v>
      </c>
      <c r="C3285" s="5" t="s">
        <v>68</v>
      </c>
      <c r="D3285">
        <v>400</v>
      </c>
      <c r="E3285">
        <v>6</v>
      </c>
      <c r="F3285">
        <v>15</v>
      </c>
      <c r="G3285" s="11">
        <v>6</v>
      </c>
      <c r="H3285" s="5">
        <v>0.216</v>
      </c>
      <c r="I3285" s="11">
        <v>334800</v>
      </c>
      <c r="J3285" s="20">
        <v>2008800</v>
      </c>
      <c r="K32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86" spans="1:11" hidden="1" x14ac:dyDescent="0.25">
      <c r="A3286" s="11"/>
      <c r="B3286" s="11"/>
      <c r="C3286" s="5"/>
      <c r="G3286" s="11"/>
      <c r="H3286" s="5"/>
      <c r="I3286" s="11"/>
      <c r="J3286" s="20"/>
      <c r="K32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7" spans="1:11" x14ac:dyDescent="0.25">
      <c r="A3287" s="11"/>
      <c r="B3287" s="11" t="s">
        <v>549</v>
      </c>
      <c r="C3287" s="5" t="s">
        <v>184</v>
      </c>
      <c r="D3287">
        <v>450</v>
      </c>
      <c r="E3287">
        <v>4</v>
      </c>
      <c r="F3287">
        <v>20</v>
      </c>
      <c r="G3287" s="11">
        <v>1</v>
      </c>
      <c r="H3287" s="5">
        <v>3.5999999999999997E-2</v>
      </c>
      <c r="I3287" s="11">
        <v>352800</v>
      </c>
      <c r="J3287" s="20">
        <v>352800</v>
      </c>
      <c r="K32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8" spans="1:11" hidden="1" x14ac:dyDescent="0.25">
      <c r="A3288" s="11"/>
      <c r="B3288" s="11"/>
      <c r="C3288" s="5"/>
      <c r="G3288" s="11"/>
      <c r="H3288" s="5"/>
      <c r="I3288" s="11"/>
      <c r="J3288" s="20"/>
      <c r="K32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89" spans="1:11" hidden="1" x14ac:dyDescent="0.25">
      <c r="A3289" s="11"/>
      <c r="B3289" s="11"/>
      <c r="C3289" s="5"/>
      <c r="G3289" s="11"/>
      <c r="H3289" s="5"/>
      <c r="I3289" s="11"/>
      <c r="J3289" s="20"/>
      <c r="K32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0" spans="1:11" x14ac:dyDescent="0.25">
      <c r="A3290" s="11" t="s">
        <v>340</v>
      </c>
      <c r="B3290" s="11" t="s">
        <v>439</v>
      </c>
      <c r="C3290" s="5" t="s">
        <v>16</v>
      </c>
      <c r="D3290">
        <v>400</v>
      </c>
      <c r="E3290">
        <v>3</v>
      </c>
      <c r="F3290">
        <v>30</v>
      </c>
      <c r="G3290" s="11">
        <v>1</v>
      </c>
      <c r="H3290" s="5">
        <v>3.5999999999999997E-2</v>
      </c>
      <c r="I3290" s="11">
        <v>363600</v>
      </c>
      <c r="J3290" s="20">
        <v>363600</v>
      </c>
      <c r="K32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1" spans="1:11" hidden="1" x14ac:dyDescent="0.25">
      <c r="A3291" s="11"/>
      <c r="B3291" s="11"/>
      <c r="C3291" s="5"/>
      <c r="G3291" s="11"/>
      <c r="H3291" s="5"/>
      <c r="I3291" s="11"/>
      <c r="J3291" s="20"/>
      <c r="K32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2" spans="1:11" x14ac:dyDescent="0.25">
      <c r="A3292" s="11"/>
      <c r="B3292" s="11" t="s">
        <v>463</v>
      </c>
      <c r="C3292" s="5" t="s">
        <v>45</v>
      </c>
      <c r="D3292">
        <v>500</v>
      </c>
      <c r="E3292">
        <v>4</v>
      </c>
      <c r="F3292">
        <v>30</v>
      </c>
      <c r="G3292" s="11">
        <v>1</v>
      </c>
      <c r="H3292" s="5">
        <v>0.06</v>
      </c>
      <c r="I3292" s="11">
        <v>606000</v>
      </c>
      <c r="J3292" s="20">
        <v>606000</v>
      </c>
      <c r="K32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3" spans="1:11" hidden="1" x14ac:dyDescent="0.25">
      <c r="A3293" s="11"/>
      <c r="B3293" s="11"/>
      <c r="C3293" s="5"/>
      <c r="G3293" s="11"/>
      <c r="H3293" s="5"/>
      <c r="I3293" s="11"/>
      <c r="J3293" s="20"/>
      <c r="K32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4" spans="1:11" hidden="1" x14ac:dyDescent="0.25">
      <c r="A3294" s="11"/>
      <c r="B3294" s="11"/>
      <c r="C3294" s="5"/>
      <c r="G3294" s="11"/>
      <c r="H3294" s="5"/>
      <c r="I3294" s="11"/>
      <c r="J3294" s="20"/>
      <c r="K32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5" spans="1:11" x14ac:dyDescent="0.25">
      <c r="A3295" s="11" t="s">
        <v>340</v>
      </c>
      <c r="B3295" s="11" t="s">
        <v>444</v>
      </c>
      <c r="C3295" s="5" t="s">
        <v>23</v>
      </c>
      <c r="D3295">
        <v>400</v>
      </c>
      <c r="E3295">
        <v>5</v>
      </c>
      <c r="F3295">
        <v>15</v>
      </c>
      <c r="G3295" s="11">
        <v>1</v>
      </c>
      <c r="H3295" s="5">
        <v>0.03</v>
      </c>
      <c r="I3295" s="11">
        <v>618000</v>
      </c>
      <c r="J3295" s="20">
        <v>618000</v>
      </c>
      <c r="K32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296" spans="1:11" hidden="1" x14ac:dyDescent="0.25">
      <c r="A3296" s="11"/>
      <c r="B3296" s="11"/>
      <c r="C3296" s="5"/>
      <c r="G3296" s="11"/>
      <c r="H3296" s="5"/>
      <c r="I3296" s="11"/>
      <c r="J3296" s="20"/>
      <c r="K32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7" spans="1:11" x14ac:dyDescent="0.25">
      <c r="A3297" s="11"/>
      <c r="B3297" s="11" t="s">
        <v>464</v>
      </c>
      <c r="C3297" s="5" t="s">
        <v>46</v>
      </c>
      <c r="D3297">
        <v>400</v>
      </c>
      <c r="E3297">
        <v>5</v>
      </c>
      <c r="F3297">
        <v>25</v>
      </c>
      <c r="G3297" s="11">
        <v>1</v>
      </c>
      <c r="H3297" s="5">
        <v>0.05</v>
      </c>
      <c r="I3297" s="11">
        <v>1100000</v>
      </c>
      <c r="J3297" s="20">
        <v>1100000</v>
      </c>
      <c r="K32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298" spans="1:11" hidden="1" x14ac:dyDescent="0.25">
      <c r="A3298" s="11"/>
      <c r="B3298" s="11"/>
      <c r="C3298" s="5"/>
      <c r="G3298" s="11"/>
      <c r="H3298" s="5"/>
      <c r="I3298" s="11"/>
      <c r="J3298" s="20"/>
      <c r="K32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299" spans="1:11" x14ac:dyDescent="0.25">
      <c r="A3299" s="11"/>
      <c r="B3299" s="11" t="s">
        <v>445</v>
      </c>
      <c r="C3299" s="5" t="s">
        <v>24</v>
      </c>
      <c r="D3299">
        <v>500</v>
      </c>
      <c r="E3299">
        <v>5</v>
      </c>
      <c r="F3299">
        <v>15</v>
      </c>
      <c r="G3299" s="11">
        <v>4</v>
      </c>
      <c r="H3299" s="5">
        <v>0.15</v>
      </c>
      <c r="I3299" s="11">
        <v>791250</v>
      </c>
      <c r="J3299" s="20">
        <v>3165000</v>
      </c>
      <c r="K32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00" spans="1:11" hidden="1" x14ac:dyDescent="0.25">
      <c r="A3300" s="11"/>
      <c r="B3300" s="11"/>
      <c r="C3300" s="5"/>
      <c r="G3300" s="11"/>
      <c r="H3300" s="5"/>
      <c r="I3300" s="11"/>
      <c r="J3300" s="20"/>
      <c r="K33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1" spans="1:11" x14ac:dyDescent="0.25">
      <c r="A3301" s="11"/>
      <c r="B3301" s="11" t="s">
        <v>487</v>
      </c>
      <c r="C3301" s="5" t="s">
        <v>77</v>
      </c>
      <c r="D3301">
        <v>250</v>
      </c>
      <c r="E3301">
        <v>4</v>
      </c>
      <c r="F3301">
        <v>30</v>
      </c>
      <c r="G3301" s="11">
        <v>3</v>
      </c>
      <c r="H3301" s="5">
        <v>0.09</v>
      </c>
      <c r="I3301" s="11">
        <v>672000</v>
      </c>
      <c r="J3301" s="20">
        <v>2016000</v>
      </c>
      <c r="K33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2" spans="1:11" hidden="1" x14ac:dyDescent="0.25">
      <c r="A3302" s="11"/>
      <c r="B3302" s="11"/>
      <c r="C3302" s="5"/>
      <c r="G3302" s="11"/>
      <c r="H3302" s="5"/>
      <c r="I3302" s="11"/>
      <c r="J3302" s="20"/>
      <c r="K33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3" spans="1:11" hidden="1" x14ac:dyDescent="0.25">
      <c r="A3303" s="11"/>
      <c r="B3303" s="11"/>
      <c r="C3303" s="5"/>
      <c r="G3303" s="11"/>
      <c r="H3303" s="5"/>
      <c r="I3303" s="11"/>
      <c r="J3303" s="20"/>
      <c r="K33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4" spans="1:11" x14ac:dyDescent="0.25">
      <c r="A3304" s="11" t="s">
        <v>341</v>
      </c>
      <c r="B3304" s="11" t="s">
        <v>456</v>
      </c>
      <c r="C3304" s="5" t="s">
        <v>37</v>
      </c>
      <c r="D3304">
        <v>250</v>
      </c>
      <c r="E3304">
        <v>4</v>
      </c>
      <c r="F3304">
        <v>25</v>
      </c>
      <c r="G3304" s="11">
        <v>8</v>
      </c>
      <c r="H3304" s="5">
        <v>0.2</v>
      </c>
      <c r="I3304" s="11">
        <v>553750</v>
      </c>
      <c r="J3304" s="20">
        <v>4430000</v>
      </c>
      <c r="K33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5" spans="1:11" hidden="1" x14ac:dyDescent="0.25">
      <c r="A3305" s="11"/>
      <c r="B3305" s="11"/>
      <c r="C3305" s="5"/>
      <c r="G3305" s="11"/>
      <c r="H3305" s="5"/>
      <c r="I3305" s="11"/>
      <c r="J3305" s="20"/>
      <c r="K33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6" spans="1:11" x14ac:dyDescent="0.25">
      <c r="A3306" s="11"/>
      <c r="B3306" s="11" t="s">
        <v>506</v>
      </c>
      <c r="C3306" s="5" t="s">
        <v>103</v>
      </c>
      <c r="D3306">
        <v>400</v>
      </c>
      <c r="E3306">
        <v>3</v>
      </c>
      <c r="F3306">
        <v>30</v>
      </c>
      <c r="G3306" s="11">
        <v>9</v>
      </c>
      <c r="H3306" s="5">
        <v>0.32400000000000001</v>
      </c>
      <c r="I3306" s="11">
        <v>815400</v>
      </c>
      <c r="J3306" s="20">
        <v>7338600</v>
      </c>
      <c r="K33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7" spans="1:11" hidden="1" x14ac:dyDescent="0.25">
      <c r="A3307" s="11"/>
      <c r="B3307" s="11"/>
      <c r="C3307" s="5"/>
      <c r="G3307" s="11"/>
      <c r="H3307" s="5"/>
      <c r="I3307" s="11"/>
      <c r="J3307" s="20"/>
      <c r="K33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8" spans="1:11" x14ac:dyDescent="0.25">
      <c r="A3308" s="11"/>
      <c r="B3308" s="11" t="s">
        <v>540</v>
      </c>
      <c r="C3308" s="5" t="s">
        <v>166</v>
      </c>
      <c r="D3308">
        <v>250</v>
      </c>
      <c r="E3308">
        <v>4</v>
      </c>
      <c r="F3308">
        <v>20</v>
      </c>
      <c r="G3308" s="11">
        <v>6</v>
      </c>
      <c r="H3308" s="5">
        <v>0.12</v>
      </c>
      <c r="I3308" s="11">
        <v>441000</v>
      </c>
      <c r="J3308" s="20">
        <v>2646000</v>
      </c>
      <c r="K33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09" spans="1:11" hidden="1" x14ac:dyDescent="0.25">
      <c r="A3309" s="11"/>
      <c r="B3309" s="11"/>
      <c r="C3309" s="5"/>
      <c r="G3309" s="11"/>
      <c r="H3309" s="5"/>
      <c r="I3309" s="11"/>
      <c r="J3309" s="20"/>
      <c r="K33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0" spans="1:11" x14ac:dyDescent="0.25">
      <c r="A3310" s="11"/>
      <c r="B3310" s="11" t="s">
        <v>522</v>
      </c>
      <c r="C3310" s="5" t="s">
        <v>131</v>
      </c>
      <c r="D3310">
        <v>200</v>
      </c>
      <c r="E3310">
        <v>6</v>
      </c>
      <c r="F3310">
        <v>15</v>
      </c>
      <c r="G3310" s="11">
        <v>2</v>
      </c>
      <c r="H3310" s="5">
        <v>3.5999999999999997E-2</v>
      </c>
      <c r="I3310" s="11">
        <v>357300</v>
      </c>
      <c r="J3310" s="20">
        <v>714600</v>
      </c>
      <c r="K33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11" spans="1:11" hidden="1" x14ac:dyDescent="0.25">
      <c r="A3311" s="11"/>
      <c r="B3311" s="11"/>
      <c r="C3311" s="5"/>
      <c r="G3311" s="11"/>
      <c r="H3311" s="5"/>
      <c r="I3311" s="11"/>
      <c r="J3311" s="20"/>
      <c r="K33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2" spans="1:11" x14ac:dyDescent="0.25">
      <c r="A3312" s="11"/>
      <c r="B3312" s="11" t="s">
        <v>458</v>
      </c>
      <c r="C3312" s="5" t="s">
        <v>39</v>
      </c>
      <c r="D3312">
        <v>220</v>
      </c>
      <c r="E3312">
        <v>6</v>
      </c>
      <c r="F3312">
        <v>15</v>
      </c>
      <c r="G3312" s="11">
        <v>2</v>
      </c>
      <c r="H3312" s="5">
        <v>3.9600000000000003E-2</v>
      </c>
      <c r="I3312" s="11">
        <v>393030</v>
      </c>
      <c r="J3312" s="20">
        <v>786060</v>
      </c>
      <c r="K33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13" spans="1:11" hidden="1" x14ac:dyDescent="0.25">
      <c r="A3313" s="11"/>
      <c r="B3313" s="11"/>
      <c r="C3313" s="5"/>
      <c r="G3313" s="11"/>
      <c r="H3313" s="5"/>
      <c r="I3313" s="11"/>
      <c r="J3313" s="20"/>
      <c r="K33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4" spans="1:11" x14ac:dyDescent="0.25">
      <c r="A3314" s="11"/>
      <c r="B3314" s="11" t="s">
        <v>499</v>
      </c>
      <c r="C3314" s="5" t="s">
        <v>94</v>
      </c>
      <c r="D3314">
        <v>300</v>
      </c>
      <c r="E3314">
        <v>6</v>
      </c>
      <c r="F3314">
        <v>15</v>
      </c>
      <c r="G3314" s="11">
        <v>1</v>
      </c>
      <c r="H3314" s="5">
        <v>2.7E-2</v>
      </c>
      <c r="I3314" s="11">
        <v>535950</v>
      </c>
      <c r="J3314" s="20">
        <v>535950</v>
      </c>
      <c r="K33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15" spans="1:11" hidden="1" x14ac:dyDescent="0.25">
      <c r="A3315" s="11"/>
      <c r="B3315" s="11"/>
      <c r="C3315" s="5"/>
      <c r="G3315" s="11"/>
      <c r="H3315" s="5"/>
      <c r="I3315" s="11"/>
      <c r="J3315" s="20"/>
      <c r="K33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6" spans="1:11" hidden="1" x14ac:dyDescent="0.25">
      <c r="A3316" s="11"/>
      <c r="B3316" s="11"/>
      <c r="C3316" s="5"/>
      <c r="G3316" s="11"/>
      <c r="H3316" s="5"/>
      <c r="I3316" s="11"/>
      <c r="J3316" s="20"/>
      <c r="K33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7" spans="1:11" x14ac:dyDescent="0.25">
      <c r="A3317" s="11" t="s">
        <v>342</v>
      </c>
      <c r="B3317" s="11" t="s">
        <v>439</v>
      </c>
      <c r="C3317" s="5" t="s">
        <v>16</v>
      </c>
      <c r="D3317">
        <v>400</v>
      </c>
      <c r="E3317">
        <v>3</v>
      </c>
      <c r="F3317">
        <v>30</v>
      </c>
      <c r="G3317" s="11">
        <v>2</v>
      </c>
      <c r="H3317" s="5">
        <v>7.1999999999999995E-2</v>
      </c>
      <c r="I3317" s="11">
        <v>363600</v>
      </c>
      <c r="J3317" s="20">
        <v>727200</v>
      </c>
      <c r="K33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8" spans="1:11" hidden="1" x14ac:dyDescent="0.25">
      <c r="A3318" s="11"/>
      <c r="B3318" s="11"/>
      <c r="C3318" s="5"/>
      <c r="G3318" s="11"/>
      <c r="H3318" s="5"/>
      <c r="I3318" s="11"/>
      <c r="J3318" s="20"/>
      <c r="K33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19" spans="1:11" x14ac:dyDescent="0.25">
      <c r="A3319" s="11"/>
      <c r="B3319" s="11" t="s">
        <v>433</v>
      </c>
      <c r="C3319" s="5" t="s">
        <v>9</v>
      </c>
      <c r="D3319">
        <v>400</v>
      </c>
      <c r="E3319">
        <v>4</v>
      </c>
      <c r="F3319">
        <v>20</v>
      </c>
      <c r="G3319" s="11">
        <v>3</v>
      </c>
      <c r="H3319" s="5">
        <v>9.6000000000000002E-2</v>
      </c>
      <c r="I3319" s="11">
        <v>313600</v>
      </c>
      <c r="J3319" s="20">
        <v>940800</v>
      </c>
      <c r="K33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0" spans="1:11" hidden="1" x14ac:dyDescent="0.25">
      <c r="A3320" s="11"/>
      <c r="B3320" s="11"/>
      <c r="C3320" s="5"/>
      <c r="G3320" s="11"/>
      <c r="H3320" s="5"/>
      <c r="I3320" s="11"/>
      <c r="J3320" s="20"/>
      <c r="K33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1" spans="1:11" x14ac:dyDescent="0.25">
      <c r="A3321" s="11"/>
      <c r="B3321" s="11" t="s">
        <v>443</v>
      </c>
      <c r="C3321" s="5" t="s">
        <v>21</v>
      </c>
      <c r="D3321">
        <v>400</v>
      </c>
      <c r="E3321">
        <v>4</v>
      </c>
      <c r="F3321">
        <v>25</v>
      </c>
      <c r="G3321" s="11">
        <v>3</v>
      </c>
      <c r="H3321" s="5">
        <v>0.12</v>
      </c>
      <c r="I3321" s="11">
        <v>396000</v>
      </c>
      <c r="J3321" s="20">
        <v>1188000</v>
      </c>
      <c r="K33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2" spans="1:11" hidden="1" x14ac:dyDescent="0.25">
      <c r="A3322" s="11"/>
      <c r="B3322" s="11"/>
      <c r="C3322" s="5"/>
      <c r="G3322" s="11"/>
      <c r="H3322" s="5"/>
      <c r="I3322" s="11"/>
      <c r="J3322" s="20"/>
      <c r="K33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3" spans="1:11" hidden="1" x14ac:dyDescent="0.25">
      <c r="A3323" s="11"/>
      <c r="B3323" s="11"/>
      <c r="C3323" s="5"/>
      <c r="G3323" s="11"/>
      <c r="H3323" s="5"/>
      <c r="I3323" s="11"/>
      <c r="J3323" s="20"/>
      <c r="K33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4" spans="1:11" x14ac:dyDescent="0.25">
      <c r="A3324" s="11" t="s">
        <v>343</v>
      </c>
      <c r="B3324" s="11" t="s">
        <v>438</v>
      </c>
      <c r="C3324" s="5" t="s">
        <v>15</v>
      </c>
      <c r="D3324">
        <v>400</v>
      </c>
      <c r="E3324">
        <v>3</v>
      </c>
      <c r="F3324">
        <v>25</v>
      </c>
      <c r="G3324" s="11">
        <v>2</v>
      </c>
      <c r="H3324" s="5">
        <v>0.06</v>
      </c>
      <c r="I3324" s="11">
        <v>297000</v>
      </c>
      <c r="J3324" s="20">
        <v>594000</v>
      </c>
      <c r="K33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5" spans="1:11" hidden="1" x14ac:dyDescent="0.25">
      <c r="A3325" s="11"/>
      <c r="B3325" s="11"/>
      <c r="C3325" s="5"/>
      <c r="G3325" s="11"/>
      <c r="H3325" s="5"/>
      <c r="I3325" s="11"/>
      <c r="J3325" s="20"/>
      <c r="K33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6" spans="1:11" x14ac:dyDescent="0.25">
      <c r="A3326" s="11"/>
      <c r="B3326" s="11" t="s">
        <v>481</v>
      </c>
      <c r="C3326" s="5" t="s">
        <v>68</v>
      </c>
      <c r="D3326">
        <v>400</v>
      </c>
      <c r="E3326">
        <v>6</v>
      </c>
      <c r="F3326">
        <v>15</v>
      </c>
      <c r="G3326" s="11">
        <v>2</v>
      </c>
      <c r="H3326" s="5">
        <v>7.1999999999999995E-2</v>
      </c>
      <c r="I3326" s="11">
        <v>334800</v>
      </c>
      <c r="J3326" s="20">
        <v>669600</v>
      </c>
      <c r="K33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27" spans="1:11" hidden="1" x14ac:dyDescent="0.25">
      <c r="A3327" s="11"/>
      <c r="B3327" s="11"/>
      <c r="C3327" s="5"/>
      <c r="G3327" s="11"/>
      <c r="H3327" s="5"/>
      <c r="I3327" s="11"/>
      <c r="J3327" s="20"/>
      <c r="K33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8" spans="1:11" x14ac:dyDescent="0.25">
      <c r="A3328" s="11"/>
      <c r="B3328" s="11" t="s">
        <v>440</v>
      </c>
      <c r="C3328" s="5" t="s">
        <v>17</v>
      </c>
      <c r="D3328">
        <v>500</v>
      </c>
      <c r="E3328">
        <v>4</v>
      </c>
      <c r="F3328">
        <v>25</v>
      </c>
      <c r="G3328" s="11">
        <v>1</v>
      </c>
      <c r="H3328" s="5">
        <v>0.05</v>
      </c>
      <c r="I3328" s="11">
        <v>495000</v>
      </c>
      <c r="J3328" s="20">
        <v>495000</v>
      </c>
      <c r="K33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29" spans="1:11" hidden="1" x14ac:dyDescent="0.25">
      <c r="A3329" s="11"/>
      <c r="B3329" s="11"/>
      <c r="C3329" s="5"/>
      <c r="G3329" s="11"/>
      <c r="H3329" s="5"/>
      <c r="I3329" s="11"/>
      <c r="J3329" s="20"/>
      <c r="K33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0" spans="1:11" hidden="1" x14ac:dyDescent="0.25">
      <c r="A3330" s="11"/>
      <c r="B3330" s="11"/>
      <c r="C3330" s="5"/>
      <c r="G3330" s="11"/>
      <c r="H3330" s="5"/>
      <c r="I3330" s="11"/>
      <c r="J3330" s="20"/>
      <c r="K33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1" spans="1:11" x14ac:dyDescent="0.25">
      <c r="A3331" s="11" t="s">
        <v>343</v>
      </c>
      <c r="B3331" s="11" t="s">
        <v>589</v>
      </c>
      <c r="C3331" s="5" t="s">
        <v>344</v>
      </c>
      <c r="D3331">
        <v>500</v>
      </c>
      <c r="E3331">
        <v>4</v>
      </c>
      <c r="F3331">
        <v>70</v>
      </c>
      <c r="G3331" s="11">
        <v>1</v>
      </c>
      <c r="H3331" s="5">
        <v>0.14000000000000001</v>
      </c>
      <c r="I3331" s="11">
        <v>4242000</v>
      </c>
      <c r="J3331" s="20">
        <v>4242000</v>
      </c>
      <c r="K33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32" spans="1:11" hidden="1" x14ac:dyDescent="0.25">
      <c r="A3332" s="11"/>
      <c r="B3332" s="11"/>
      <c r="C3332" s="5"/>
      <c r="G3332" s="11"/>
      <c r="H3332" s="5"/>
      <c r="I3332" s="11"/>
      <c r="J3332" s="20"/>
      <c r="K33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3" spans="1:11" x14ac:dyDescent="0.25">
      <c r="A3333" s="11"/>
      <c r="B3333" s="11" t="s">
        <v>498</v>
      </c>
      <c r="C3333" s="5" t="s">
        <v>92</v>
      </c>
      <c r="D3333">
        <v>500</v>
      </c>
      <c r="E3333">
        <v>6</v>
      </c>
      <c r="F3333">
        <v>15</v>
      </c>
      <c r="G3333" s="11">
        <v>1</v>
      </c>
      <c r="H3333" s="5">
        <v>4.4999999999999998E-2</v>
      </c>
      <c r="I3333" s="11">
        <v>441000</v>
      </c>
      <c r="J3333" s="20">
        <v>441000</v>
      </c>
      <c r="K33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34" spans="1:11" hidden="1" x14ac:dyDescent="0.25">
      <c r="A3334" s="11"/>
      <c r="B3334" s="11"/>
      <c r="C3334" s="5"/>
      <c r="G3334" s="11"/>
      <c r="H3334" s="5"/>
      <c r="I3334" s="11"/>
      <c r="J3334" s="20"/>
      <c r="K33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5" spans="1:11" hidden="1" x14ac:dyDescent="0.25">
      <c r="A3335" s="11"/>
      <c r="B3335" s="11"/>
      <c r="C3335" s="5"/>
      <c r="G3335" s="11"/>
      <c r="H3335" s="5"/>
      <c r="I3335" s="11"/>
      <c r="J3335" s="20"/>
      <c r="K33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6" spans="1:11" x14ac:dyDescent="0.25">
      <c r="A3336" s="11" t="s">
        <v>343</v>
      </c>
      <c r="B3336" s="11" t="s">
        <v>490</v>
      </c>
      <c r="C3336" s="5" t="s">
        <v>82</v>
      </c>
      <c r="D3336">
        <v>250</v>
      </c>
      <c r="E3336">
        <v>6</v>
      </c>
      <c r="F3336">
        <v>15</v>
      </c>
      <c r="G3336" s="11">
        <v>6</v>
      </c>
      <c r="H3336" s="5">
        <v>0.13500000000000001</v>
      </c>
      <c r="I3336" s="11">
        <v>220500</v>
      </c>
      <c r="J3336" s="20">
        <v>1323000</v>
      </c>
      <c r="K33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37" spans="1:11" hidden="1" x14ac:dyDescent="0.25">
      <c r="A3337" s="11"/>
      <c r="B3337" s="11"/>
      <c r="C3337" s="5"/>
      <c r="G3337" s="11"/>
      <c r="H3337" s="5"/>
      <c r="I3337" s="11"/>
      <c r="J3337" s="20"/>
      <c r="K33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8" spans="1:11" x14ac:dyDescent="0.25">
      <c r="A3338" s="11"/>
      <c r="B3338" s="11" t="s">
        <v>439</v>
      </c>
      <c r="C3338" s="5" t="s">
        <v>16</v>
      </c>
      <c r="D3338">
        <v>400</v>
      </c>
      <c r="E3338">
        <v>3</v>
      </c>
      <c r="F3338">
        <v>30</v>
      </c>
      <c r="G3338" s="11">
        <v>3</v>
      </c>
      <c r="H3338" s="5">
        <v>0.108</v>
      </c>
      <c r="I3338" s="11">
        <v>363600</v>
      </c>
      <c r="J3338" s="20">
        <v>1090800</v>
      </c>
      <c r="K33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39" spans="1:11" hidden="1" x14ac:dyDescent="0.25">
      <c r="A3339" s="11"/>
      <c r="B3339" s="11"/>
      <c r="C3339" s="5"/>
      <c r="G3339" s="11"/>
      <c r="H3339" s="5"/>
      <c r="I3339" s="11"/>
      <c r="J3339" s="20"/>
      <c r="K33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0" spans="1:11" x14ac:dyDescent="0.25">
      <c r="A3340" s="11"/>
      <c r="B3340" s="11" t="s">
        <v>434</v>
      </c>
      <c r="C3340" s="5" t="s">
        <v>10</v>
      </c>
      <c r="D3340">
        <v>400</v>
      </c>
      <c r="E3340">
        <v>4</v>
      </c>
      <c r="F3340">
        <v>30</v>
      </c>
      <c r="G3340" s="11">
        <v>6</v>
      </c>
      <c r="H3340" s="5">
        <v>0.28799999999999998</v>
      </c>
      <c r="I3340" s="11">
        <v>484800</v>
      </c>
      <c r="J3340" s="20">
        <v>2908800</v>
      </c>
      <c r="K33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1" spans="1:11" hidden="1" x14ac:dyDescent="0.25">
      <c r="A3341" s="11"/>
      <c r="B3341" s="11"/>
      <c r="C3341" s="5"/>
      <c r="G3341" s="11"/>
      <c r="H3341" s="5"/>
      <c r="I3341" s="11"/>
      <c r="J3341" s="20"/>
      <c r="K33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2" spans="1:11" x14ac:dyDescent="0.25">
      <c r="A3342" s="11"/>
      <c r="B3342" s="11" t="s">
        <v>454</v>
      </c>
      <c r="C3342" s="5" t="s">
        <v>35</v>
      </c>
      <c r="D3342">
        <v>400</v>
      </c>
      <c r="E3342">
        <v>5</v>
      </c>
      <c r="F3342">
        <v>30</v>
      </c>
      <c r="G3342" s="11">
        <v>3</v>
      </c>
      <c r="H3342" s="5">
        <v>0.18</v>
      </c>
      <c r="I3342" s="11">
        <v>618000</v>
      </c>
      <c r="J3342" s="20">
        <v>1854000</v>
      </c>
      <c r="K33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43" spans="1:11" hidden="1" x14ac:dyDescent="0.25">
      <c r="A3343" s="11"/>
      <c r="B3343" s="11"/>
      <c r="C3343" s="5"/>
      <c r="G3343" s="11"/>
      <c r="H3343" s="5"/>
      <c r="I3343" s="11"/>
      <c r="J3343" s="20"/>
      <c r="K33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4" spans="1:11" x14ac:dyDescent="0.25">
      <c r="A3344" s="11"/>
      <c r="B3344" s="11" t="s">
        <v>481</v>
      </c>
      <c r="C3344" s="5" t="s">
        <v>68</v>
      </c>
      <c r="D3344">
        <v>400</v>
      </c>
      <c r="E3344">
        <v>6</v>
      </c>
      <c r="F3344">
        <v>15</v>
      </c>
      <c r="G3344" s="11">
        <v>2</v>
      </c>
      <c r="H3344" s="5">
        <v>7.1999999999999995E-2</v>
      </c>
      <c r="I3344" s="11">
        <v>334800</v>
      </c>
      <c r="J3344" s="20">
        <v>669600</v>
      </c>
      <c r="K33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45" spans="1:11" hidden="1" x14ac:dyDescent="0.25">
      <c r="A3345" s="11"/>
      <c r="B3345" s="11"/>
      <c r="C3345" s="5"/>
      <c r="G3345" s="11"/>
      <c r="H3345" s="5"/>
      <c r="I3345" s="11"/>
      <c r="J3345" s="20"/>
      <c r="K33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6" spans="1:11" hidden="1" x14ac:dyDescent="0.25">
      <c r="A3346" s="11"/>
      <c r="B3346" s="11"/>
      <c r="C3346" s="5"/>
      <c r="G3346" s="11"/>
      <c r="H3346" s="5"/>
      <c r="I3346" s="11"/>
      <c r="J3346" s="20"/>
      <c r="K33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7" spans="1:11" x14ac:dyDescent="0.25">
      <c r="A3347" s="11" t="s">
        <v>343</v>
      </c>
      <c r="B3347" s="11" t="s">
        <v>545</v>
      </c>
      <c r="C3347" s="5" t="s">
        <v>178</v>
      </c>
      <c r="D3347">
        <v>400</v>
      </c>
      <c r="E3347">
        <v>8</v>
      </c>
      <c r="F3347">
        <v>15</v>
      </c>
      <c r="G3347" s="11">
        <v>1</v>
      </c>
      <c r="H3347" s="5">
        <v>4.8000000000000001E-2</v>
      </c>
      <c r="I3347" s="11">
        <v>465600</v>
      </c>
      <c r="J3347" s="20">
        <v>465600</v>
      </c>
      <c r="K33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48" spans="1:11" hidden="1" x14ac:dyDescent="0.25">
      <c r="A3348" s="11"/>
      <c r="B3348" s="11"/>
      <c r="C3348" s="5"/>
      <c r="G3348" s="11"/>
      <c r="H3348" s="5"/>
      <c r="I3348" s="11"/>
      <c r="J3348" s="20"/>
      <c r="K33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49" spans="1:11" x14ac:dyDescent="0.25">
      <c r="A3349" s="11"/>
      <c r="B3349" s="11" t="s">
        <v>528</v>
      </c>
      <c r="C3349" s="5" t="s">
        <v>145</v>
      </c>
      <c r="D3349">
        <v>500</v>
      </c>
      <c r="E3349">
        <v>8</v>
      </c>
      <c r="F3349">
        <v>15</v>
      </c>
      <c r="G3349" s="11">
        <v>1</v>
      </c>
      <c r="H3349" s="5">
        <v>0.06</v>
      </c>
      <c r="I3349" s="11">
        <v>612000</v>
      </c>
      <c r="J3349" s="20">
        <v>612000</v>
      </c>
      <c r="K33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50" spans="1:11" hidden="1" x14ac:dyDescent="0.25">
      <c r="A3350" s="11"/>
      <c r="B3350" s="11"/>
      <c r="C3350" s="5"/>
      <c r="G3350" s="11"/>
      <c r="H3350" s="5"/>
      <c r="I3350" s="11"/>
      <c r="J3350" s="20"/>
      <c r="K33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51" spans="1:11" hidden="1" x14ac:dyDescent="0.25">
      <c r="A3351" s="11"/>
      <c r="B3351" s="11"/>
      <c r="C3351" s="5"/>
      <c r="G3351" s="11"/>
      <c r="H3351" s="5"/>
      <c r="I3351" s="11"/>
      <c r="J3351" s="20"/>
      <c r="K33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52" spans="1:11" x14ac:dyDescent="0.25">
      <c r="A3352" s="11" t="s">
        <v>343</v>
      </c>
      <c r="B3352" s="11" t="s">
        <v>477</v>
      </c>
      <c r="C3352" s="5" t="s">
        <v>63</v>
      </c>
      <c r="D3352">
        <v>100</v>
      </c>
      <c r="E3352">
        <v>6</v>
      </c>
      <c r="F3352">
        <v>15</v>
      </c>
      <c r="G3352" s="11">
        <v>3</v>
      </c>
      <c r="H3352" s="5">
        <v>2.7E-2</v>
      </c>
      <c r="I3352" s="11">
        <v>163800</v>
      </c>
      <c r="J3352" s="20">
        <v>491400</v>
      </c>
      <c r="K33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53" spans="1:11" hidden="1" x14ac:dyDescent="0.25">
      <c r="A3353" s="11"/>
      <c r="B3353" s="11"/>
      <c r="C3353" s="5"/>
      <c r="G3353" s="11"/>
      <c r="H3353" s="5"/>
      <c r="I3353" s="11"/>
      <c r="J3353" s="20"/>
      <c r="K33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54" spans="1:11" x14ac:dyDescent="0.25">
      <c r="A3354" s="11"/>
      <c r="B3354" s="11" t="s">
        <v>547</v>
      </c>
      <c r="C3354" s="5" t="s">
        <v>182</v>
      </c>
      <c r="D3354">
        <v>120</v>
      </c>
      <c r="E3354">
        <v>6</v>
      </c>
      <c r="F3354">
        <v>15</v>
      </c>
      <c r="G3354" s="11">
        <v>9</v>
      </c>
      <c r="H3354" s="5">
        <v>9.7199999999999995E-2</v>
      </c>
      <c r="I3354" s="11">
        <v>196560</v>
      </c>
      <c r="J3354" s="20">
        <v>1769040</v>
      </c>
      <c r="K33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55" spans="1:11" hidden="1" x14ac:dyDescent="0.25">
      <c r="A3355" s="11"/>
      <c r="B3355" s="11"/>
      <c r="C3355" s="5"/>
      <c r="G3355" s="11"/>
      <c r="H3355" s="5"/>
      <c r="I3355" s="11"/>
      <c r="J3355" s="20"/>
      <c r="K33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56" spans="1:11" x14ac:dyDescent="0.25">
      <c r="A3356" s="11"/>
      <c r="B3356" s="11" t="s">
        <v>535</v>
      </c>
      <c r="C3356" s="5" t="s">
        <v>154</v>
      </c>
      <c r="D3356">
        <v>140</v>
      </c>
      <c r="E3356">
        <v>6</v>
      </c>
      <c r="F3356">
        <v>15</v>
      </c>
      <c r="G3356" s="11">
        <v>5</v>
      </c>
      <c r="H3356" s="5">
        <v>6.3E-2</v>
      </c>
      <c r="I3356" s="11">
        <v>229320</v>
      </c>
      <c r="J3356" s="20">
        <v>1146600</v>
      </c>
      <c r="K33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57" spans="1:11" hidden="1" x14ac:dyDescent="0.25">
      <c r="A3357" s="11"/>
      <c r="B3357" s="11"/>
      <c r="C3357" s="5"/>
      <c r="G3357" s="11"/>
      <c r="H3357" s="5"/>
      <c r="I3357" s="11"/>
      <c r="J3357" s="20"/>
      <c r="K33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58" spans="1:11" x14ac:dyDescent="0.25">
      <c r="A3358" s="11"/>
      <c r="B3358" s="11" t="s">
        <v>478</v>
      </c>
      <c r="C3358" s="5" t="s">
        <v>64</v>
      </c>
      <c r="D3358">
        <v>180</v>
      </c>
      <c r="E3358">
        <v>6</v>
      </c>
      <c r="F3358">
        <v>15</v>
      </c>
      <c r="G3358" s="11">
        <v>4</v>
      </c>
      <c r="H3358" s="5">
        <v>6.4799999999999996E-2</v>
      </c>
      <c r="I3358" s="11">
        <v>294840</v>
      </c>
      <c r="J3358" s="20">
        <v>1179360</v>
      </c>
      <c r="K33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59" spans="1:11" hidden="1" x14ac:dyDescent="0.25">
      <c r="A3359" s="11"/>
      <c r="B3359" s="11"/>
      <c r="C3359" s="5"/>
      <c r="G3359" s="11"/>
      <c r="H3359" s="5"/>
      <c r="I3359" s="11"/>
      <c r="J3359" s="20"/>
      <c r="K33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0" spans="1:11" x14ac:dyDescent="0.25">
      <c r="A3360" s="11"/>
      <c r="B3360" s="11" t="s">
        <v>501</v>
      </c>
      <c r="C3360" s="5" t="s">
        <v>96</v>
      </c>
      <c r="D3360">
        <v>250</v>
      </c>
      <c r="E3360">
        <v>6</v>
      </c>
      <c r="F3360">
        <v>15</v>
      </c>
      <c r="G3360" s="11">
        <v>4</v>
      </c>
      <c r="H3360" s="5">
        <v>0.09</v>
      </c>
      <c r="I3360" s="11">
        <v>454500</v>
      </c>
      <c r="J3360" s="20">
        <v>1818000</v>
      </c>
      <c r="K33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61" spans="1:11" hidden="1" x14ac:dyDescent="0.25">
      <c r="A3361" s="11"/>
      <c r="B3361" s="11"/>
      <c r="C3361" s="5"/>
      <c r="G3361" s="11"/>
      <c r="H3361" s="5"/>
      <c r="I3361" s="11"/>
      <c r="J3361" s="20"/>
      <c r="K33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2" spans="1:11" x14ac:dyDescent="0.25">
      <c r="A3362" s="11"/>
      <c r="B3362" s="11" t="s">
        <v>590</v>
      </c>
      <c r="C3362" s="5" t="s">
        <v>345</v>
      </c>
      <c r="D3362">
        <v>450</v>
      </c>
      <c r="E3362">
        <v>6</v>
      </c>
      <c r="F3362">
        <v>15</v>
      </c>
      <c r="G3362" s="11">
        <v>9</v>
      </c>
      <c r="H3362" s="5">
        <v>0.36449999999999999</v>
      </c>
      <c r="I3362" s="11">
        <v>818100</v>
      </c>
      <c r="J3362" s="20">
        <v>7362900</v>
      </c>
      <c r="K33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63" spans="1:11" hidden="1" x14ac:dyDescent="0.25">
      <c r="A3363" s="11"/>
      <c r="B3363" s="11"/>
      <c r="C3363" s="5"/>
      <c r="G3363" s="11"/>
      <c r="H3363" s="5"/>
      <c r="I3363" s="11"/>
      <c r="J3363" s="20"/>
      <c r="K33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4" spans="1:11" hidden="1" x14ac:dyDescent="0.25">
      <c r="A3364" s="11"/>
      <c r="B3364" s="11"/>
      <c r="C3364" s="5"/>
      <c r="G3364" s="11"/>
      <c r="H3364" s="5"/>
      <c r="I3364" s="11"/>
      <c r="J3364" s="20"/>
      <c r="K33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5" spans="1:11" x14ac:dyDescent="0.25">
      <c r="A3365" s="11" t="s">
        <v>343</v>
      </c>
      <c r="B3365" s="11" t="s">
        <v>552</v>
      </c>
      <c r="C3365" s="5" t="s">
        <v>191</v>
      </c>
      <c r="D3365">
        <v>400</v>
      </c>
      <c r="E3365">
        <v>15</v>
      </c>
      <c r="F3365">
        <v>15</v>
      </c>
      <c r="G3365" s="11">
        <v>5</v>
      </c>
      <c r="H3365" s="5">
        <v>0.45</v>
      </c>
      <c r="I3365" s="11">
        <v>1134000</v>
      </c>
      <c r="J3365" s="20">
        <v>5670000</v>
      </c>
      <c r="K33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66" spans="1:11" hidden="1" x14ac:dyDescent="0.25">
      <c r="A3366" s="11"/>
      <c r="B3366" s="11"/>
      <c r="C3366" s="5"/>
      <c r="G3366" s="11"/>
      <c r="H3366" s="5"/>
      <c r="I3366" s="11"/>
      <c r="J3366" s="20"/>
      <c r="K33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7" spans="1:11" x14ac:dyDescent="0.25">
      <c r="A3367" s="11"/>
      <c r="B3367" s="11" t="s">
        <v>454</v>
      </c>
      <c r="C3367" s="5" t="s">
        <v>35</v>
      </c>
      <c r="D3367">
        <v>400</v>
      </c>
      <c r="E3367">
        <v>5</v>
      </c>
      <c r="F3367">
        <v>30</v>
      </c>
      <c r="G3367" s="11">
        <v>1</v>
      </c>
      <c r="H3367" s="5">
        <v>0.06</v>
      </c>
      <c r="I3367" s="11">
        <v>618000</v>
      </c>
      <c r="J3367" s="20">
        <v>618000</v>
      </c>
      <c r="K33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68" spans="1:11" hidden="1" x14ac:dyDescent="0.25">
      <c r="A3368" s="11"/>
      <c r="B3368" s="11"/>
      <c r="C3368" s="5"/>
      <c r="G3368" s="11"/>
      <c r="H3368" s="5"/>
      <c r="I3368" s="11"/>
      <c r="J3368" s="20"/>
      <c r="K33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69" spans="1:11" x14ac:dyDescent="0.25">
      <c r="A3369" s="11"/>
      <c r="B3369" s="11" t="s">
        <v>440</v>
      </c>
      <c r="C3369" s="5" t="s">
        <v>17</v>
      </c>
      <c r="D3369">
        <v>500</v>
      </c>
      <c r="E3369">
        <v>4</v>
      </c>
      <c r="F3369">
        <v>25</v>
      </c>
      <c r="G3369" s="11">
        <v>1</v>
      </c>
      <c r="H3369" s="5">
        <v>0.05</v>
      </c>
      <c r="I3369" s="11">
        <v>495000</v>
      </c>
      <c r="J3369" s="20">
        <v>495000</v>
      </c>
      <c r="K33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0" spans="1:11" hidden="1" x14ac:dyDescent="0.25">
      <c r="A3370" s="11"/>
      <c r="B3370" s="11"/>
      <c r="C3370" s="5"/>
      <c r="G3370" s="11"/>
      <c r="H3370" s="5"/>
      <c r="I3370" s="11"/>
      <c r="J3370" s="20"/>
      <c r="K33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1" spans="1:11" x14ac:dyDescent="0.25">
      <c r="A3371" s="11"/>
      <c r="B3371" s="11" t="s">
        <v>550</v>
      </c>
      <c r="C3371" s="5" t="s">
        <v>186</v>
      </c>
      <c r="D3371">
        <v>500</v>
      </c>
      <c r="E3371">
        <v>5</v>
      </c>
      <c r="F3371">
        <v>25</v>
      </c>
      <c r="G3371" s="11">
        <v>2</v>
      </c>
      <c r="H3371" s="5">
        <v>0.125</v>
      </c>
      <c r="I3371" s="11">
        <v>631250</v>
      </c>
      <c r="J3371" s="20">
        <v>1262500</v>
      </c>
      <c r="K33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372" spans="1:11" hidden="1" x14ac:dyDescent="0.25">
      <c r="A3372" s="11"/>
      <c r="B3372" s="11"/>
      <c r="C3372" s="5"/>
      <c r="G3372" s="11"/>
      <c r="H3372" s="5"/>
      <c r="I3372" s="11"/>
      <c r="J3372" s="20"/>
      <c r="K33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3" spans="1:11" hidden="1" x14ac:dyDescent="0.25">
      <c r="A3373" s="11"/>
      <c r="B3373" s="11"/>
      <c r="C3373" s="5"/>
      <c r="G3373" s="11"/>
      <c r="H3373" s="5"/>
      <c r="I3373" s="11"/>
      <c r="J3373" s="20"/>
      <c r="K33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4" spans="1:11" x14ac:dyDescent="0.25">
      <c r="A3374" s="11" t="s">
        <v>346</v>
      </c>
      <c r="B3374" s="11" t="s">
        <v>575</v>
      </c>
      <c r="C3374" s="5" t="s">
        <v>272</v>
      </c>
      <c r="D3374">
        <v>400</v>
      </c>
      <c r="E3374">
        <v>6</v>
      </c>
      <c r="F3374">
        <v>12</v>
      </c>
      <c r="G3374" s="11">
        <v>4</v>
      </c>
      <c r="H3374" s="5">
        <v>0.1152</v>
      </c>
      <c r="I3374" s="11">
        <v>195840</v>
      </c>
      <c r="J3374" s="20">
        <v>783360</v>
      </c>
      <c r="K33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75" spans="1:11" hidden="1" x14ac:dyDescent="0.25">
      <c r="A3375" s="11"/>
      <c r="B3375" s="11"/>
      <c r="C3375" s="5"/>
      <c r="G3375" s="11"/>
      <c r="H3375" s="5"/>
      <c r="I3375" s="11"/>
      <c r="J3375" s="20"/>
      <c r="K33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6" spans="1:11" x14ac:dyDescent="0.25">
      <c r="A3376" s="11"/>
      <c r="B3376" s="11" t="s">
        <v>462</v>
      </c>
      <c r="C3376" s="5" t="s">
        <v>44</v>
      </c>
      <c r="D3376">
        <v>400</v>
      </c>
      <c r="E3376">
        <v>6</v>
      </c>
      <c r="F3376">
        <v>15</v>
      </c>
      <c r="G3376" s="11">
        <v>5</v>
      </c>
      <c r="H3376" s="5">
        <v>0.18</v>
      </c>
      <c r="I3376" s="11">
        <v>244800</v>
      </c>
      <c r="J3376" s="20">
        <v>1224000</v>
      </c>
      <c r="K33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77" spans="1:11" hidden="1" x14ac:dyDescent="0.25">
      <c r="A3377" s="11"/>
      <c r="B3377" s="11"/>
      <c r="C3377" s="5"/>
      <c r="G3377" s="11"/>
      <c r="H3377" s="5"/>
      <c r="I3377" s="11"/>
      <c r="J3377" s="20"/>
      <c r="K33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8" spans="1:11" hidden="1" x14ac:dyDescent="0.25">
      <c r="A3378" s="11"/>
      <c r="B3378" s="11"/>
      <c r="C3378" s="5"/>
      <c r="G3378" s="11"/>
      <c r="H3378" s="5"/>
      <c r="I3378" s="11"/>
      <c r="J3378" s="20"/>
      <c r="K33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79" spans="1:11" x14ac:dyDescent="0.25">
      <c r="A3379" s="11" t="s">
        <v>346</v>
      </c>
      <c r="B3379" s="11" t="s">
        <v>533</v>
      </c>
      <c r="C3379" s="5" t="s">
        <v>152</v>
      </c>
      <c r="D3379">
        <v>400</v>
      </c>
      <c r="E3379">
        <v>3</v>
      </c>
      <c r="F3379">
        <v>20</v>
      </c>
      <c r="G3379" s="11">
        <v>1</v>
      </c>
      <c r="H3379" s="5">
        <v>2.4E-2</v>
      </c>
      <c r="I3379" s="11">
        <v>523200</v>
      </c>
      <c r="J3379" s="20">
        <v>523200</v>
      </c>
      <c r="K33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0" spans="1:11" hidden="1" x14ac:dyDescent="0.25">
      <c r="A3380" s="11"/>
      <c r="B3380" s="11"/>
      <c r="C3380" s="5"/>
      <c r="G3380" s="11"/>
      <c r="H3380" s="5"/>
      <c r="I3380" s="11"/>
      <c r="J3380" s="20"/>
      <c r="K33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1" spans="1:11" x14ac:dyDescent="0.25">
      <c r="A3381" s="11"/>
      <c r="B3381" s="11" t="s">
        <v>480</v>
      </c>
      <c r="C3381" s="5" t="s">
        <v>66</v>
      </c>
      <c r="D3381">
        <v>500</v>
      </c>
      <c r="E3381">
        <v>3</v>
      </c>
      <c r="F3381">
        <v>25</v>
      </c>
      <c r="G3381" s="11">
        <v>1</v>
      </c>
      <c r="H3381" s="5">
        <v>3.7499999999999999E-2</v>
      </c>
      <c r="I3381" s="11">
        <v>840000</v>
      </c>
      <c r="J3381" s="20">
        <v>840000</v>
      </c>
      <c r="K33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2" spans="1:11" hidden="1" x14ac:dyDescent="0.25">
      <c r="A3382" s="11"/>
      <c r="B3382" s="11"/>
      <c r="C3382" s="5"/>
      <c r="G3382" s="11"/>
      <c r="H3382" s="5"/>
      <c r="I3382" s="11"/>
      <c r="J3382" s="20"/>
      <c r="K33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3" spans="1:11" hidden="1" x14ac:dyDescent="0.25">
      <c r="A3383" s="11"/>
      <c r="B3383" s="11"/>
      <c r="C3383" s="5"/>
      <c r="G3383" s="11"/>
      <c r="H3383" s="5"/>
      <c r="I3383" s="11"/>
      <c r="J3383" s="20"/>
      <c r="K33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4" spans="1:11" x14ac:dyDescent="0.25">
      <c r="A3384" s="11" t="s">
        <v>347</v>
      </c>
      <c r="B3384" s="11" t="s">
        <v>439</v>
      </c>
      <c r="C3384" s="5" t="s">
        <v>16</v>
      </c>
      <c r="D3384">
        <v>400</v>
      </c>
      <c r="E3384">
        <v>3</v>
      </c>
      <c r="F3384">
        <v>30</v>
      </c>
      <c r="G3384" s="11">
        <v>2</v>
      </c>
      <c r="H3384" s="5">
        <v>7.1999999999999995E-2</v>
      </c>
      <c r="I3384" s="11">
        <v>363600</v>
      </c>
      <c r="J3384" s="20">
        <v>727200</v>
      </c>
      <c r="K33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5" spans="1:11" hidden="1" x14ac:dyDescent="0.25">
      <c r="A3385" s="11"/>
      <c r="B3385" s="11"/>
      <c r="C3385" s="5"/>
      <c r="G3385" s="11"/>
      <c r="H3385" s="5"/>
      <c r="I3385" s="11"/>
      <c r="J3385" s="20"/>
      <c r="K33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6" spans="1:11" x14ac:dyDescent="0.25">
      <c r="A3386" s="11"/>
      <c r="B3386" s="11" t="s">
        <v>443</v>
      </c>
      <c r="C3386" s="5" t="s">
        <v>21</v>
      </c>
      <c r="D3386">
        <v>400</v>
      </c>
      <c r="E3386">
        <v>4</v>
      </c>
      <c r="F3386">
        <v>25</v>
      </c>
      <c r="G3386" s="11">
        <v>2</v>
      </c>
      <c r="H3386" s="5">
        <v>0.08</v>
      </c>
      <c r="I3386" s="11">
        <v>396000</v>
      </c>
      <c r="J3386" s="20">
        <v>792000</v>
      </c>
      <c r="K33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7" spans="1:11" hidden="1" x14ac:dyDescent="0.25">
      <c r="A3387" s="11"/>
      <c r="B3387" s="11"/>
      <c r="C3387" s="5"/>
      <c r="G3387" s="11"/>
      <c r="H3387" s="5"/>
      <c r="I3387" s="11"/>
      <c r="J3387" s="20"/>
      <c r="K33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8" spans="1:11" hidden="1" x14ac:dyDescent="0.25">
      <c r="A3388" s="11"/>
      <c r="B3388" s="11"/>
      <c r="C3388" s="5"/>
      <c r="G3388" s="11"/>
      <c r="H3388" s="5"/>
      <c r="I3388" s="11"/>
      <c r="J3388" s="20"/>
      <c r="K33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89" spans="1:11" x14ac:dyDescent="0.25">
      <c r="A3389" s="11" t="s">
        <v>347</v>
      </c>
      <c r="B3389" s="11" t="s">
        <v>507</v>
      </c>
      <c r="C3389" s="5" t="s">
        <v>104</v>
      </c>
      <c r="D3389">
        <v>400</v>
      </c>
      <c r="E3389">
        <v>4</v>
      </c>
      <c r="F3389">
        <v>25</v>
      </c>
      <c r="G3389" s="11">
        <v>5</v>
      </c>
      <c r="H3389" s="5">
        <v>0.2</v>
      </c>
      <c r="I3389" s="11">
        <v>876000</v>
      </c>
      <c r="J3389" s="20">
        <v>4380000</v>
      </c>
      <c r="K33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0" spans="1:11" hidden="1" x14ac:dyDescent="0.25">
      <c r="A3390" s="11"/>
      <c r="B3390" s="11"/>
      <c r="C3390" s="5"/>
      <c r="G3390" s="11"/>
      <c r="H3390" s="5"/>
      <c r="I3390" s="11"/>
      <c r="J3390" s="20"/>
      <c r="K33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1" spans="1:11" x14ac:dyDescent="0.25">
      <c r="A3391" s="11"/>
      <c r="B3391" s="11" t="s">
        <v>517</v>
      </c>
      <c r="C3391" s="5" t="s">
        <v>122</v>
      </c>
      <c r="D3391">
        <v>400</v>
      </c>
      <c r="E3391">
        <v>6</v>
      </c>
      <c r="F3391">
        <v>15</v>
      </c>
      <c r="G3391" s="11">
        <v>7</v>
      </c>
      <c r="H3391" s="5">
        <v>0.252</v>
      </c>
      <c r="I3391" s="11">
        <v>723600</v>
      </c>
      <c r="J3391" s="20">
        <v>5065200</v>
      </c>
      <c r="K33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92" spans="1:11" hidden="1" x14ac:dyDescent="0.25">
      <c r="A3392" s="11"/>
      <c r="B3392" s="11"/>
      <c r="C3392" s="5"/>
      <c r="G3392" s="11"/>
      <c r="H3392" s="5"/>
      <c r="I3392" s="11"/>
      <c r="J3392" s="20"/>
      <c r="K33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3" spans="1:11" hidden="1" x14ac:dyDescent="0.25">
      <c r="A3393" s="11"/>
      <c r="B3393" s="11"/>
      <c r="C3393" s="5"/>
      <c r="G3393" s="11"/>
      <c r="H3393" s="5"/>
      <c r="I3393" s="11"/>
      <c r="J3393" s="20"/>
      <c r="K33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4" spans="1:11" x14ac:dyDescent="0.25">
      <c r="A3394" s="11" t="s">
        <v>347</v>
      </c>
      <c r="B3394" s="11" t="s">
        <v>476</v>
      </c>
      <c r="C3394" s="5" t="s">
        <v>62</v>
      </c>
      <c r="D3394">
        <v>400</v>
      </c>
      <c r="E3394">
        <v>3</v>
      </c>
      <c r="F3394">
        <v>20</v>
      </c>
      <c r="G3394" s="11">
        <v>1</v>
      </c>
      <c r="H3394" s="5">
        <v>2.4E-2</v>
      </c>
      <c r="I3394" s="11">
        <v>223200</v>
      </c>
      <c r="J3394" s="20">
        <v>223200</v>
      </c>
      <c r="K33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5" spans="1:11" hidden="1" x14ac:dyDescent="0.25">
      <c r="A3395" s="11"/>
      <c r="B3395" s="11"/>
      <c r="C3395" s="5"/>
      <c r="G3395" s="11"/>
      <c r="H3395" s="5"/>
      <c r="I3395" s="11"/>
      <c r="J3395" s="20"/>
      <c r="K33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6" spans="1:11" hidden="1" x14ac:dyDescent="0.25">
      <c r="A3396" s="11"/>
      <c r="B3396" s="11"/>
      <c r="C3396" s="5"/>
      <c r="G3396" s="11"/>
      <c r="H3396" s="5"/>
      <c r="I3396" s="11"/>
      <c r="J3396" s="20"/>
      <c r="K33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7" spans="1:11" x14ac:dyDescent="0.25">
      <c r="A3397" s="11" t="s">
        <v>347</v>
      </c>
      <c r="B3397" s="11" t="s">
        <v>462</v>
      </c>
      <c r="C3397" s="5" t="s">
        <v>44</v>
      </c>
      <c r="D3397">
        <v>400</v>
      </c>
      <c r="E3397">
        <v>6</v>
      </c>
      <c r="F3397">
        <v>15</v>
      </c>
      <c r="G3397" s="11">
        <v>33</v>
      </c>
      <c r="H3397" s="5">
        <v>1.1879999999999999</v>
      </c>
      <c r="I3397" s="11">
        <v>253800</v>
      </c>
      <c r="J3397" s="20">
        <v>8375400</v>
      </c>
      <c r="K33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398" spans="1:11" hidden="1" x14ac:dyDescent="0.25">
      <c r="A3398" s="11"/>
      <c r="B3398" s="11"/>
      <c r="C3398" s="5"/>
      <c r="G3398" s="11"/>
      <c r="H3398" s="5"/>
      <c r="I3398" s="11"/>
      <c r="J3398" s="20"/>
      <c r="K33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399" spans="1:11" hidden="1" x14ac:dyDescent="0.25">
      <c r="A3399" s="11"/>
      <c r="B3399" s="11"/>
      <c r="C3399" s="5"/>
      <c r="G3399" s="11"/>
      <c r="H3399" s="5"/>
      <c r="I3399" s="11"/>
      <c r="J3399" s="20"/>
      <c r="K33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0" spans="1:11" x14ac:dyDescent="0.25">
      <c r="A3400" s="11" t="s">
        <v>348</v>
      </c>
      <c r="B3400" s="11" t="s">
        <v>579</v>
      </c>
      <c r="C3400" s="5" t="s">
        <v>289</v>
      </c>
      <c r="D3400">
        <v>500</v>
      </c>
      <c r="E3400">
        <v>4</v>
      </c>
      <c r="F3400">
        <v>35</v>
      </c>
      <c r="G3400" s="11">
        <v>1</v>
      </c>
      <c r="H3400" s="5">
        <v>7.0000000000000007E-2</v>
      </c>
      <c r="I3400" s="11">
        <v>1631000</v>
      </c>
      <c r="J3400" s="20">
        <v>1631000</v>
      </c>
      <c r="K34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1" spans="1:11" hidden="1" x14ac:dyDescent="0.25">
      <c r="A3401" s="11"/>
      <c r="B3401" s="11"/>
      <c r="C3401" s="5"/>
      <c r="G3401" s="11"/>
      <c r="H3401" s="5"/>
      <c r="I3401" s="11"/>
      <c r="J3401" s="20"/>
      <c r="K34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2" spans="1:11" x14ac:dyDescent="0.25">
      <c r="A3402" s="11"/>
      <c r="B3402" s="11" t="s">
        <v>591</v>
      </c>
      <c r="C3402" s="5" t="s">
        <v>349</v>
      </c>
      <c r="D3402">
        <v>500</v>
      </c>
      <c r="E3402">
        <v>4</v>
      </c>
      <c r="F3402">
        <v>40</v>
      </c>
      <c r="G3402" s="11">
        <v>1</v>
      </c>
      <c r="H3402" s="5">
        <v>0.08</v>
      </c>
      <c r="I3402" s="11">
        <v>1864000</v>
      </c>
      <c r="J3402" s="20">
        <v>1864000</v>
      </c>
      <c r="K34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3" spans="1:11" hidden="1" x14ac:dyDescent="0.25">
      <c r="A3403" s="11"/>
      <c r="B3403" s="11"/>
      <c r="C3403" s="5"/>
      <c r="G3403" s="11"/>
      <c r="H3403" s="5"/>
      <c r="I3403" s="11"/>
      <c r="J3403" s="20"/>
      <c r="K34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4" spans="1:11" x14ac:dyDescent="0.25">
      <c r="A3404" s="11"/>
      <c r="B3404" s="11" t="s">
        <v>485</v>
      </c>
      <c r="C3404" s="5" t="s">
        <v>74</v>
      </c>
      <c r="D3404">
        <v>150</v>
      </c>
      <c r="E3404">
        <v>6</v>
      </c>
      <c r="F3404">
        <v>15</v>
      </c>
      <c r="G3404" s="11">
        <v>2</v>
      </c>
      <c r="H3404" s="5">
        <v>2.7E-2</v>
      </c>
      <c r="I3404" s="11">
        <v>245700</v>
      </c>
      <c r="J3404" s="20">
        <v>491400</v>
      </c>
      <c r="K34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05" spans="1:11" hidden="1" x14ac:dyDescent="0.25">
      <c r="A3405" s="11"/>
      <c r="B3405" s="11"/>
      <c r="C3405" s="5"/>
      <c r="G3405" s="11"/>
      <c r="H3405" s="5"/>
      <c r="I3405" s="11"/>
      <c r="J3405" s="20"/>
      <c r="K34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6" spans="1:11" x14ac:dyDescent="0.25">
      <c r="A3406" s="11"/>
      <c r="B3406" s="11" t="s">
        <v>501</v>
      </c>
      <c r="C3406" s="5" t="s">
        <v>96</v>
      </c>
      <c r="D3406">
        <v>250</v>
      </c>
      <c r="E3406">
        <v>6</v>
      </c>
      <c r="F3406">
        <v>15</v>
      </c>
      <c r="G3406" s="11">
        <v>2</v>
      </c>
      <c r="H3406" s="5">
        <v>4.4999999999999998E-2</v>
      </c>
      <c r="I3406" s="11">
        <v>454500</v>
      </c>
      <c r="J3406" s="20">
        <v>909000</v>
      </c>
      <c r="K34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07" spans="1:11" hidden="1" x14ac:dyDescent="0.25">
      <c r="A3407" s="11"/>
      <c r="B3407" s="11"/>
      <c r="C3407" s="5"/>
      <c r="G3407" s="11"/>
      <c r="H3407" s="5"/>
      <c r="I3407" s="11"/>
      <c r="J3407" s="20"/>
      <c r="K34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8" spans="1:11" hidden="1" x14ac:dyDescent="0.25">
      <c r="A3408" s="11"/>
      <c r="B3408" s="11"/>
      <c r="C3408" s="5"/>
      <c r="G3408" s="11"/>
      <c r="H3408" s="5"/>
      <c r="I3408" s="11"/>
      <c r="J3408" s="20"/>
      <c r="K34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09" spans="1:11" x14ac:dyDescent="0.25">
      <c r="A3409" s="11" t="s">
        <v>348</v>
      </c>
      <c r="B3409" s="11" t="s">
        <v>454</v>
      </c>
      <c r="C3409" s="5" t="s">
        <v>35</v>
      </c>
      <c r="D3409">
        <v>400</v>
      </c>
      <c r="E3409">
        <v>5</v>
      </c>
      <c r="F3409">
        <v>30</v>
      </c>
      <c r="G3409" s="11">
        <v>2</v>
      </c>
      <c r="H3409" s="5">
        <v>0.12</v>
      </c>
      <c r="I3409" s="11">
        <v>618000</v>
      </c>
      <c r="J3409" s="20">
        <v>1236000</v>
      </c>
      <c r="K34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410" spans="1:11" hidden="1" x14ac:dyDescent="0.25">
      <c r="A3410" s="11"/>
      <c r="B3410" s="11"/>
      <c r="C3410" s="5"/>
      <c r="G3410" s="11"/>
      <c r="H3410" s="5"/>
      <c r="I3410" s="11"/>
      <c r="J3410" s="20"/>
      <c r="K34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1" spans="1:11" x14ac:dyDescent="0.25">
      <c r="A3411" s="11"/>
      <c r="B3411" s="11" t="s">
        <v>463</v>
      </c>
      <c r="C3411" s="5" t="s">
        <v>45</v>
      </c>
      <c r="D3411">
        <v>500</v>
      </c>
      <c r="E3411">
        <v>4</v>
      </c>
      <c r="F3411">
        <v>30</v>
      </c>
      <c r="G3411" s="11">
        <v>2</v>
      </c>
      <c r="H3411" s="5">
        <v>0.12</v>
      </c>
      <c r="I3411" s="11">
        <v>606000</v>
      </c>
      <c r="J3411" s="20">
        <v>1212000</v>
      </c>
      <c r="K34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2" spans="1:11" hidden="1" x14ac:dyDescent="0.25">
      <c r="A3412" s="11"/>
      <c r="B3412" s="11"/>
      <c r="C3412" s="5"/>
      <c r="G3412" s="11"/>
      <c r="H3412" s="5"/>
      <c r="I3412" s="11"/>
      <c r="J3412" s="20"/>
      <c r="K34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3" spans="1:11" x14ac:dyDescent="0.25">
      <c r="A3413" s="11"/>
      <c r="B3413" s="11" t="s">
        <v>498</v>
      </c>
      <c r="C3413" s="5" t="s">
        <v>92</v>
      </c>
      <c r="D3413">
        <v>500</v>
      </c>
      <c r="E3413">
        <v>6</v>
      </c>
      <c r="F3413">
        <v>15</v>
      </c>
      <c r="G3413" s="11">
        <v>8</v>
      </c>
      <c r="H3413" s="5">
        <v>0.36</v>
      </c>
      <c r="I3413" s="11">
        <v>441000</v>
      </c>
      <c r="J3413" s="20">
        <v>3528000</v>
      </c>
      <c r="K34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14" spans="1:11" hidden="1" x14ac:dyDescent="0.25">
      <c r="A3414" s="11"/>
      <c r="B3414" s="11"/>
      <c r="C3414" s="5"/>
      <c r="G3414" s="11"/>
      <c r="H3414" s="5"/>
      <c r="I3414" s="11"/>
      <c r="J3414" s="20"/>
      <c r="K34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5" spans="1:11" hidden="1" x14ac:dyDescent="0.25">
      <c r="A3415" s="11"/>
      <c r="B3415" s="11"/>
      <c r="C3415" s="5"/>
      <c r="G3415" s="11"/>
      <c r="H3415" s="5"/>
      <c r="I3415" s="11"/>
      <c r="J3415" s="20"/>
      <c r="K34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6" spans="1:11" x14ac:dyDescent="0.25">
      <c r="A3416" s="11" t="s">
        <v>348</v>
      </c>
      <c r="B3416" s="11" t="s">
        <v>527</v>
      </c>
      <c r="C3416" s="5" t="s">
        <v>143</v>
      </c>
      <c r="D3416">
        <v>400</v>
      </c>
      <c r="E3416">
        <v>4</v>
      </c>
      <c r="F3416">
        <v>20</v>
      </c>
      <c r="G3416" s="11">
        <v>2</v>
      </c>
      <c r="H3416" s="5">
        <v>6.4000000000000001E-2</v>
      </c>
      <c r="I3416" s="11">
        <v>697600</v>
      </c>
      <c r="J3416" s="20">
        <v>1395200</v>
      </c>
      <c r="K34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7" spans="1:11" hidden="1" x14ac:dyDescent="0.25">
      <c r="A3417" s="11"/>
      <c r="B3417" s="11"/>
      <c r="C3417" s="5"/>
      <c r="G3417" s="11"/>
      <c r="H3417" s="5"/>
      <c r="I3417" s="11"/>
      <c r="J3417" s="20"/>
      <c r="K34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8" spans="1:11" x14ac:dyDescent="0.25">
      <c r="A3418" s="11"/>
      <c r="B3418" s="11" t="s">
        <v>507</v>
      </c>
      <c r="C3418" s="5" t="s">
        <v>104</v>
      </c>
      <c r="D3418">
        <v>400</v>
      </c>
      <c r="E3418">
        <v>4</v>
      </c>
      <c r="F3418">
        <v>25</v>
      </c>
      <c r="G3418" s="11">
        <v>6</v>
      </c>
      <c r="H3418" s="5">
        <v>0.24</v>
      </c>
      <c r="I3418" s="11">
        <v>876000</v>
      </c>
      <c r="J3418" s="20">
        <v>5256000</v>
      </c>
      <c r="K34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19" spans="1:11" hidden="1" x14ac:dyDescent="0.25">
      <c r="A3419" s="11"/>
      <c r="B3419" s="11"/>
      <c r="C3419" s="5"/>
      <c r="G3419" s="11"/>
      <c r="H3419" s="5"/>
      <c r="I3419" s="11"/>
      <c r="J3419" s="20"/>
      <c r="K34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0" spans="1:11" x14ac:dyDescent="0.25">
      <c r="A3420" s="11"/>
      <c r="B3420" s="11" t="s">
        <v>534</v>
      </c>
      <c r="C3420" s="5" t="s">
        <v>153</v>
      </c>
      <c r="D3420">
        <v>500</v>
      </c>
      <c r="E3420">
        <v>4</v>
      </c>
      <c r="F3420">
        <v>25</v>
      </c>
      <c r="G3420" s="11">
        <v>2</v>
      </c>
      <c r="H3420" s="5">
        <v>0.1</v>
      </c>
      <c r="I3420" s="11">
        <v>1120000</v>
      </c>
      <c r="J3420" s="20">
        <v>2240000</v>
      </c>
      <c r="K34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1" spans="1:11" hidden="1" x14ac:dyDescent="0.25">
      <c r="A3421" s="11"/>
      <c r="B3421" s="11"/>
      <c r="C3421" s="5"/>
      <c r="G3421" s="11"/>
      <c r="H3421" s="5"/>
      <c r="I3421" s="11"/>
      <c r="J3421" s="20"/>
      <c r="K34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2" spans="1:11" hidden="1" x14ac:dyDescent="0.25">
      <c r="A3422" s="11"/>
      <c r="B3422" s="11"/>
      <c r="C3422" s="5"/>
      <c r="G3422" s="11"/>
      <c r="H3422" s="5"/>
      <c r="I3422" s="11"/>
      <c r="J3422" s="20"/>
      <c r="K34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3" spans="1:11" x14ac:dyDescent="0.25">
      <c r="A3423" s="11" t="s">
        <v>350</v>
      </c>
      <c r="B3423" s="11" t="s">
        <v>564</v>
      </c>
      <c r="C3423" s="5" t="s">
        <v>233</v>
      </c>
      <c r="D3423">
        <v>400</v>
      </c>
      <c r="E3423">
        <v>4</v>
      </c>
      <c r="F3423">
        <v>25</v>
      </c>
      <c r="G3423" s="11">
        <v>6</v>
      </c>
      <c r="H3423" s="5">
        <v>0.24</v>
      </c>
      <c r="I3423" s="11">
        <v>312000</v>
      </c>
      <c r="J3423" s="20">
        <v>1872000</v>
      </c>
      <c r="K34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4" spans="1:11" hidden="1" x14ac:dyDescent="0.25">
      <c r="A3424" s="11"/>
      <c r="B3424" s="11"/>
      <c r="C3424" s="5"/>
      <c r="G3424" s="11"/>
      <c r="H3424" s="5"/>
      <c r="I3424" s="11"/>
      <c r="J3424" s="20"/>
      <c r="K34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5" spans="1:11" x14ac:dyDescent="0.25">
      <c r="A3425" s="11"/>
      <c r="B3425" s="11" t="s">
        <v>440</v>
      </c>
      <c r="C3425" s="5" t="s">
        <v>17</v>
      </c>
      <c r="D3425">
        <v>500</v>
      </c>
      <c r="E3425">
        <v>4</v>
      </c>
      <c r="F3425">
        <v>25</v>
      </c>
      <c r="G3425" s="11">
        <v>1</v>
      </c>
      <c r="H3425" s="5">
        <v>0.05</v>
      </c>
      <c r="I3425" s="11">
        <v>495000</v>
      </c>
      <c r="J3425" s="20">
        <v>495000</v>
      </c>
      <c r="K34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6" spans="1:11" hidden="1" x14ac:dyDescent="0.25">
      <c r="A3426" s="11"/>
      <c r="B3426" s="11"/>
      <c r="C3426" s="5"/>
      <c r="G3426" s="11"/>
      <c r="H3426" s="5"/>
      <c r="I3426" s="11"/>
      <c r="J3426" s="20"/>
      <c r="K34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7" spans="1:11" hidden="1" x14ac:dyDescent="0.25">
      <c r="A3427" s="11"/>
      <c r="B3427" s="11"/>
      <c r="C3427" s="5"/>
      <c r="G3427" s="11"/>
      <c r="H3427" s="5"/>
      <c r="I3427" s="11"/>
      <c r="J3427" s="20"/>
      <c r="K34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8" spans="1:11" x14ac:dyDescent="0.25">
      <c r="A3428" s="11" t="s">
        <v>350</v>
      </c>
      <c r="B3428" s="11" t="s">
        <v>472</v>
      </c>
      <c r="C3428" s="5" t="s">
        <v>57</v>
      </c>
      <c r="D3428">
        <v>300</v>
      </c>
      <c r="E3428">
        <v>4</v>
      </c>
      <c r="F3428">
        <v>30</v>
      </c>
      <c r="G3428" s="11">
        <v>6</v>
      </c>
      <c r="H3428" s="5">
        <v>0.216</v>
      </c>
      <c r="I3428" s="11">
        <v>806400</v>
      </c>
      <c r="J3428" s="20">
        <v>4838400</v>
      </c>
      <c r="K34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29" spans="1:11" hidden="1" x14ac:dyDescent="0.25">
      <c r="A3429" s="11"/>
      <c r="B3429" s="11"/>
      <c r="C3429" s="5"/>
      <c r="G3429" s="11"/>
      <c r="H3429" s="5"/>
      <c r="I3429" s="11"/>
      <c r="J3429" s="20"/>
      <c r="K34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30" spans="1:11" x14ac:dyDescent="0.25">
      <c r="A3430" s="11"/>
      <c r="B3430" s="11" t="s">
        <v>464</v>
      </c>
      <c r="C3430" s="5" t="s">
        <v>46</v>
      </c>
      <c r="D3430">
        <v>400</v>
      </c>
      <c r="E3430">
        <v>5</v>
      </c>
      <c r="F3430">
        <v>25</v>
      </c>
      <c r="G3430" s="11">
        <v>1</v>
      </c>
      <c r="H3430" s="5">
        <v>0.05</v>
      </c>
      <c r="I3430" s="11">
        <v>1100000</v>
      </c>
      <c r="J3430" s="20">
        <v>1100000</v>
      </c>
      <c r="K34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431" spans="1:11" hidden="1" x14ac:dyDescent="0.25">
      <c r="A3431" s="11"/>
      <c r="B3431" s="11"/>
      <c r="C3431" s="5"/>
      <c r="G3431" s="11"/>
      <c r="H3431" s="5"/>
      <c r="I3431" s="11"/>
      <c r="J3431" s="20"/>
      <c r="K34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32" spans="1:11" x14ac:dyDescent="0.25">
      <c r="A3432" s="11"/>
      <c r="B3432" s="11" t="s">
        <v>445</v>
      </c>
      <c r="C3432" s="5" t="s">
        <v>24</v>
      </c>
      <c r="D3432">
        <v>500</v>
      </c>
      <c r="E3432">
        <v>5</v>
      </c>
      <c r="F3432">
        <v>15</v>
      </c>
      <c r="G3432" s="11">
        <v>4</v>
      </c>
      <c r="H3432" s="5">
        <v>0.15</v>
      </c>
      <c r="I3432" s="11">
        <v>791250</v>
      </c>
      <c r="J3432" s="20">
        <v>3165000</v>
      </c>
      <c r="K34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33" spans="1:11" hidden="1" x14ac:dyDescent="0.25">
      <c r="A3433" s="11"/>
      <c r="B3433" s="11"/>
      <c r="C3433" s="5"/>
      <c r="G3433" s="11"/>
      <c r="H3433" s="5"/>
      <c r="I3433" s="11"/>
      <c r="J3433" s="20"/>
      <c r="K34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34" spans="1:11" x14ac:dyDescent="0.25">
      <c r="A3434" s="11"/>
      <c r="B3434" s="11" t="s">
        <v>477</v>
      </c>
      <c r="C3434" s="5" t="s">
        <v>63</v>
      </c>
      <c r="D3434">
        <v>100</v>
      </c>
      <c r="E3434">
        <v>6</v>
      </c>
      <c r="F3434">
        <v>15</v>
      </c>
      <c r="G3434" s="11">
        <v>3</v>
      </c>
      <c r="H3434" s="5">
        <v>2.7E-2</v>
      </c>
      <c r="I3434" s="11">
        <v>163800</v>
      </c>
      <c r="J3434" s="20">
        <v>491400</v>
      </c>
      <c r="K34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35" spans="1:11" hidden="1" x14ac:dyDescent="0.25">
      <c r="A3435" s="11"/>
      <c r="B3435" s="11"/>
      <c r="C3435" s="5"/>
      <c r="G3435" s="11"/>
      <c r="H3435" s="5"/>
      <c r="I3435" s="11"/>
      <c r="J3435" s="20"/>
      <c r="K34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36" spans="1:11" x14ac:dyDescent="0.25">
      <c r="A3436" s="11"/>
      <c r="B3436" s="11" t="s">
        <v>547</v>
      </c>
      <c r="C3436" s="5" t="s">
        <v>182</v>
      </c>
      <c r="D3436">
        <v>120</v>
      </c>
      <c r="E3436">
        <v>6</v>
      </c>
      <c r="F3436">
        <v>15</v>
      </c>
      <c r="G3436" s="11">
        <v>1</v>
      </c>
      <c r="H3436" s="5">
        <v>1.0800000000000001E-2</v>
      </c>
      <c r="I3436" s="11">
        <v>196560</v>
      </c>
      <c r="J3436" s="20">
        <v>196560</v>
      </c>
      <c r="K34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37" spans="1:11" hidden="1" x14ac:dyDescent="0.25">
      <c r="A3437" s="11"/>
      <c r="B3437" s="11"/>
      <c r="C3437" s="5"/>
      <c r="G3437" s="11"/>
      <c r="H3437" s="5"/>
      <c r="I3437" s="11"/>
      <c r="J3437" s="20"/>
      <c r="K34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38" spans="1:11" x14ac:dyDescent="0.25">
      <c r="A3438" s="11"/>
      <c r="B3438" s="11" t="s">
        <v>459</v>
      </c>
      <c r="C3438" s="5" t="s">
        <v>40</v>
      </c>
      <c r="D3438">
        <v>270</v>
      </c>
      <c r="E3438">
        <v>6</v>
      </c>
      <c r="F3438">
        <v>15</v>
      </c>
      <c r="G3438" s="11">
        <v>8</v>
      </c>
      <c r="H3438" s="5">
        <v>0.19439999999999999</v>
      </c>
      <c r="I3438" s="11">
        <v>476280</v>
      </c>
      <c r="J3438" s="20">
        <v>3810240</v>
      </c>
      <c r="K34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39" spans="1:11" hidden="1" x14ac:dyDescent="0.25">
      <c r="A3439" s="11"/>
      <c r="B3439" s="11"/>
      <c r="C3439" s="5"/>
      <c r="G3439" s="11"/>
      <c r="H3439" s="5"/>
      <c r="I3439" s="11"/>
      <c r="J3439" s="20"/>
      <c r="K34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0" spans="1:11" hidden="1" x14ac:dyDescent="0.25">
      <c r="A3440" s="11"/>
      <c r="B3440" s="11"/>
      <c r="C3440" s="5"/>
      <c r="G3440" s="11"/>
      <c r="H3440" s="5"/>
      <c r="I3440" s="11"/>
      <c r="J3440" s="20"/>
      <c r="K34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1" spans="1:11" x14ac:dyDescent="0.25">
      <c r="A3441" s="11" t="s">
        <v>350</v>
      </c>
      <c r="B3441" s="11" t="s">
        <v>558</v>
      </c>
      <c r="C3441" s="5" t="s">
        <v>207</v>
      </c>
      <c r="D3441">
        <v>400</v>
      </c>
      <c r="E3441">
        <v>2</v>
      </c>
      <c r="F3441">
        <v>25</v>
      </c>
      <c r="G3441" s="11">
        <v>2</v>
      </c>
      <c r="H3441" s="5">
        <v>0.04</v>
      </c>
      <c r="I3441" s="11">
        <v>480000</v>
      </c>
      <c r="J3441" s="20">
        <v>960000</v>
      </c>
      <c r="K34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2" spans="1:11" hidden="1" x14ac:dyDescent="0.25">
      <c r="A3442" s="11"/>
      <c r="B3442" s="11"/>
      <c r="C3442" s="5"/>
      <c r="G3442" s="11"/>
      <c r="H3442" s="5"/>
      <c r="I3442" s="11"/>
      <c r="J3442" s="20"/>
      <c r="K34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3" spans="1:11" hidden="1" x14ac:dyDescent="0.25">
      <c r="A3443" s="11"/>
      <c r="B3443" s="11"/>
      <c r="C3443" s="5"/>
      <c r="G3443" s="11"/>
      <c r="H3443" s="5"/>
      <c r="I3443" s="11"/>
      <c r="J3443" s="20"/>
      <c r="K34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4" spans="1:11" x14ac:dyDescent="0.25">
      <c r="A3444" s="11" t="s">
        <v>351</v>
      </c>
      <c r="B3444" s="11" t="s">
        <v>462</v>
      </c>
      <c r="C3444" s="5" t="s">
        <v>44</v>
      </c>
      <c r="D3444">
        <v>400</v>
      </c>
      <c r="E3444">
        <v>6</v>
      </c>
      <c r="F3444">
        <v>15</v>
      </c>
      <c r="G3444" s="11">
        <v>6</v>
      </c>
      <c r="H3444" s="5">
        <v>0.216</v>
      </c>
      <c r="I3444" s="11">
        <v>244800</v>
      </c>
      <c r="J3444" s="20">
        <v>1468800</v>
      </c>
      <c r="K34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45" spans="1:11" hidden="1" x14ac:dyDescent="0.25">
      <c r="A3445" s="11"/>
      <c r="B3445" s="11"/>
      <c r="C3445" s="5"/>
      <c r="G3445" s="11"/>
      <c r="H3445" s="5"/>
      <c r="I3445" s="11"/>
      <c r="J3445" s="20"/>
      <c r="K34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6" spans="1:11" hidden="1" x14ac:dyDescent="0.25">
      <c r="A3446" s="11"/>
      <c r="B3446" s="11"/>
      <c r="C3446" s="5"/>
      <c r="G3446" s="11"/>
      <c r="H3446" s="5"/>
      <c r="I3446" s="11"/>
      <c r="J3446" s="20"/>
      <c r="K34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7" spans="1:11" x14ac:dyDescent="0.25">
      <c r="A3447" s="11" t="s">
        <v>351</v>
      </c>
      <c r="B3447" s="11" t="s">
        <v>504</v>
      </c>
      <c r="C3447" s="5" t="s">
        <v>100</v>
      </c>
      <c r="D3447">
        <v>250</v>
      </c>
      <c r="E3447">
        <v>6</v>
      </c>
      <c r="F3447">
        <v>15</v>
      </c>
      <c r="G3447" s="11">
        <v>6</v>
      </c>
      <c r="H3447" s="5">
        <v>0.13500000000000001</v>
      </c>
      <c r="I3447" s="11">
        <v>463500</v>
      </c>
      <c r="J3447" s="20">
        <v>2781000</v>
      </c>
      <c r="K34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48" spans="1:11" hidden="1" x14ac:dyDescent="0.25">
      <c r="A3448" s="11"/>
      <c r="B3448" s="11"/>
      <c r="C3448" s="5"/>
      <c r="G3448" s="11"/>
      <c r="H3448" s="5"/>
      <c r="I3448" s="11"/>
      <c r="J3448" s="20"/>
      <c r="K34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49" spans="1:11" x14ac:dyDescent="0.25">
      <c r="A3449" s="11"/>
      <c r="B3449" s="11" t="s">
        <v>477</v>
      </c>
      <c r="C3449" s="5" t="s">
        <v>63</v>
      </c>
      <c r="D3449">
        <v>100</v>
      </c>
      <c r="E3449">
        <v>6</v>
      </c>
      <c r="F3449">
        <v>15</v>
      </c>
      <c r="G3449" s="11">
        <v>5</v>
      </c>
      <c r="H3449" s="5">
        <v>4.4999999999999998E-2</v>
      </c>
      <c r="I3449" s="11">
        <v>163800</v>
      </c>
      <c r="J3449" s="20">
        <v>819000</v>
      </c>
      <c r="K34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50" spans="1:11" hidden="1" x14ac:dyDescent="0.25">
      <c r="A3450" s="11"/>
      <c r="B3450" s="11"/>
      <c r="C3450" s="5"/>
      <c r="G3450" s="11"/>
      <c r="H3450" s="5"/>
      <c r="I3450" s="11"/>
      <c r="J3450" s="20"/>
      <c r="K34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51" spans="1:11" x14ac:dyDescent="0.25">
      <c r="A3451" s="11"/>
      <c r="B3451" s="11" t="s">
        <v>449</v>
      </c>
      <c r="C3451" s="5" t="s">
        <v>28</v>
      </c>
      <c r="D3451">
        <v>260</v>
      </c>
      <c r="E3451">
        <v>6</v>
      </c>
      <c r="F3451">
        <v>15</v>
      </c>
      <c r="G3451" s="11">
        <v>10</v>
      </c>
      <c r="H3451" s="5">
        <v>0.23400000000000001</v>
      </c>
      <c r="I3451" s="11">
        <v>458640</v>
      </c>
      <c r="J3451" s="20">
        <v>4586400</v>
      </c>
      <c r="K34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52" spans="1:11" hidden="1" x14ac:dyDescent="0.25">
      <c r="A3452" s="11"/>
      <c r="B3452" s="11"/>
      <c r="C3452" s="5"/>
      <c r="G3452" s="11"/>
      <c r="H3452" s="5"/>
      <c r="I3452" s="11"/>
      <c r="J3452" s="20"/>
      <c r="K34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53" spans="1:11" x14ac:dyDescent="0.25">
      <c r="A3453" s="11"/>
      <c r="B3453" s="11" t="s">
        <v>532</v>
      </c>
      <c r="C3453" s="5" t="s">
        <v>150</v>
      </c>
      <c r="D3453">
        <v>280</v>
      </c>
      <c r="E3453">
        <v>6</v>
      </c>
      <c r="F3453">
        <v>15</v>
      </c>
      <c r="G3453" s="11">
        <v>6</v>
      </c>
      <c r="H3453" s="5">
        <v>0.1512</v>
      </c>
      <c r="I3453" s="11">
        <v>493920</v>
      </c>
      <c r="J3453" s="20">
        <v>2963520</v>
      </c>
      <c r="K34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54" spans="1:11" hidden="1" x14ac:dyDescent="0.25">
      <c r="A3454" s="11"/>
      <c r="B3454" s="11"/>
      <c r="C3454" s="5"/>
      <c r="G3454" s="11"/>
      <c r="H3454" s="5"/>
      <c r="I3454" s="11"/>
      <c r="J3454" s="20"/>
      <c r="K34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55" spans="1:11" x14ac:dyDescent="0.25">
      <c r="A3455" s="11"/>
      <c r="B3455" s="11" t="s">
        <v>451</v>
      </c>
      <c r="C3455" s="5" t="s">
        <v>30</v>
      </c>
      <c r="D3455">
        <v>90</v>
      </c>
      <c r="E3455">
        <v>6</v>
      </c>
      <c r="F3455">
        <v>15</v>
      </c>
      <c r="G3455" s="11">
        <v>3</v>
      </c>
      <c r="H3455" s="5">
        <v>2.4299999999999999E-2</v>
      </c>
      <c r="I3455" s="11">
        <v>147420</v>
      </c>
      <c r="J3455" s="20">
        <v>442260</v>
      </c>
      <c r="K34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56" spans="1:11" hidden="1" x14ac:dyDescent="0.25">
      <c r="A3456" s="11"/>
      <c r="B3456" s="11"/>
      <c r="C3456" s="5"/>
      <c r="G3456" s="11"/>
      <c r="H3456" s="5"/>
      <c r="I3456" s="11"/>
      <c r="J3456" s="20"/>
      <c r="K34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57" spans="1:11" hidden="1" x14ac:dyDescent="0.25">
      <c r="A3457" s="11"/>
      <c r="B3457" s="11"/>
      <c r="C3457" s="5"/>
      <c r="G3457" s="11"/>
      <c r="H3457" s="5"/>
      <c r="I3457" s="11"/>
      <c r="J3457" s="20"/>
      <c r="K34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58" spans="1:11" x14ac:dyDescent="0.25">
      <c r="A3458" s="11" t="s">
        <v>351</v>
      </c>
      <c r="B3458" s="11" t="s">
        <v>575</v>
      </c>
      <c r="C3458" s="5" t="s">
        <v>272</v>
      </c>
      <c r="D3458">
        <v>400</v>
      </c>
      <c r="E3458">
        <v>6</v>
      </c>
      <c r="F3458">
        <v>12</v>
      </c>
      <c r="G3458" s="11">
        <v>2</v>
      </c>
      <c r="H3458" s="5">
        <v>5.7599999999999998E-2</v>
      </c>
      <c r="I3458" s="11">
        <v>195840</v>
      </c>
      <c r="J3458" s="20">
        <v>391680</v>
      </c>
      <c r="K34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59" spans="1:11" hidden="1" x14ac:dyDescent="0.25">
      <c r="A3459" s="11"/>
      <c r="B3459" s="11"/>
      <c r="C3459" s="5"/>
      <c r="G3459" s="11"/>
      <c r="H3459" s="5"/>
      <c r="I3459" s="11"/>
      <c r="J3459" s="20"/>
      <c r="K34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0" spans="1:11" hidden="1" x14ac:dyDescent="0.25">
      <c r="A3460" s="11"/>
      <c r="B3460" s="11"/>
      <c r="C3460" s="5"/>
      <c r="G3460" s="11"/>
      <c r="H3460" s="5"/>
      <c r="I3460" s="11"/>
      <c r="J3460" s="20"/>
      <c r="K34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1" spans="1:11" x14ac:dyDescent="0.25">
      <c r="A3461" s="11" t="s">
        <v>351</v>
      </c>
      <c r="B3461" s="11" t="s">
        <v>486</v>
      </c>
      <c r="C3461" s="5" t="s">
        <v>76</v>
      </c>
      <c r="D3461">
        <v>400</v>
      </c>
      <c r="E3461">
        <v>3</v>
      </c>
      <c r="F3461">
        <v>25</v>
      </c>
      <c r="G3461" s="11">
        <v>2</v>
      </c>
      <c r="H3461" s="5">
        <v>0.06</v>
      </c>
      <c r="I3461" s="11">
        <v>657000</v>
      </c>
      <c r="J3461" s="20">
        <v>1314000</v>
      </c>
      <c r="K34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2" spans="1:11" hidden="1" x14ac:dyDescent="0.25">
      <c r="A3462" s="11"/>
      <c r="B3462" s="11"/>
      <c r="C3462" s="5"/>
      <c r="G3462" s="11"/>
      <c r="H3462" s="5"/>
      <c r="I3462" s="11"/>
      <c r="J3462" s="20"/>
      <c r="K34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3" spans="1:11" x14ac:dyDescent="0.25">
      <c r="A3463" s="11"/>
      <c r="B3463" s="11" t="s">
        <v>507</v>
      </c>
      <c r="C3463" s="5" t="s">
        <v>104</v>
      </c>
      <c r="D3463">
        <v>400</v>
      </c>
      <c r="E3463">
        <v>4</v>
      </c>
      <c r="F3463">
        <v>25</v>
      </c>
      <c r="G3463" s="11">
        <v>1</v>
      </c>
      <c r="H3463" s="5">
        <v>0.04</v>
      </c>
      <c r="I3463" s="11">
        <v>876000</v>
      </c>
      <c r="J3463" s="20">
        <v>876000</v>
      </c>
      <c r="K34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4" spans="1:11" hidden="1" x14ac:dyDescent="0.25">
      <c r="A3464" s="11"/>
      <c r="B3464" s="11"/>
      <c r="C3464" s="5"/>
      <c r="G3464" s="11"/>
      <c r="H3464" s="5"/>
      <c r="I3464" s="11"/>
      <c r="J3464" s="20"/>
      <c r="K34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5" spans="1:11" x14ac:dyDescent="0.25">
      <c r="A3465" s="11"/>
      <c r="B3465" s="11" t="s">
        <v>442</v>
      </c>
      <c r="C3465" s="5" t="s">
        <v>20</v>
      </c>
      <c r="D3465">
        <v>400</v>
      </c>
      <c r="E3465">
        <v>6</v>
      </c>
      <c r="F3465">
        <v>12</v>
      </c>
      <c r="G3465" s="11">
        <v>3</v>
      </c>
      <c r="H3465" s="5">
        <v>8.6400000000000005E-2</v>
      </c>
      <c r="I3465" s="11">
        <v>578880</v>
      </c>
      <c r="J3465" s="20">
        <v>1736640</v>
      </c>
      <c r="K34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66" spans="1:11" hidden="1" x14ac:dyDescent="0.25">
      <c r="A3466" s="11"/>
      <c r="B3466" s="11"/>
      <c r="C3466" s="5"/>
      <c r="G3466" s="11"/>
      <c r="H3466" s="5"/>
      <c r="I3466" s="11"/>
      <c r="J3466" s="20"/>
      <c r="K34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7" spans="1:11" x14ac:dyDescent="0.25">
      <c r="A3467" s="11"/>
      <c r="B3467" s="11" t="s">
        <v>540</v>
      </c>
      <c r="C3467" s="5" t="s">
        <v>166</v>
      </c>
      <c r="D3467">
        <v>250</v>
      </c>
      <c r="E3467">
        <v>4</v>
      </c>
      <c r="F3467">
        <v>20</v>
      </c>
      <c r="G3467" s="11">
        <v>1</v>
      </c>
      <c r="H3467" s="5">
        <v>0.02</v>
      </c>
      <c r="I3467" s="11">
        <v>436000</v>
      </c>
      <c r="J3467" s="20">
        <v>436000</v>
      </c>
      <c r="K34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8" spans="1:11" hidden="1" x14ac:dyDescent="0.25">
      <c r="A3468" s="11"/>
      <c r="B3468" s="11"/>
      <c r="C3468" s="5"/>
      <c r="G3468" s="11"/>
      <c r="H3468" s="5"/>
      <c r="I3468" s="11"/>
      <c r="J3468" s="20"/>
      <c r="K34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69" spans="1:11" x14ac:dyDescent="0.25">
      <c r="A3469" s="11"/>
      <c r="B3469" s="11" t="s">
        <v>488</v>
      </c>
      <c r="C3469" s="5" t="s">
        <v>78</v>
      </c>
      <c r="D3469">
        <v>300</v>
      </c>
      <c r="E3469">
        <v>4</v>
      </c>
      <c r="F3469">
        <v>20</v>
      </c>
      <c r="G3469" s="11">
        <v>1</v>
      </c>
      <c r="H3469" s="5">
        <v>2.4E-2</v>
      </c>
      <c r="I3469" s="11">
        <v>523200</v>
      </c>
      <c r="J3469" s="20">
        <v>523200</v>
      </c>
      <c r="K34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0" spans="1:11" hidden="1" x14ac:dyDescent="0.25">
      <c r="A3470" s="11"/>
      <c r="B3470" s="11"/>
      <c r="C3470" s="5"/>
      <c r="G3470" s="11"/>
      <c r="H3470" s="5"/>
      <c r="I3470" s="11"/>
      <c r="J3470" s="20"/>
      <c r="K34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1" spans="1:11" hidden="1" x14ac:dyDescent="0.25">
      <c r="A3471" s="11"/>
      <c r="B3471" s="11"/>
      <c r="C3471" s="5"/>
      <c r="G3471" s="11"/>
      <c r="H3471" s="5"/>
      <c r="I3471" s="11"/>
      <c r="J3471" s="20"/>
      <c r="K34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2" spans="1:11" x14ac:dyDescent="0.25">
      <c r="A3472" s="11" t="s">
        <v>351</v>
      </c>
      <c r="B3472" s="11" t="s">
        <v>519</v>
      </c>
      <c r="C3472" s="5" t="s">
        <v>125</v>
      </c>
      <c r="D3472">
        <v>400</v>
      </c>
      <c r="E3472">
        <v>5</v>
      </c>
      <c r="F3472">
        <v>25</v>
      </c>
      <c r="G3472" s="11">
        <v>22</v>
      </c>
      <c r="H3472" s="5">
        <v>1.1000000000000001</v>
      </c>
      <c r="I3472" s="11">
        <v>505000</v>
      </c>
      <c r="J3472" s="20">
        <v>11110000</v>
      </c>
      <c r="K34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473" spans="1:11" hidden="1" x14ac:dyDescent="0.25">
      <c r="A3473" s="11"/>
      <c r="B3473" s="11"/>
      <c r="C3473" s="5"/>
      <c r="G3473" s="11"/>
      <c r="H3473" s="5"/>
      <c r="I3473" s="11"/>
      <c r="J3473" s="20"/>
      <c r="K34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4" spans="1:11" x14ac:dyDescent="0.25">
      <c r="A3474" s="11"/>
      <c r="B3474" s="11" t="s">
        <v>452</v>
      </c>
      <c r="C3474" s="5" t="s">
        <v>32</v>
      </c>
      <c r="D3474">
        <v>500</v>
      </c>
      <c r="E3474">
        <v>6</v>
      </c>
      <c r="F3474">
        <v>17</v>
      </c>
      <c r="G3474" s="11">
        <v>1</v>
      </c>
      <c r="H3474" s="5">
        <v>5.0999999999999997E-2</v>
      </c>
      <c r="I3474" s="11">
        <v>520200</v>
      </c>
      <c r="J3474" s="20">
        <v>520200</v>
      </c>
      <c r="K34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75" spans="1:11" hidden="1" x14ac:dyDescent="0.25">
      <c r="A3475" s="11"/>
      <c r="B3475" s="11"/>
      <c r="C3475" s="5"/>
      <c r="G3475" s="11"/>
      <c r="H3475" s="5"/>
      <c r="I3475" s="11"/>
      <c r="J3475" s="20"/>
      <c r="K34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6" spans="1:11" hidden="1" x14ac:dyDescent="0.25">
      <c r="A3476" s="11"/>
      <c r="B3476" s="11"/>
      <c r="C3476" s="5"/>
      <c r="G3476" s="11"/>
      <c r="H3476" s="5"/>
      <c r="I3476" s="11"/>
      <c r="J3476" s="20"/>
      <c r="K34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7" spans="1:11" x14ac:dyDescent="0.25">
      <c r="A3477" s="11" t="s">
        <v>352</v>
      </c>
      <c r="B3477" s="11" t="s">
        <v>503</v>
      </c>
      <c r="C3477" s="5" t="s">
        <v>99</v>
      </c>
      <c r="D3477">
        <v>300</v>
      </c>
      <c r="E3477">
        <v>6</v>
      </c>
      <c r="F3477">
        <v>15</v>
      </c>
      <c r="G3477" s="11">
        <v>1</v>
      </c>
      <c r="H3477" s="5">
        <v>2.7E-2</v>
      </c>
      <c r="I3477" s="11">
        <v>251100</v>
      </c>
      <c r="J3477" s="20">
        <v>251100</v>
      </c>
      <c r="K34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78" spans="1:11" hidden="1" x14ac:dyDescent="0.25">
      <c r="A3478" s="11"/>
      <c r="B3478" s="11"/>
      <c r="C3478" s="5"/>
      <c r="G3478" s="11"/>
      <c r="H3478" s="5"/>
      <c r="I3478" s="11"/>
      <c r="J3478" s="20"/>
      <c r="K34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79" spans="1:11" x14ac:dyDescent="0.25">
      <c r="A3479" s="11"/>
      <c r="B3479" s="11" t="s">
        <v>439</v>
      </c>
      <c r="C3479" s="5" t="s">
        <v>16</v>
      </c>
      <c r="D3479">
        <v>400</v>
      </c>
      <c r="E3479">
        <v>3</v>
      </c>
      <c r="F3479">
        <v>30</v>
      </c>
      <c r="G3479" s="11">
        <v>2</v>
      </c>
      <c r="H3479" s="5">
        <v>7.1999999999999995E-2</v>
      </c>
      <c r="I3479" s="11">
        <v>363600</v>
      </c>
      <c r="J3479" s="20">
        <v>727200</v>
      </c>
      <c r="K34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0" spans="1:11" hidden="1" x14ac:dyDescent="0.25">
      <c r="A3480" s="11"/>
      <c r="B3480" s="11"/>
      <c r="C3480" s="5"/>
      <c r="G3480" s="11"/>
      <c r="H3480" s="5"/>
      <c r="I3480" s="11"/>
      <c r="J3480" s="20"/>
      <c r="K34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1" spans="1:11" x14ac:dyDescent="0.25">
      <c r="A3481" s="11"/>
      <c r="B3481" s="11" t="s">
        <v>443</v>
      </c>
      <c r="C3481" s="5" t="s">
        <v>21</v>
      </c>
      <c r="D3481">
        <v>400</v>
      </c>
      <c r="E3481">
        <v>4</v>
      </c>
      <c r="F3481">
        <v>25</v>
      </c>
      <c r="G3481" s="11">
        <v>2</v>
      </c>
      <c r="H3481" s="5">
        <v>0.08</v>
      </c>
      <c r="I3481" s="11">
        <v>396000</v>
      </c>
      <c r="J3481" s="20">
        <v>792000</v>
      </c>
      <c r="K34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2" spans="1:11" hidden="1" x14ac:dyDescent="0.25">
      <c r="A3482" s="11"/>
      <c r="B3482" s="11"/>
      <c r="C3482" s="5"/>
      <c r="G3482" s="11"/>
      <c r="H3482" s="5"/>
      <c r="I3482" s="11"/>
      <c r="J3482" s="20"/>
      <c r="K34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3" spans="1:11" x14ac:dyDescent="0.25">
      <c r="A3483" s="11"/>
      <c r="B3483" s="11" t="s">
        <v>481</v>
      </c>
      <c r="C3483" s="5" t="s">
        <v>68</v>
      </c>
      <c r="D3483">
        <v>400</v>
      </c>
      <c r="E3483">
        <v>6</v>
      </c>
      <c r="F3483">
        <v>15</v>
      </c>
      <c r="G3483" s="11">
        <v>1</v>
      </c>
      <c r="H3483" s="5">
        <v>3.5999999999999997E-2</v>
      </c>
      <c r="I3483" s="11">
        <v>334800</v>
      </c>
      <c r="J3483" s="20">
        <v>334800</v>
      </c>
      <c r="K34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84" spans="1:11" hidden="1" x14ac:dyDescent="0.25">
      <c r="A3484" s="11"/>
      <c r="B3484" s="11"/>
      <c r="C3484" s="5"/>
      <c r="G3484" s="11"/>
      <c r="H3484" s="5"/>
      <c r="I3484" s="11"/>
      <c r="J3484" s="20"/>
      <c r="K34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5" spans="1:11" hidden="1" x14ac:dyDescent="0.25">
      <c r="A3485" s="11"/>
      <c r="B3485" s="11"/>
      <c r="C3485" s="5"/>
      <c r="G3485" s="11"/>
      <c r="H3485" s="5"/>
      <c r="I3485" s="11"/>
      <c r="J3485" s="20"/>
      <c r="K34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6" spans="1:11" x14ac:dyDescent="0.25">
      <c r="A3486" s="11" t="s">
        <v>353</v>
      </c>
      <c r="B3486" s="11" t="s">
        <v>575</v>
      </c>
      <c r="C3486" s="5" t="s">
        <v>272</v>
      </c>
      <c r="D3486">
        <v>400</v>
      </c>
      <c r="E3486">
        <v>6</v>
      </c>
      <c r="F3486">
        <v>12</v>
      </c>
      <c r="G3486" s="11">
        <v>8</v>
      </c>
      <c r="H3486" s="5">
        <v>0.23039999999999999</v>
      </c>
      <c r="I3486" s="11">
        <v>203040</v>
      </c>
      <c r="J3486" s="20">
        <v>1624320</v>
      </c>
      <c r="K34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87" spans="1:11" hidden="1" x14ac:dyDescent="0.25">
      <c r="A3487" s="11"/>
      <c r="B3487" s="11"/>
      <c r="C3487" s="5"/>
      <c r="G3487" s="11"/>
      <c r="H3487" s="5"/>
      <c r="I3487" s="11"/>
      <c r="J3487" s="20"/>
      <c r="K34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88" spans="1:11" x14ac:dyDescent="0.25">
      <c r="A3488" s="11"/>
      <c r="B3488" s="11" t="s">
        <v>462</v>
      </c>
      <c r="C3488" s="5" t="s">
        <v>44</v>
      </c>
      <c r="D3488">
        <v>400</v>
      </c>
      <c r="E3488">
        <v>6</v>
      </c>
      <c r="F3488">
        <v>15</v>
      </c>
      <c r="G3488" s="11">
        <v>6</v>
      </c>
      <c r="H3488" s="5">
        <v>0.216</v>
      </c>
      <c r="I3488" s="11">
        <v>253800</v>
      </c>
      <c r="J3488" s="20">
        <v>1522800</v>
      </c>
      <c r="K34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89" spans="1:11" hidden="1" x14ac:dyDescent="0.25">
      <c r="A3489" s="11"/>
      <c r="B3489" s="11"/>
      <c r="C3489" s="5"/>
      <c r="G3489" s="11"/>
      <c r="H3489" s="5"/>
      <c r="I3489" s="11"/>
      <c r="J3489" s="20"/>
      <c r="K34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0" spans="1:11" hidden="1" x14ac:dyDescent="0.25">
      <c r="A3490" s="11"/>
      <c r="B3490" s="11"/>
      <c r="C3490" s="5"/>
      <c r="G3490" s="11"/>
      <c r="H3490" s="5"/>
      <c r="I3490" s="11"/>
      <c r="J3490" s="20"/>
      <c r="K34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1" spans="1:11" x14ac:dyDescent="0.25">
      <c r="A3491" s="11" t="s">
        <v>353</v>
      </c>
      <c r="B3491" s="11" t="s">
        <v>476</v>
      </c>
      <c r="C3491" s="5" t="s">
        <v>62</v>
      </c>
      <c r="D3491">
        <v>400</v>
      </c>
      <c r="E3491">
        <v>3</v>
      </c>
      <c r="F3491">
        <v>20</v>
      </c>
      <c r="G3491" s="11">
        <v>3</v>
      </c>
      <c r="H3491" s="5">
        <v>7.1999999999999995E-2</v>
      </c>
      <c r="I3491" s="11">
        <v>223200</v>
      </c>
      <c r="J3491" s="20">
        <v>669600</v>
      </c>
      <c r="K34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2" spans="1:11" hidden="1" x14ac:dyDescent="0.25">
      <c r="A3492" s="11"/>
      <c r="B3492" s="11"/>
      <c r="C3492" s="5"/>
      <c r="G3492" s="11"/>
      <c r="H3492" s="5"/>
      <c r="I3492" s="11"/>
      <c r="J3492" s="20"/>
      <c r="K34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3" spans="1:11" x14ac:dyDescent="0.25">
      <c r="A3493" s="11"/>
      <c r="B3493" s="11" t="s">
        <v>523</v>
      </c>
      <c r="C3493" s="5" t="s">
        <v>133</v>
      </c>
      <c r="D3493">
        <v>500</v>
      </c>
      <c r="E3493">
        <v>4</v>
      </c>
      <c r="F3493">
        <v>20</v>
      </c>
      <c r="G3493" s="11">
        <v>1</v>
      </c>
      <c r="H3493" s="5">
        <v>0.04</v>
      </c>
      <c r="I3493" s="11">
        <v>392000</v>
      </c>
      <c r="J3493" s="20">
        <v>392000</v>
      </c>
      <c r="K34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4" spans="1:11" hidden="1" x14ac:dyDescent="0.25">
      <c r="A3494" s="11"/>
      <c r="B3494" s="11"/>
      <c r="C3494" s="5"/>
      <c r="G3494" s="11"/>
      <c r="H3494" s="5"/>
      <c r="I3494" s="11"/>
      <c r="J3494" s="20"/>
      <c r="K34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5" spans="1:11" x14ac:dyDescent="0.25">
      <c r="A3495" s="11"/>
      <c r="B3495" s="11" t="s">
        <v>463</v>
      </c>
      <c r="C3495" s="5" t="s">
        <v>45</v>
      </c>
      <c r="D3495">
        <v>500</v>
      </c>
      <c r="E3495">
        <v>4</v>
      </c>
      <c r="F3495">
        <v>30</v>
      </c>
      <c r="G3495" s="11">
        <v>6</v>
      </c>
      <c r="H3495" s="5">
        <v>0.36</v>
      </c>
      <c r="I3495" s="11">
        <v>606000</v>
      </c>
      <c r="J3495" s="20">
        <v>3636000</v>
      </c>
      <c r="K34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6" spans="1:11" hidden="1" x14ac:dyDescent="0.25">
      <c r="A3496" s="11"/>
      <c r="B3496" s="11"/>
      <c r="C3496" s="5"/>
      <c r="G3496" s="11"/>
      <c r="H3496" s="5"/>
      <c r="I3496" s="11"/>
      <c r="J3496" s="20"/>
      <c r="K34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7" spans="1:11" hidden="1" x14ac:dyDescent="0.25">
      <c r="A3497" s="11"/>
      <c r="B3497" s="11"/>
      <c r="C3497" s="5"/>
      <c r="G3497" s="11"/>
      <c r="H3497" s="5"/>
      <c r="I3497" s="11"/>
      <c r="J3497" s="20"/>
      <c r="K34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498" spans="1:11" x14ac:dyDescent="0.25">
      <c r="A3498" s="11" t="s">
        <v>353</v>
      </c>
      <c r="B3498" s="11" t="s">
        <v>442</v>
      </c>
      <c r="C3498" s="5" t="s">
        <v>20</v>
      </c>
      <c r="D3498">
        <v>400</v>
      </c>
      <c r="E3498">
        <v>6</v>
      </c>
      <c r="F3498">
        <v>12</v>
      </c>
      <c r="G3498" s="11">
        <v>7</v>
      </c>
      <c r="H3498" s="5">
        <v>0.2016</v>
      </c>
      <c r="I3498" s="11">
        <v>578880</v>
      </c>
      <c r="J3498" s="20">
        <v>4052160</v>
      </c>
      <c r="K34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499" spans="1:11" hidden="1" x14ac:dyDescent="0.25">
      <c r="A3499" s="11"/>
      <c r="B3499" s="11"/>
      <c r="C3499" s="5"/>
      <c r="G3499" s="11"/>
      <c r="H3499" s="5"/>
      <c r="I3499" s="11"/>
      <c r="J3499" s="20"/>
      <c r="K34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0" spans="1:11" hidden="1" x14ac:dyDescent="0.25">
      <c r="A3500" s="11"/>
      <c r="B3500" s="11"/>
      <c r="C3500" s="5"/>
      <c r="G3500" s="11"/>
      <c r="H3500" s="5"/>
      <c r="I3500" s="11"/>
      <c r="J3500" s="20"/>
      <c r="K35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1" spans="1:11" x14ac:dyDescent="0.25">
      <c r="A3501" s="11" t="s">
        <v>354</v>
      </c>
      <c r="B3501" s="11" t="s">
        <v>439</v>
      </c>
      <c r="C3501" s="5" t="s">
        <v>16</v>
      </c>
      <c r="D3501">
        <v>400</v>
      </c>
      <c r="E3501">
        <v>3</v>
      </c>
      <c r="F3501">
        <v>30</v>
      </c>
      <c r="G3501" s="11">
        <v>2</v>
      </c>
      <c r="H3501" s="5">
        <v>7.1999999999999995E-2</v>
      </c>
      <c r="I3501" s="11">
        <v>363600</v>
      </c>
      <c r="J3501" s="20">
        <v>727200</v>
      </c>
      <c r="K35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2" spans="1:11" hidden="1" x14ac:dyDescent="0.25">
      <c r="A3502" s="11"/>
      <c r="B3502" s="11"/>
      <c r="C3502" s="5"/>
      <c r="G3502" s="11"/>
      <c r="H3502" s="5"/>
      <c r="I3502" s="11"/>
      <c r="J3502" s="20"/>
      <c r="K35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3" spans="1:11" x14ac:dyDescent="0.25">
      <c r="A3503" s="11"/>
      <c r="B3503" s="11" t="s">
        <v>443</v>
      </c>
      <c r="C3503" s="5" t="s">
        <v>21</v>
      </c>
      <c r="D3503">
        <v>400</v>
      </c>
      <c r="E3503">
        <v>4</v>
      </c>
      <c r="F3503">
        <v>25</v>
      </c>
      <c r="G3503" s="11">
        <v>1</v>
      </c>
      <c r="H3503" s="5">
        <v>0.04</v>
      </c>
      <c r="I3503" s="11">
        <v>396000</v>
      </c>
      <c r="J3503" s="20">
        <v>396000</v>
      </c>
      <c r="K35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4" spans="1:11" hidden="1" x14ac:dyDescent="0.25">
      <c r="A3504" s="11"/>
      <c r="B3504" s="11"/>
      <c r="C3504" s="5"/>
      <c r="G3504" s="11"/>
      <c r="H3504" s="5"/>
      <c r="I3504" s="11"/>
      <c r="J3504" s="20"/>
      <c r="K35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5" spans="1:11" hidden="1" x14ac:dyDescent="0.25">
      <c r="A3505" s="11"/>
      <c r="B3505" s="11"/>
      <c r="C3505" s="5"/>
      <c r="G3505" s="11"/>
      <c r="H3505" s="5"/>
      <c r="I3505" s="11"/>
      <c r="J3505" s="20"/>
      <c r="K35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6" spans="1:11" x14ac:dyDescent="0.25">
      <c r="A3506" s="11" t="s">
        <v>355</v>
      </c>
      <c r="B3506" s="11" t="s">
        <v>503</v>
      </c>
      <c r="C3506" s="5" t="s">
        <v>99</v>
      </c>
      <c r="D3506">
        <v>300</v>
      </c>
      <c r="E3506">
        <v>6</v>
      </c>
      <c r="F3506">
        <v>15</v>
      </c>
      <c r="G3506" s="11">
        <v>4</v>
      </c>
      <c r="H3506" s="5">
        <v>0.108</v>
      </c>
      <c r="I3506" s="11">
        <v>257850</v>
      </c>
      <c r="J3506" s="20">
        <v>1031400</v>
      </c>
      <c r="K35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07" spans="1:11" hidden="1" x14ac:dyDescent="0.25">
      <c r="A3507" s="11"/>
      <c r="B3507" s="11"/>
      <c r="C3507" s="5"/>
      <c r="G3507" s="11"/>
      <c r="H3507" s="5"/>
      <c r="I3507" s="11"/>
      <c r="J3507" s="20"/>
      <c r="K35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8" spans="1:11" x14ac:dyDescent="0.25">
      <c r="A3508" s="11"/>
      <c r="B3508" s="11" t="s">
        <v>443</v>
      </c>
      <c r="C3508" s="5" t="s">
        <v>21</v>
      </c>
      <c r="D3508">
        <v>400</v>
      </c>
      <c r="E3508">
        <v>4</v>
      </c>
      <c r="F3508">
        <v>25</v>
      </c>
      <c r="G3508" s="11">
        <v>3</v>
      </c>
      <c r="H3508" s="5">
        <v>0.12</v>
      </c>
      <c r="I3508" s="11">
        <v>406000</v>
      </c>
      <c r="J3508" s="20">
        <v>1218000</v>
      </c>
      <c r="K35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09" spans="1:11" hidden="1" x14ac:dyDescent="0.25">
      <c r="A3509" s="11"/>
      <c r="B3509" s="11"/>
      <c r="C3509" s="5"/>
      <c r="G3509" s="11"/>
      <c r="H3509" s="5"/>
      <c r="I3509" s="11"/>
      <c r="J3509" s="20"/>
      <c r="K35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0" spans="1:11" x14ac:dyDescent="0.25">
      <c r="A3510" s="11"/>
      <c r="B3510" s="11" t="s">
        <v>434</v>
      </c>
      <c r="C3510" s="5" t="s">
        <v>10</v>
      </c>
      <c r="D3510">
        <v>400</v>
      </c>
      <c r="E3510">
        <v>4</v>
      </c>
      <c r="F3510">
        <v>30</v>
      </c>
      <c r="G3510" s="11">
        <v>2</v>
      </c>
      <c r="H3510" s="5">
        <v>9.6000000000000002E-2</v>
      </c>
      <c r="I3510" s="11">
        <v>496800</v>
      </c>
      <c r="J3510" s="20">
        <v>993600</v>
      </c>
      <c r="K35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1" spans="1:11" hidden="1" x14ac:dyDescent="0.25">
      <c r="A3511" s="11"/>
      <c r="B3511" s="11"/>
      <c r="C3511" s="5"/>
      <c r="G3511" s="11"/>
      <c r="H3511" s="5"/>
      <c r="I3511" s="11"/>
      <c r="J3511" s="20"/>
      <c r="K35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2" spans="1:11" x14ac:dyDescent="0.25">
      <c r="A3512" s="11"/>
      <c r="B3512" s="11" t="s">
        <v>502</v>
      </c>
      <c r="C3512" s="5" t="s">
        <v>98</v>
      </c>
      <c r="D3512">
        <v>400</v>
      </c>
      <c r="E3512">
        <v>5</v>
      </c>
      <c r="F3512">
        <v>15</v>
      </c>
      <c r="G3512" s="11">
        <v>7</v>
      </c>
      <c r="H3512" s="5">
        <v>0.21</v>
      </c>
      <c r="I3512" s="11">
        <v>298500</v>
      </c>
      <c r="J3512" s="20">
        <v>2089500</v>
      </c>
      <c r="K35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13" spans="1:11" hidden="1" x14ac:dyDescent="0.25">
      <c r="A3513" s="11"/>
      <c r="B3513" s="11"/>
      <c r="C3513" s="5"/>
      <c r="G3513" s="11"/>
      <c r="H3513" s="5"/>
      <c r="I3513" s="11"/>
      <c r="J3513" s="20"/>
      <c r="K35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4" spans="1:11" hidden="1" x14ac:dyDescent="0.25">
      <c r="A3514" s="11"/>
      <c r="B3514" s="11"/>
      <c r="C3514" s="5"/>
      <c r="G3514" s="11"/>
      <c r="H3514" s="5"/>
      <c r="I3514" s="11"/>
      <c r="J3514" s="20"/>
      <c r="K35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5" spans="1:11" x14ac:dyDescent="0.25">
      <c r="A3515" s="11" t="s">
        <v>355</v>
      </c>
      <c r="B3515" s="11" t="s">
        <v>481</v>
      </c>
      <c r="C3515" s="5" t="s">
        <v>68</v>
      </c>
      <c r="D3515">
        <v>400</v>
      </c>
      <c r="E3515">
        <v>6</v>
      </c>
      <c r="F3515">
        <v>15</v>
      </c>
      <c r="G3515" s="11">
        <v>11</v>
      </c>
      <c r="H3515" s="5">
        <v>0.39600000000000002</v>
      </c>
      <c r="I3515" s="11">
        <v>334800</v>
      </c>
      <c r="J3515" s="20">
        <v>3682800</v>
      </c>
      <c r="K35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16" spans="1:11" hidden="1" x14ac:dyDescent="0.25">
      <c r="A3516" s="11"/>
      <c r="B3516" s="11"/>
      <c r="C3516" s="5"/>
      <c r="G3516" s="11"/>
      <c r="H3516" s="5"/>
      <c r="I3516" s="11"/>
      <c r="J3516" s="20"/>
      <c r="K35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7" spans="1:11" hidden="1" x14ac:dyDescent="0.25">
      <c r="A3517" s="11"/>
      <c r="B3517" s="11"/>
      <c r="C3517" s="5"/>
      <c r="G3517" s="11"/>
      <c r="H3517" s="5"/>
      <c r="I3517" s="11"/>
      <c r="J3517" s="20"/>
      <c r="K35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8" spans="1:11" x14ac:dyDescent="0.25">
      <c r="A3518" s="11" t="s">
        <v>356</v>
      </c>
      <c r="B3518" s="11" t="s">
        <v>457</v>
      </c>
      <c r="C3518" s="5" t="s">
        <v>38</v>
      </c>
      <c r="D3518">
        <v>300</v>
      </c>
      <c r="E3518">
        <v>4</v>
      </c>
      <c r="F3518">
        <v>25</v>
      </c>
      <c r="G3518" s="11">
        <v>1</v>
      </c>
      <c r="H3518" s="5">
        <v>0.03</v>
      </c>
      <c r="I3518" s="11">
        <v>657000</v>
      </c>
      <c r="J3518" s="20">
        <v>657000</v>
      </c>
      <c r="K35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19" spans="1:11" hidden="1" x14ac:dyDescent="0.25">
      <c r="A3519" s="11"/>
      <c r="B3519" s="11"/>
      <c r="C3519" s="5"/>
      <c r="G3519" s="11"/>
      <c r="H3519" s="5"/>
      <c r="I3519" s="11"/>
      <c r="J3519" s="20"/>
      <c r="K35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20" spans="1:11" x14ac:dyDescent="0.25">
      <c r="A3520" s="11"/>
      <c r="B3520" s="11" t="s">
        <v>477</v>
      </c>
      <c r="C3520" s="5" t="s">
        <v>63</v>
      </c>
      <c r="D3520">
        <v>100</v>
      </c>
      <c r="E3520">
        <v>6</v>
      </c>
      <c r="F3520">
        <v>15</v>
      </c>
      <c r="G3520" s="11">
        <v>1</v>
      </c>
      <c r="H3520" s="5">
        <v>8.9999999999999993E-3</v>
      </c>
      <c r="I3520" s="11">
        <v>163800</v>
      </c>
      <c r="J3520" s="20">
        <v>163800</v>
      </c>
      <c r="K35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21" spans="1:11" hidden="1" x14ac:dyDescent="0.25">
      <c r="A3521" s="11"/>
      <c r="B3521" s="11"/>
      <c r="C3521" s="5"/>
      <c r="G3521" s="11"/>
      <c r="H3521" s="5"/>
      <c r="I3521" s="11"/>
      <c r="J3521" s="20"/>
      <c r="K35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22" spans="1:11" x14ac:dyDescent="0.25">
      <c r="A3522" s="11"/>
      <c r="B3522" s="11" t="s">
        <v>459</v>
      </c>
      <c r="C3522" s="5" t="s">
        <v>40</v>
      </c>
      <c r="D3522">
        <v>270</v>
      </c>
      <c r="E3522">
        <v>6</v>
      </c>
      <c r="F3522">
        <v>15</v>
      </c>
      <c r="G3522" s="11">
        <v>5</v>
      </c>
      <c r="H3522" s="5">
        <v>0.1215</v>
      </c>
      <c r="I3522" s="11">
        <v>476280</v>
      </c>
      <c r="J3522" s="20">
        <v>2381400</v>
      </c>
      <c r="K35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23" spans="1:11" hidden="1" x14ac:dyDescent="0.25">
      <c r="A3523" s="11"/>
      <c r="B3523" s="11"/>
      <c r="C3523" s="5"/>
      <c r="G3523" s="11"/>
      <c r="H3523" s="5"/>
      <c r="I3523" s="11"/>
      <c r="J3523" s="20"/>
      <c r="K35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24" spans="1:11" x14ac:dyDescent="0.25">
      <c r="A3524" s="11"/>
      <c r="B3524" s="11" t="s">
        <v>532</v>
      </c>
      <c r="C3524" s="5" t="s">
        <v>150</v>
      </c>
      <c r="D3524">
        <v>280</v>
      </c>
      <c r="E3524">
        <v>6</v>
      </c>
      <c r="F3524">
        <v>15</v>
      </c>
      <c r="G3524" s="11">
        <v>1</v>
      </c>
      <c r="H3524" s="5">
        <v>2.52E-2</v>
      </c>
      <c r="I3524" s="11">
        <v>493920</v>
      </c>
      <c r="J3524" s="20">
        <v>493920</v>
      </c>
      <c r="K35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25" spans="1:11" hidden="1" x14ac:dyDescent="0.25">
      <c r="A3525" s="11"/>
      <c r="B3525" s="11"/>
      <c r="C3525" s="5"/>
      <c r="G3525" s="11"/>
      <c r="H3525" s="5"/>
      <c r="I3525" s="11"/>
      <c r="J3525" s="20"/>
      <c r="K35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26" spans="1:11" x14ac:dyDescent="0.25">
      <c r="A3526" s="11"/>
      <c r="B3526" s="11" t="s">
        <v>548</v>
      </c>
      <c r="C3526" s="5" t="s">
        <v>183</v>
      </c>
      <c r="D3526">
        <v>290</v>
      </c>
      <c r="E3526">
        <v>6</v>
      </c>
      <c r="F3526">
        <v>15</v>
      </c>
      <c r="G3526" s="11">
        <v>3</v>
      </c>
      <c r="H3526" s="5">
        <v>7.8299999999999995E-2</v>
      </c>
      <c r="I3526" s="11">
        <v>511560</v>
      </c>
      <c r="J3526" s="20">
        <v>1534680</v>
      </c>
      <c r="K35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27" spans="1:11" hidden="1" x14ac:dyDescent="0.25">
      <c r="A3527" s="11"/>
      <c r="B3527" s="11"/>
      <c r="C3527" s="5"/>
      <c r="G3527" s="11"/>
      <c r="H3527" s="5"/>
      <c r="I3527" s="11"/>
      <c r="J3527" s="20"/>
      <c r="K35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28" spans="1:11" hidden="1" x14ac:dyDescent="0.25">
      <c r="A3528" s="11"/>
      <c r="B3528" s="11"/>
      <c r="C3528" s="5"/>
      <c r="G3528" s="11"/>
      <c r="H3528" s="5"/>
      <c r="I3528" s="11"/>
      <c r="J3528" s="20"/>
      <c r="K35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29" spans="1:11" x14ac:dyDescent="0.25">
      <c r="A3529" s="11" t="s">
        <v>356</v>
      </c>
      <c r="B3529" s="11" t="s">
        <v>434</v>
      </c>
      <c r="C3529" s="5" t="s">
        <v>10</v>
      </c>
      <c r="D3529">
        <v>400</v>
      </c>
      <c r="E3529">
        <v>4</v>
      </c>
      <c r="F3529">
        <v>30</v>
      </c>
      <c r="G3529" s="11">
        <v>2</v>
      </c>
      <c r="H3529" s="5">
        <v>9.6000000000000002E-2</v>
      </c>
      <c r="I3529" s="11">
        <v>484800</v>
      </c>
      <c r="J3529" s="20">
        <v>969600</v>
      </c>
      <c r="K35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0" spans="1:11" hidden="1" x14ac:dyDescent="0.25">
      <c r="A3530" s="11"/>
      <c r="B3530" s="11"/>
      <c r="C3530" s="5"/>
      <c r="G3530" s="11"/>
      <c r="H3530" s="5"/>
      <c r="I3530" s="11"/>
      <c r="J3530" s="20"/>
      <c r="K35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1" spans="1:11" x14ac:dyDescent="0.25">
      <c r="A3531" s="11"/>
      <c r="B3531" s="11" t="s">
        <v>463</v>
      </c>
      <c r="C3531" s="5" t="s">
        <v>45</v>
      </c>
      <c r="D3531">
        <v>500</v>
      </c>
      <c r="E3531">
        <v>4</v>
      </c>
      <c r="F3531">
        <v>30</v>
      </c>
      <c r="G3531" s="11">
        <v>1</v>
      </c>
      <c r="H3531" s="5">
        <v>0.06</v>
      </c>
      <c r="I3531" s="11">
        <v>606000</v>
      </c>
      <c r="J3531" s="20">
        <v>606000</v>
      </c>
      <c r="K35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2" spans="1:11" hidden="1" x14ac:dyDescent="0.25">
      <c r="A3532" s="11"/>
      <c r="B3532" s="11"/>
      <c r="C3532" s="5"/>
      <c r="G3532" s="11"/>
      <c r="H3532" s="5"/>
      <c r="I3532" s="11"/>
      <c r="J3532" s="20"/>
      <c r="K35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3" spans="1:11" hidden="1" x14ac:dyDescent="0.25">
      <c r="A3533" s="11"/>
      <c r="B3533" s="11"/>
      <c r="C3533" s="5"/>
      <c r="G3533" s="11"/>
      <c r="H3533" s="5"/>
      <c r="I3533" s="11"/>
      <c r="J3533" s="20"/>
      <c r="K35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4" spans="1:11" x14ac:dyDescent="0.25">
      <c r="A3534" s="11" t="s">
        <v>356</v>
      </c>
      <c r="B3534" s="11" t="s">
        <v>439</v>
      </c>
      <c r="C3534" s="5" t="s">
        <v>16</v>
      </c>
      <c r="D3534">
        <v>400</v>
      </c>
      <c r="E3534">
        <v>3</v>
      </c>
      <c r="F3534">
        <v>30</v>
      </c>
      <c r="G3534" s="11">
        <v>3</v>
      </c>
      <c r="H3534" s="5">
        <v>0.108</v>
      </c>
      <c r="I3534" s="11">
        <v>363600</v>
      </c>
      <c r="J3534" s="20">
        <v>1090800</v>
      </c>
      <c r="K35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5" spans="1:11" hidden="1" x14ac:dyDescent="0.25">
      <c r="A3535" s="11"/>
      <c r="B3535" s="11"/>
      <c r="C3535" s="5"/>
      <c r="G3535" s="11"/>
      <c r="H3535" s="5"/>
      <c r="I3535" s="11"/>
      <c r="J3535" s="20"/>
      <c r="K35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6" spans="1:11" x14ac:dyDescent="0.25">
      <c r="A3536" s="11"/>
      <c r="B3536" s="11" t="s">
        <v>433</v>
      </c>
      <c r="C3536" s="5" t="s">
        <v>9</v>
      </c>
      <c r="D3536">
        <v>400</v>
      </c>
      <c r="E3536">
        <v>4</v>
      </c>
      <c r="F3536">
        <v>20</v>
      </c>
      <c r="G3536" s="11">
        <v>4</v>
      </c>
      <c r="H3536" s="5">
        <v>0.128</v>
      </c>
      <c r="I3536" s="11">
        <v>313600</v>
      </c>
      <c r="J3536" s="20">
        <v>1254400</v>
      </c>
      <c r="K35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7" spans="1:11" hidden="1" x14ac:dyDescent="0.25">
      <c r="A3537" s="11"/>
      <c r="B3537" s="11"/>
      <c r="C3537" s="5"/>
      <c r="G3537" s="11"/>
      <c r="H3537" s="5"/>
      <c r="I3537" s="11"/>
      <c r="J3537" s="20"/>
      <c r="K35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8" spans="1:11" hidden="1" x14ac:dyDescent="0.25">
      <c r="A3538" s="11"/>
      <c r="B3538" s="11"/>
      <c r="C3538" s="5"/>
      <c r="G3538" s="11"/>
      <c r="H3538" s="5"/>
      <c r="I3538" s="11"/>
      <c r="J3538" s="20"/>
      <c r="K35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39" spans="1:11" x14ac:dyDescent="0.25">
      <c r="A3539" s="11" t="s">
        <v>357</v>
      </c>
      <c r="B3539" s="11" t="s">
        <v>502</v>
      </c>
      <c r="C3539" s="5" t="s">
        <v>98</v>
      </c>
      <c r="D3539">
        <v>400</v>
      </c>
      <c r="E3539">
        <v>5</v>
      </c>
      <c r="F3539">
        <v>15</v>
      </c>
      <c r="G3539" s="11">
        <v>4</v>
      </c>
      <c r="H3539" s="5">
        <v>0.12</v>
      </c>
      <c r="I3539" s="11">
        <v>291000</v>
      </c>
      <c r="J3539" s="20">
        <v>1164000</v>
      </c>
      <c r="K35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40" spans="1:11" hidden="1" x14ac:dyDescent="0.25">
      <c r="A3540" s="11"/>
      <c r="B3540" s="11"/>
      <c r="C3540" s="5"/>
      <c r="G3540" s="11"/>
      <c r="H3540" s="5"/>
      <c r="I3540" s="11"/>
      <c r="J3540" s="20"/>
      <c r="K35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41" spans="1:11" x14ac:dyDescent="0.25">
      <c r="A3541" s="11"/>
      <c r="B3541" s="11" t="s">
        <v>519</v>
      </c>
      <c r="C3541" s="5" t="s">
        <v>125</v>
      </c>
      <c r="D3541">
        <v>400</v>
      </c>
      <c r="E3541">
        <v>5</v>
      </c>
      <c r="F3541">
        <v>25</v>
      </c>
      <c r="G3541" s="11">
        <v>1</v>
      </c>
      <c r="H3541" s="5">
        <v>0.05</v>
      </c>
      <c r="I3541" s="11">
        <v>505000</v>
      </c>
      <c r="J3541" s="20">
        <v>505000</v>
      </c>
      <c r="K35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542" spans="1:11" hidden="1" x14ac:dyDescent="0.25">
      <c r="A3542" s="11"/>
      <c r="B3542" s="11"/>
      <c r="C3542" s="5"/>
      <c r="G3542" s="11"/>
      <c r="H3542" s="5"/>
      <c r="I3542" s="11"/>
      <c r="J3542" s="20"/>
      <c r="K35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43" spans="1:11" x14ac:dyDescent="0.25">
      <c r="A3543" s="11"/>
      <c r="B3543" s="11" t="s">
        <v>545</v>
      </c>
      <c r="C3543" s="5" t="s">
        <v>178</v>
      </c>
      <c r="D3543">
        <v>400</v>
      </c>
      <c r="E3543">
        <v>8</v>
      </c>
      <c r="F3543">
        <v>15</v>
      </c>
      <c r="G3543" s="11">
        <v>1</v>
      </c>
      <c r="H3543" s="5">
        <v>4.8000000000000001E-2</v>
      </c>
      <c r="I3543" s="11">
        <v>465600</v>
      </c>
      <c r="J3543" s="20">
        <v>465600</v>
      </c>
      <c r="K35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544" spans="1:11" hidden="1" x14ac:dyDescent="0.25">
      <c r="A3544" s="11"/>
      <c r="B3544" s="11"/>
      <c r="C3544" s="5"/>
      <c r="G3544" s="11"/>
      <c r="H3544" s="5"/>
      <c r="I3544" s="11"/>
      <c r="J3544" s="20"/>
      <c r="K35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45" spans="1:11" x14ac:dyDescent="0.25">
      <c r="A3545" s="11"/>
      <c r="B3545" s="11" t="s">
        <v>528</v>
      </c>
      <c r="C3545" s="5" t="s">
        <v>145</v>
      </c>
      <c r="D3545">
        <v>500</v>
      </c>
      <c r="E3545">
        <v>8</v>
      </c>
      <c r="F3545">
        <v>15</v>
      </c>
      <c r="G3545" s="11">
        <v>2</v>
      </c>
      <c r="H3545" s="5">
        <v>0.12</v>
      </c>
      <c r="I3545" s="11">
        <v>612000</v>
      </c>
      <c r="J3545" s="20">
        <v>1224000</v>
      </c>
      <c r="K35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546" spans="1:11" hidden="1" x14ac:dyDescent="0.25">
      <c r="A3546" s="11"/>
      <c r="B3546" s="11"/>
      <c r="C3546" s="5"/>
      <c r="G3546" s="11"/>
      <c r="H3546" s="5"/>
      <c r="I3546" s="11"/>
      <c r="J3546" s="20"/>
      <c r="K35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47" spans="1:11" hidden="1" x14ac:dyDescent="0.25">
      <c r="A3547" s="11"/>
      <c r="B3547" s="11"/>
      <c r="C3547" s="5"/>
      <c r="G3547" s="11"/>
      <c r="H3547" s="5"/>
      <c r="I3547" s="11"/>
      <c r="J3547" s="20"/>
      <c r="K35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48" spans="1:11" x14ac:dyDescent="0.25">
      <c r="A3548" s="11" t="s">
        <v>357</v>
      </c>
      <c r="B3548" s="11" t="s">
        <v>502</v>
      </c>
      <c r="C3548" s="5" t="s">
        <v>98</v>
      </c>
      <c r="D3548">
        <v>400</v>
      </c>
      <c r="E3548">
        <v>5</v>
      </c>
      <c r="F3548">
        <v>15</v>
      </c>
      <c r="G3548" s="11">
        <v>16</v>
      </c>
      <c r="H3548" s="5">
        <v>0.48</v>
      </c>
      <c r="I3548" s="11">
        <v>291000</v>
      </c>
      <c r="J3548" s="20">
        <v>4656000</v>
      </c>
      <c r="K35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49" spans="1:11" hidden="1" x14ac:dyDescent="0.25">
      <c r="A3549" s="11"/>
      <c r="B3549" s="11"/>
      <c r="C3549" s="5"/>
      <c r="G3549" s="11"/>
      <c r="H3549" s="5"/>
      <c r="I3549" s="11"/>
      <c r="J3549" s="20"/>
      <c r="K35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0" spans="1:11" x14ac:dyDescent="0.25">
      <c r="A3550" s="11"/>
      <c r="B3550" s="11" t="s">
        <v>481</v>
      </c>
      <c r="C3550" s="5" t="s">
        <v>68</v>
      </c>
      <c r="D3550">
        <v>400</v>
      </c>
      <c r="E3550">
        <v>6</v>
      </c>
      <c r="F3550">
        <v>15</v>
      </c>
      <c r="G3550" s="11">
        <v>8</v>
      </c>
      <c r="H3550" s="5">
        <v>0.28799999999999998</v>
      </c>
      <c r="I3550" s="11">
        <v>334800</v>
      </c>
      <c r="J3550" s="20">
        <v>2678400</v>
      </c>
      <c r="K35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51" spans="1:11" hidden="1" x14ac:dyDescent="0.25">
      <c r="A3551" s="11"/>
      <c r="B3551" s="11"/>
      <c r="C3551" s="5"/>
      <c r="G3551" s="11"/>
      <c r="H3551" s="5"/>
      <c r="I3551" s="11"/>
      <c r="J3551" s="20"/>
      <c r="K35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2" spans="1:11" hidden="1" x14ac:dyDescent="0.25">
      <c r="A3552" s="11"/>
      <c r="B3552" s="11"/>
      <c r="C3552" s="5"/>
      <c r="G3552" s="11"/>
      <c r="H3552" s="5"/>
      <c r="I3552" s="11"/>
      <c r="J3552" s="20"/>
      <c r="K35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3" spans="1:11" x14ac:dyDescent="0.25">
      <c r="A3553" s="11" t="s">
        <v>357</v>
      </c>
      <c r="B3553" s="11" t="s">
        <v>476</v>
      </c>
      <c r="C3553" s="5" t="s">
        <v>62</v>
      </c>
      <c r="D3553">
        <v>400</v>
      </c>
      <c r="E3553">
        <v>3</v>
      </c>
      <c r="F3553">
        <v>20</v>
      </c>
      <c r="G3553" s="11">
        <v>1</v>
      </c>
      <c r="H3553" s="5">
        <v>2.4E-2</v>
      </c>
      <c r="I3553" s="11">
        <v>223200</v>
      </c>
      <c r="J3553" s="20">
        <v>223200</v>
      </c>
      <c r="K35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4" spans="1:11" hidden="1" x14ac:dyDescent="0.25">
      <c r="A3554" s="11"/>
      <c r="B3554" s="11"/>
      <c r="C3554" s="5"/>
      <c r="G3554" s="11"/>
      <c r="H3554" s="5"/>
      <c r="I3554" s="11"/>
      <c r="J3554" s="20"/>
      <c r="K35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5" spans="1:11" x14ac:dyDescent="0.25">
      <c r="A3555" s="11"/>
      <c r="B3555" s="11" t="s">
        <v>443</v>
      </c>
      <c r="C3555" s="5" t="s">
        <v>21</v>
      </c>
      <c r="D3555">
        <v>400</v>
      </c>
      <c r="E3555">
        <v>4</v>
      </c>
      <c r="F3555">
        <v>25</v>
      </c>
      <c r="G3555" s="11">
        <v>2</v>
      </c>
      <c r="H3555" s="5">
        <v>0.08</v>
      </c>
      <c r="I3555" s="11">
        <v>396000</v>
      </c>
      <c r="J3555" s="20">
        <v>792000</v>
      </c>
      <c r="K35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6" spans="1:11" hidden="1" x14ac:dyDescent="0.25">
      <c r="A3556" s="11"/>
      <c r="B3556" s="11"/>
      <c r="C3556" s="5"/>
      <c r="G3556" s="11"/>
      <c r="H3556" s="5"/>
      <c r="I3556" s="11"/>
      <c r="J3556" s="20"/>
      <c r="K35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7" spans="1:11" x14ac:dyDescent="0.25">
      <c r="A3557" s="11"/>
      <c r="B3557" s="11" t="s">
        <v>435</v>
      </c>
      <c r="C3557" s="5" t="s">
        <v>11</v>
      </c>
      <c r="D3557">
        <v>400</v>
      </c>
      <c r="E3557">
        <v>6</v>
      </c>
      <c r="F3557">
        <v>12</v>
      </c>
      <c r="G3557" s="11">
        <v>5</v>
      </c>
      <c r="H3557" s="5">
        <v>0.14399999999999999</v>
      </c>
      <c r="I3557" s="11">
        <v>267840</v>
      </c>
      <c r="J3557" s="20">
        <v>1339200</v>
      </c>
      <c r="K35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58" spans="1:11" hidden="1" x14ac:dyDescent="0.25">
      <c r="A3558" s="11"/>
      <c r="B3558" s="11"/>
      <c r="C3558" s="5"/>
      <c r="G3558" s="11"/>
      <c r="H3558" s="5"/>
      <c r="I3558" s="11"/>
      <c r="J3558" s="20"/>
      <c r="K35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59" spans="1:11" hidden="1" x14ac:dyDescent="0.25">
      <c r="A3559" s="11"/>
      <c r="B3559" s="11"/>
      <c r="C3559" s="5"/>
      <c r="G3559" s="11"/>
      <c r="H3559" s="5"/>
      <c r="I3559" s="11"/>
      <c r="J3559" s="20"/>
      <c r="K35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60" spans="1:11" x14ac:dyDescent="0.25">
      <c r="A3560" s="11" t="s">
        <v>357</v>
      </c>
      <c r="B3560" s="11" t="s">
        <v>444</v>
      </c>
      <c r="C3560" s="5" t="s">
        <v>23</v>
      </c>
      <c r="D3560">
        <v>400</v>
      </c>
      <c r="E3560">
        <v>5</v>
      </c>
      <c r="F3560">
        <v>15</v>
      </c>
      <c r="G3560" s="11">
        <v>8</v>
      </c>
      <c r="H3560" s="5">
        <v>0.24</v>
      </c>
      <c r="I3560" s="11">
        <v>618000</v>
      </c>
      <c r="J3560" s="20">
        <v>4944000</v>
      </c>
      <c r="K35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61" spans="1:11" hidden="1" x14ac:dyDescent="0.25">
      <c r="A3561" s="11"/>
      <c r="B3561" s="11"/>
      <c r="C3561" s="5"/>
      <c r="G3561" s="11"/>
      <c r="H3561" s="5"/>
      <c r="I3561" s="11"/>
      <c r="J3561" s="20"/>
      <c r="K35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62" spans="1:11" x14ac:dyDescent="0.25">
      <c r="A3562" s="11"/>
      <c r="B3562" s="11" t="s">
        <v>445</v>
      </c>
      <c r="C3562" s="5" t="s">
        <v>24</v>
      </c>
      <c r="D3562">
        <v>500</v>
      </c>
      <c r="E3562">
        <v>5</v>
      </c>
      <c r="F3562">
        <v>15</v>
      </c>
      <c r="G3562" s="11">
        <v>21</v>
      </c>
      <c r="H3562" s="5">
        <v>0.78749999999999998</v>
      </c>
      <c r="I3562" s="11">
        <v>791250</v>
      </c>
      <c r="J3562" s="20">
        <v>16616250</v>
      </c>
      <c r="K35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63" spans="1:11" hidden="1" x14ac:dyDescent="0.25">
      <c r="A3563" s="11"/>
      <c r="B3563" s="11"/>
      <c r="C3563" s="5"/>
      <c r="G3563" s="11"/>
      <c r="H3563" s="5"/>
      <c r="I3563" s="11"/>
      <c r="J3563" s="20"/>
      <c r="K35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64" spans="1:11" x14ac:dyDescent="0.25">
      <c r="A3564" s="11"/>
      <c r="B3564" s="11" t="s">
        <v>477</v>
      </c>
      <c r="C3564" s="5" t="s">
        <v>63</v>
      </c>
      <c r="D3564">
        <v>100</v>
      </c>
      <c r="E3564">
        <v>6</v>
      </c>
      <c r="F3564">
        <v>15</v>
      </c>
      <c r="G3564" s="11">
        <v>11</v>
      </c>
      <c r="H3564" s="5">
        <v>9.9000000000000005E-2</v>
      </c>
      <c r="I3564" s="11">
        <v>163800</v>
      </c>
      <c r="J3564" s="20">
        <v>1801800</v>
      </c>
      <c r="K35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65" spans="1:11" hidden="1" x14ac:dyDescent="0.25">
      <c r="A3565" s="11"/>
      <c r="B3565" s="11"/>
      <c r="C3565" s="5"/>
      <c r="G3565" s="11"/>
      <c r="H3565" s="5"/>
      <c r="I3565" s="11"/>
      <c r="J3565" s="20"/>
      <c r="K35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66" spans="1:11" x14ac:dyDescent="0.25">
      <c r="A3566" s="11"/>
      <c r="B3566" s="11" t="s">
        <v>547</v>
      </c>
      <c r="C3566" s="5" t="s">
        <v>182</v>
      </c>
      <c r="D3566">
        <v>120</v>
      </c>
      <c r="E3566">
        <v>6</v>
      </c>
      <c r="F3566">
        <v>15</v>
      </c>
      <c r="G3566" s="11">
        <v>2</v>
      </c>
      <c r="H3566" s="5">
        <v>2.1600000000000001E-2</v>
      </c>
      <c r="I3566" s="11">
        <v>196560</v>
      </c>
      <c r="J3566" s="20">
        <v>393120</v>
      </c>
      <c r="K35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67" spans="1:11" hidden="1" x14ac:dyDescent="0.25">
      <c r="A3567" s="11"/>
      <c r="B3567" s="11"/>
      <c r="C3567" s="5"/>
      <c r="G3567" s="11"/>
      <c r="H3567" s="5"/>
      <c r="I3567" s="11"/>
      <c r="J3567" s="20"/>
      <c r="K35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68" spans="1:11" x14ac:dyDescent="0.25">
      <c r="A3568" s="11"/>
      <c r="B3568" s="11" t="s">
        <v>501</v>
      </c>
      <c r="C3568" s="5" t="s">
        <v>96</v>
      </c>
      <c r="D3568">
        <v>250</v>
      </c>
      <c r="E3568">
        <v>6</v>
      </c>
      <c r="F3568">
        <v>15</v>
      </c>
      <c r="G3568" s="11">
        <v>5</v>
      </c>
      <c r="H3568" s="5">
        <v>0.1125</v>
      </c>
      <c r="I3568" s="11">
        <v>454500</v>
      </c>
      <c r="J3568" s="20">
        <v>2272500</v>
      </c>
      <c r="K35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69" spans="1:11" hidden="1" x14ac:dyDescent="0.25">
      <c r="A3569" s="11"/>
      <c r="B3569" s="11"/>
      <c r="C3569" s="5"/>
      <c r="G3569" s="11"/>
      <c r="H3569" s="5"/>
      <c r="I3569" s="11"/>
      <c r="J3569" s="20"/>
      <c r="K35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0" spans="1:11" x14ac:dyDescent="0.25">
      <c r="A3570" s="11"/>
      <c r="B3570" s="11" t="s">
        <v>451</v>
      </c>
      <c r="C3570" s="5" t="s">
        <v>30</v>
      </c>
      <c r="D3570">
        <v>90</v>
      </c>
      <c r="E3570">
        <v>6</v>
      </c>
      <c r="F3570">
        <v>15</v>
      </c>
      <c r="G3570" s="11">
        <v>12</v>
      </c>
      <c r="H3570" s="5">
        <v>9.7199999999999995E-2</v>
      </c>
      <c r="I3570" s="11">
        <v>147420</v>
      </c>
      <c r="J3570" s="20">
        <v>1769040</v>
      </c>
      <c r="K35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71" spans="1:11" hidden="1" x14ac:dyDescent="0.25">
      <c r="A3571" s="11"/>
      <c r="B3571" s="11"/>
      <c r="C3571" s="5"/>
      <c r="G3571" s="11"/>
      <c r="H3571" s="5"/>
      <c r="I3571" s="11"/>
      <c r="J3571" s="20"/>
      <c r="K35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2" spans="1:11" hidden="1" x14ac:dyDescent="0.25">
      <c r="A3572" s="11"/>
      <c r="B3572" s="11"/>
      <c r="C3572" s="5"/>
      <c r="G3572" s="11"/>
      <c r="H3572" s="5"/>
      <c r="I3572" s="11"/>
      <c r="J3572" s="20"/>
      <c r="K35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3" spans="1:11" x14ac:dyDescent="0.25">
      <c r="A3573" s="11" t="s">
        <v>358</v>
      </c>
      <c r="B3573" s="11" t="s">
        <v>438</v>
      </c>
      <c r="C3573" s="5" t="s">
        <v>15</v>
      </c>
      <c r="D3573">
        <v>400</v>
      </c>
      <c r="E3573">
        <v>3</v>
      </c>
      <c r="F3573">
        <v>25</v>
      </c>
      <c r="G3573" s="11">
        <v>2</v>
      </c>
      <c r="H3573" s="5">
        <v>0.06</v>
      </c>
      <c r="I3573" s="11">
        <v>297000</v>
      </c>
      <c r="J3573" s="20">
        <v>594000</v>
      </c>
      <c r="K35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4" spans="1:11" hidden="1" x14ac:dyDescent="0.25">
      <c r="A3574" s="11"/>
      <c r="B3574" s="11"/>
      <c r="C3574" s="5"/>
      <c r="G3574" s="11"/>
      <c r="H3574" s="5"/>
      <c r="I3574" s="11"/>
      <c r="J3574" s="20"/>
      <c r="K35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5" spans="1:11" x14ac:dyDescent="0.25">
      <c r="A3575" s="11"/>
      <c r="B3575" s="11" t="s">
        <v>439</v>
      </c>
      <c r="C3575" s="5" t="s">
        <v>16</v>
      </c>
      <c r="D3575">
        <v>400</v>
      </c>
      <c r="E3575">
        <v>3</v>
      </c>
      <c r="F3575">
        <v>30</v>
      </c>
      <c r="G3575" s="11">
        <v>1</v>
      </c>
      <c r="H3575" s="5">
        <v>3.5999999999999997E-2</v>
      </c>
      <c r="I3575" s="11">
        <v>363600</v>
      </c>
      <c r="J3575" s="20">
        <v>363600</v>
      </c>
      <c r="K35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6" spans="1:11" hidden="1" x14ac:dyDescent="0.25">
      <c r="A3576" s="11"/>
      <c r="B3576" s="11"/>
      <c r="C3576" s="5"/>
      <c r="G3576" s="11"/>
      <c r="H3576" s="5"/>
      <c r="I3576" s="11"/>
      <c r="J3576" s="20"/>
      <c r="K35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7" spans="1:11" x14ac:dyDescent="0.25">
      <c r="A3577" s="11"/>
      <c r="B3577" s="11" t="s">
        <v>433</v>
      </c>
      <c r="C3577" s="5" t="s">
        <v>9</v>
      </c>
      <c r="D3577">
        <v>400</v>
      </c>
      <c r="E3577">
        <v>4</v>
      </c>
      <c r="F3577">
        <v>20</v>
      </c>
      <c r="G3577" s="11">
        <v>3</v>
      </c>
      <c r="H3577" s="5">
        <v>9.6000000000000002E-2</v>
      </c>
      <c r="I3577" s="11">
        <v>313600</v>
      </c>
      <c r="J3577" s="20">
        <v>940800</v>
      </c>
      <c r="K35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8" spans="1:11" hidden="1" x14ac:dyDescent="0.25">
      <c r="A3578" s="11"/>
      <c r="B3578" s="11"/>
      <c r="C3578" s="5"/>
      <c r="G3578" s="11"/>
      <c r="H3578" s="5"/>
      <c r="I3578" s="11"/>
      <c r="J3578" s="20"/>
      <c r="K35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79" spans="1:11" x14ac:dyDescent="0.25">
      <c r="A3579" s="11"/>
      <c r="B3579" s="11" t="s">
        <v>481</v>
      </c>
      <c r="C3579" s="5" t="s">
        <v>68</v>
      </c>
      <c r="D3579">
        <v>400</v>
      </c>
      <c r="E3579">
        <v>6</v>
      </c>
      <c r="F3579">
        <v>15</v>
      </c>
      <c r="G3579" s="11">
        <v>1</v>
      </c>
      <c r="H3579" s="5">
        <v>3.5999999999999997E-2</v>
      </c>
      <c r="I3579" s="11">
        <v>334800</v>
      </c>
      <c r="J3579" s="20">
        <v>334800</v>
      </c>
      <c r="K35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80" spans="1:11" hidden="1" x14ac:dyDescent="0.25">
      <c r="A3580" s="11"/>
      <c r="B3580" s="11"/>
      <c r="C3580" s="5"/>
      <c r="G3580" s="11"/>
      <c r="H3580" s="5"/>
      <c r="I3580" s="11"/>
      <c r="J3580" s="20"/>
      <c r="K35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1" spans="1:11" x14ac:dyDescent="0.25">
      <c r="A3581" s="11"/>
      <c r="B3581" s="11" t="s">
        <v>463</v>
      </c>
      <c r="C3581" s="5" t="s">
        <v>45</v>
      </c>
      <c r="D3581">
        <v>500</v>
      </c>
      <c r="E3581">
        <v>4</v>
      </c>
      <c r="F3581">
        <v>30</v>
      </c>
      <c r="G3581" s="11">
        <v>1</v>
      </c>
      <c r="H3581" s="5">
        <v>0.06</v>
      </c>
      <c r="I3581" s="11">
        <v>606000</v>
      </c>
      <c r="J3581" s="20">
        <v>606000</v>
      </c>
      <c r="K35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2" spans="1:11" hidden="1" x14ac:dyDescent="0.25">
      <c r="A3582" s="11"/>
      <c r="B3582" s="11"/>
      <c r="C3582" s="5"/>
      <c r="G3582" s="11"/>
      <c r="H3582" s="5"/>
      <c r="I3582" s="11"/>
      <c r="J3582" s="20"/>
      <c r="K35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3" spans="1:11" x14ac:dyDescent="0.25">
      <c r="A3583" s="11"/>
      <c r="B3583" s="11" t="s">
        <v>498</v>
      </c>
      <c r="C3583" s="5" t="s">
        <v>92</v>
      </c>
      <c r="D3583">
        <v>500</v>
      </c>
      <c r="E3583">
        <v>6</v>
      </c>
      <c r="F3583">
        <v>15</v>
      </c>
      <c r="G3583" s="11">
        <v>1</v>
      </c>
      <c r="H3583" s="5">
        <v>4.4999999999999998E-2</v>
      </c>
      <c r="I3583" s="11">
        <v>441000</v>
      </c>
      <c r="J3583" s="20">
        <v>441000</v>
      </c>
      <c r="K35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84" spans="1:11" hidden="1" x14ac:dyDescent="0.25">
      <c r="A3584" s="11"/>
      <c r="B3584" s="11"/>
      <c r="C3584" s="5"/>
      <c r="G3584" s="11"/>
      <c r="H3584" s="5"/>
      <c r="I3584" s="11"/>
      <c r="J3584" s="20"/>
      <c r="K35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5" spans="1:11" hidden="1" x14ac:dyDescent="0.25">
      <c r="A3585" s="11"/>
      <c r="B3585" s="11"/>
      <c r="C3585" s="5"/>
      <c r="G3585" s="11"/>
      <c r="H3585" s="5"/>
      <c r="I3585" s="11"/>
      <c r="J3585" s="20"/>
      <c r="K35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6" spans="1:11" x14ac:dyDescent="0.25">
      <c r="A3586" s="11" t="s">
        <v>358</v>
      </c>
      <c r="B3586" s="11" t="s">
        <v>516</v>
      </c>
      <c r="C3586" s="5" t="s">
        <v>118</v>
      </c>
      <c r="D3586">
        <v>500</v>
      </c>
      <c r="E3586">
        <v>8</v>
      </c>
      <c r="F3586">
        <v>15</v>
      </c>
      <c r="G3586" s="11">
        <v>2</v>
      </c>
      <c r="H3586" s="5">
        <v>0.12</v>
      </c>
      <c r="I3586" s="11">
        <v>1266000</v>
      </c>
      <c r="J3586" s="20">
        <v>2532000</v>
      </c>
      <c r="K35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587" spans="1:11" hidden="1" x14ac:dyDescent="0.25">
      <c r="A3587" s="11"/>
      <c r="B3587" s="11"/>
      <c r="C3587" s="5"/>
      <c r="G3587" s="11"/>
      <c r="H3587" s="5"/>
      <c r="I3587" s="11"/>
      <c r="J3587" s="20"/>
      <c r="K35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8" spans="1:11" hidden="1" x14ac:dyDescent="0.25">
      <c r="A3588" s="11"/>
      <c r="B3588" s="11"/>
      <c r="C3588" s="5"/>
      <c r="G3588" s="11"/>
      <c r="H3588" s="5"/>
      <c r="I3588" s="11"/>
      <c r="J3588" s="20"/>
      <c r="K35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89" spans="1:11" x14ac:dyDescent="0.25">
      <c r="A3589" s="11" t="s">
        <v>359</v>
      </c>
      <c r="B3589" s="11" t="s">
        <v>439</v>
      </c>
      <c r="C3589" s="5" t="s">
        <v>16</v>
      </c>
      <c r="D3589">
        <v>400</v>
      </c>
      <c r="E3589">
        <v>3</v>
      </c>
      <c r="F3589">
        <v>30</v>
      </c>
      <c r="G3589" s="11">
        <v>6</v>
      </c>
      <c r="H3589" s="5">
        <v>0.216</v>
      </c>
      <c r="I3589" s="11">
        <v>363600</v>
      </c>
      <c r="J3589" s="20">
        <v>2181600</v>
      </c>
      <c r="K35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0" spans="1:11" hidden="1" x14ac:dyDescent="0.25">
      <c r="A3590" s="11"/>
      <c r="B3590" s="11"/>
      <c r="C3590" s="5"/>
      <c r="G3590" s="11"/>
      <c r="H3590" s="5"/>
      <c r="I3590" s="11"/>
      <c r="J3590" s="20"/>
      <c r="K35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1" spans="1:11" x14ac:dyDescent="0.25">
      <c r="A3591" s="11"/>
      <c r="B3591" s="11" t="s">
        <v>463</v>
      </c>
      <c r="C3591" s="5" t="s">
        <v>45</v>
      </c>
      <c r="D3591">
        <v>500</v>
      </c>
      <c r="E3591">
        <v>4</v>
      </c>
      <c r="F3591">
        <v>30</v>
      </c>
      <c r="G3591" s="11">
        <v>7</v>
      </c>
      <c r="H3591" s="5">
        <v>0.42</v>
      </c>
      <c r="I3591" s="11">
        <v>606000</v>
      </c>
      <c r="J3591" s="20">
        <v>4242000</v>
      </c>
      <c r="K35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2" spans="1:11" hidden="1" x14ac:dyDescent="0.25">
      <c r="A3592" s="11"/>
      <c r="B3592" s="11"/>
      <c r="C3592" s="5"/>
      <c r="G3592" s="11"/>
      <c r="H3592" s="5"/>
      <c r="I3592" s="11"/>
      <c r="J3592" s="20"/>
      <c r="K35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3" spans="1:11" hidden="1" x14ac:dyDescent="0.25">
      <c r="A3593" s="11"/>
      <c r="B3593" s="11"/>
      <c r="C3593" s="5"/>
      <c r="G3593" s="11"/>
      <c r="H3593" s="5"/>
      <c r="I3593" s="11"/>
      <c r="J3593" s="20"/>
      <c r="K35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4" spans="1:11" x14ac:dyDescent="0.25">
      <c r="A3594" s="11" t="s">
        <v>359</v>
      </c>
      <c r="B3594" s="11" t="s">
        <v>461</v>
      </c>
      <c r="C3594" s="5" t="s">
        <v>42</v>
      </c>
      <c r="D3594">
        <v>500</v>
      </c>
      <c r="E3594">
        <v>5</v>
      </c>
      <c r="F3594">
        <v>25</v>
      </c>
      <c r="G3594" s="11">
        <v>6</v>
      </c>
      <c r="H3594" s="5">
        <v>0.375</v>
      </c>
      <c r="I3594" s="11">
        <v>1425000</v>
      </c>
      <c r="J3594" s="20">
        <v>8550000</v>
      </c>
      <c r="K35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595" spans="1:11" hidden="1" x14ac:dyDescent="0.25">
      <c r="A3595" s="11"/>
      <c r="B3595" s="11"/>
      <c r="C3595" s="5"/>
      <c r="G3595" s="11"/>
      <c r="H3595" s="5"/>
      <c r="I3595" s="11"/>
      <c r="J3595" s="20"/>
      <c r="K35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6" spans="1:11" x14ac:dyDescent="0.25">
      <c r="A3596" s="11"/>
      <c r="B3596" s="11" t="s">
        <v>530</v>
      </c>
      <c r="C3596" s="5" t="s">
        <v>148</v>
      </c>
      <c r="D3596">
        <v>500</v>
      </c>
      <c r="E3596">
        <v>6</v>
      </c>
      <c r="F3596">
        <v>17</v>
      </c>
      <c r="G3596" s="11">
        <v>1</v>
      </c>
      <c r="H3596" s="5">
        <v>5.0999999999999997E-2</v>
      </c>
      <c r="I3596" s="11">
        <v>1091400</v>
      </c>
      <c r="J3596" s="20">
        <v>1091400</v>
      </c>
      <c r="K35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97" spans="1:11" hidden="1" x14ac:dyDescent="0.25">
      <c r="A3597" s="11"/>
      <c r="B3597" s="11"/>
      <c r="C3597" s="5"/>
      <c r="G3597" s="11"/>
      <c r="H3597" s="5"/>
      <c r="I3597" s="11"/>
      <c r="J3597" s="20"/>
      <c r="K35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598" spans="1:11" x14ac:dyDescent="0.25">
      <c r="A3598" s="11"/>
      <c r="B3598" s="11" t="s">
        <v>556</v>
      </c>
      <c r="C3598" s="5" t="s">
        <v>202</v>
      </c>
      <c r="D3598">
        <v>250</v>
      </c>
      <c r="E3598">
        <v>6</v>
      </c>
      <c r="F3598">
        <v>17</v>
      </c>
      <c r="G3598" s="11">
        <v>12</v>
      </c>
      <c r="H3598" s="5">
        <v>0.30599999999999999</v>
      </c>
      <c r="I3598" s="11">
        <v>531675</v>
      </c>
      <c r="J3598" s="20">
        <v>6380100</v>
      </c>
      <c r="K35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599" spans="1:11" hidden="1" x14ac:dyDescent="0.25">
      <c r="A3599" s="11"/>
      <c r="B3599" s="11"/>
      <c r="C3599" s="5"/>
      <c r="G3599" s="11"/>
      <c r="H3599" s="5"/>
      <c r="I3599" s="11"/>
      <c r="J3599" s="20"/>
      <c r="K35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0" spans="1:11" hidden="1" x14ac:dyDescent="0.25">
      <c r="A3600" s="11"/>
      <c r="B3600" s="11"/>
      <c r="C3600" s="5"/>
      <c r="G3600" s="11"/>
      <c r="H3600" s="5"/>
      <c r="I3600" s="11"/>
      <c r="J3600" s="20"/>
      <c r="K36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1" spans="1:11" x14ac:dyDescent="0.25">
      <c r="A3601" s="11" t="s">
        <v>359</v>
      </c>
      <c r="B3601" s="11" t="s">
        <v>476</v>
      </c>
      <c r="C3601" s="5" t="s">
        <v>62</v>
      </c>
      <c r="D3601">
        <v>400</v>
      </c>
      <c r="E3601">
        <v>3</v>
      </c>
      <c r="F3601">
        <v>20</v>
      </c>
      <c r="G3601" s="11">
        <v>85</v>
      </c>
      <c r="H3601" s="5">
        <v>2.04</v>
      </c>
      <c r="I3601" s="11">
        <v>223200</v>
      </c>
      <c r="J3601" s="20">
        <v>18972000</v>
      </c>
      <c r="K36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2" spans="1:11" hidden="1" x14ac:dyDescent="0.25">
      <c r="A3602" s="11"/>
      <c r="B3602" s="11"/>
      <c r="C3602" s="5"/>
      <c r="G3602" s="11"/>
      <c r="H3602" s="5"/>
      <c r="I3602" s="11"/>
      <c r="J3602" s="20"/>
      <c r="K36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3" spans="1:11" hidden="1" x14ac:dyDescent="0.25">
      <c r="A3603" s="11"/>
      <c r="B3603" s="11"/>
      <c r="C3603" s="5"/>
      <c r="G3603" s="11"/>
      <c r="H3603" s="5"/>
      <c r="I3603" s="11"/>
      <c r="J3603" s="20"/>
      <c r="K36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4" spans="1:11" x14ac:dyDescent="0.25">
      <c r="A3604" s="11" t="s">
        <v>360</v>
      </c>
      <c r="B3604" s="11" t="s">
        <v>434</v>
      </c>
      <c r="C3604" s="5" t="s">
        <v>10</v>
      </c>
      <c r="D3604">
        <v>400</v>
      </c>
      <c r="E3604">
        <v>4</v>
      </c>
      <c r="F3604">
        <v>30</v>
      </c>
      <c r="G3604" s="11">
        <v>1</v>
      </c>
      <c r="H3604" s="5">
        <v>4.8000000000000001E-2</v>
      </c>
      <c r="I3604" s="11">
        <v>484800</v>
      </c>
      <c r="J3604" s="20">
        <v>484800</v>
      </c>
      <c r="K36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5" spans="1:11" hidden="1" x14ac:dyDescent="0.25">
      <c r="A3605" s="11"/>
      <c r="B3605" s="11"/>
      <c r="C3605" s="5"/>
      <c r="G3605" s="11"/>
      <c r="H3605" s="5"/>
      <c r="I3605" s="11"/>
      <c r="J3605" s="20"/>
      <c r="K36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6" spans="1:11" hidden="1" x14ac:dyDescent="0.25">
      <c r="A3606" s="11"/>
      <c r="B3606" s="11"/>
      <c r="C3606" s="5"/>
      <c r="G3606" s="11"/>
      <c r="H3606" s="5"/>
      <c r="I3606" s="11"/>
      <c r="J3606" s="20"/>
      <c r="K36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7" spans="1:11" x14ac:dyDescent="0.25">
      <c r="A3607" s="11" t="s">
        <v>361</v>
      </c>
      <c r="B3607" s="11" t="s">
        <v>491</v>
      </c>
      <c r="C3607" s="5" t="s">
        <v>83</v>
      </c>
      <c r="D3607">
        <v>450</v>
      </c>
      <c r="E3607">
        <v>6</v>
      </c>
      <c r="F3607">
        <v>15</v>
      </c>
      <c r="G3607" s="11">
        <v>2</v>
      </c>
      <c r="H3607" s="5">
        <v>8.1000000000000003E-2</v>
      </c>
      <c r="I3607" s="11">
        <v>396900</v>
      </c>
      <c r="J3607" s="20">
        <v>793800</v>
      </c>
      <c r="K36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08" spans="1:11" hidden="1" x14ac:dyDescent="0.25">
      <c r="A3608" s="11"/>
      <c r="B3608" s="11"/>
      <c r="C3608" s="5"/>
      <c r="G3608" s="11"/>
      <c r="H3608" s="5"/>
      <c r="I3608" s="11"/>
      <c r="J3608" s="20"/>
      <c r="K36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09" spans="1:11" hidden="1" x14ac:dyDescent="0.25">
      <c r="A3609" s="11"/>
      <c r="B3609" s="11"/>
      <c r="C3609" s="5"/>
      <c r="G3609" s="11"/>
      <c r="H3609" s="5"/>
      <c r="I3609" s="11"/>
      <c r="J3609" s="20"/>
      <c r="K36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0" spans="1:11" x14ac:dyDescent="0.25">
      <c r="A3610" s="11" t="s">
        <v>361</v>
      </c>
      <c r="B3610" s="11" t="s">
        <v>442</v>
      </c>
      <c r="C3610" s="5" t="s">
        <v>20</v>
      </c>
      <c r="D3610">
        <v>400</v>
      </c>
      <c r="E3610">
        <v>6</v>
      </c>
      <c r="F3610">
        <v>12</v>
      </c>
      <c r="G3610" s="11">
        <v>4</v>
      </c>
      <c r="H3610" s="5">
        <v>0.1152</v>
      </c>
      <c r="I3610" s="11">
        <v>578880</v>
      </c>
      <c r="J3610" s="20">
        <v>2315520</v>
      </c>
      <c r="K36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11" spans="1:11" hidden="1" x14ac:dyDescent="0.25">
      <c r="A3611" s="11"/>
      <c r="B3611" s="11"/>
      <c r="C3611" s="5"/>
      <c r="G3611" s="11"/>
      <c r="H3611" s="5"/>
      <c r="I3611" s="11"/>
      <c r="J3611" s="20"/>
      <c r="K36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2" spans="1:11" x14ac:dyDescent="0.25">
      <c r="A3612" s="11"/>
      <c r="B3612" s="11" t="s">
        <v>517</v>
      </c>
      <c r="C3612" s="5" t="s">
        <v>122</v>
      </c>
      <c r="D3612">
        <v>400</v>
      </c>
      <c r="E3612">
        <v>6</v>
      </c>
      <c r="F3612">
        <v>15</v>
      </c>
      <c r="G3612" s="11">
        <v>1</v>
      </c>
      <c r="H3612" s="5">
        <v>3.5999999999999997E-2</v>
      </c>
      <c r="I3612" s="11">
        <v>723600</v>
      </c>
      <c r="J3612" s="20">
        <v>723600</v>
      </c>
      <c r="K36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13" spans="1:11" hidden="1" x14ac:dyDescent="0.25">
      <c r="A3613" s="11"/>
      <c r="B3613" s="11"/>
      <c r="C3613" s="5"/>
      <c r="G3613" s="11"/>
      <c r="H3613" s="5"/>
      <c r="I3613" s="11"/>
      <c r="J3613" s="20"/>
      <c r="K36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4" spans="1:11" hidden="1" x14ac:dyDescent="0.25">
      <c r="A3614" s="11"/>
      <c r="B3614" s="11"/>
      <c r="C3614" s="5"/>
      <c r="G3614" s="11"/>
      <c r="H3614" s="5"/>
      <c r="I3614" s="11"/>
      <c r="J3614" s="20"/>
      <c r="K36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5" spans="1:11" x14ac:dyDescent="0.25">
      <c r="A3615" s="11" t="s">
        <v>361</v>
      </c>
      <c r="B3615" s="11" t="s">
        <v>442</v>
      </c>
      <c r="C3615" s="5" t="s">
        <v>20</v>
      </c>
      <c r="D3615">
        <v>400</v>
      </c>
      <c r="E3615">
        <v>6</v>
      </c>
      <c r="F3615">
        <v>12</v>
      </c>
      <c r="G3615" s="11">
        <v>2</v>
      </c>
      <c r="H3615" s="5">
        <v>5.7599999999999998E-2</v>
      </c>
      <c r="I3615" s="11">
        <v>578880</v>
      </c>
      <c r="J3615" s="20">
        <v>1157760</v>
      </c>
      <c r="K36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16" spans="1:11" hidden="1" x14ac:dyDescent="0.25">
      <c r="A3616" s="11"/>
      <c r="B3616" s="11"/>
      <c r="C3616" s="5"/>
      <c r="G3616" s="11"/>
      <c r="H3616" s="5"/>
      <c r="I3616" s="11"/>
      <c r="J3616" s="20"/>
      <c r="K36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7" spans="1:11" x14ac:dyDescent="0.25">
      <c r="A3617" s="11"/>
      <c r="B3617" s="11" t="s">
        <v>505</v>
      </c>
      <c r="C3617" s="5" t="s">
        <v>101</v>
      </c>
      <c r="D3617">
        <v>500</v>
      </c>
      <c r="E3617">
        <v>6</v>
      </c>
      <c r="F3617">
        <v>12</v>
      </c>
      <c r="G3617" s="11">
        <v>3</v>
      </c>
      <c r="H3617" s="5">
        <v>0.108</v>
      </c>
      <c r="I3617" s="11">
        <v>741600</v>
      </c>
      <c r="J3617" s="20">
        <v>2224800</v>
      </c>
      <c r="K36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18" spans="1:11" hidden="1" x14ac:dyDescent="0.25">
      <c r="A3618" s="11"/>
      <c r="B3618" s="11"/>
      <c r="C3618" s="5"/>
      <c r="G3618" s="11"/>
      <c r="H3618" s="5"/>
      <c r="I3618" s="11"/>
      <c r="J3618" s="20"/>
      <c r="K36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19" spans="1:11" hidden="1" x14ac:dyDescent="0.25">
      <c r="A3619" s="11"/>
      <c r="B3619" s="11"/>
      <c r="C3619" s="5"/>
      <c r="G3619" s="11"/>
      <c r="H3619" s="5"/>
      <c r="I3619" s="11"/>
      <c r="J3619" s="20"/>
      <c r="K36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0" spans="1:11" x14ac:dyDescent="0.25">
      <c r="A3620" s="11" t="s">
        <v>362</v>
      </c>
      <c r="B3620" s="11" t="s">
        <v>545</v>
      </c>
      <c r="C3620" s="5" t="s">
        <v>178</v>
      </c>
      <c r="D3620">
        <v>400</v>
      </c>
      <c r="E3620">
        <v>8</v>
      </c>
      <c r="F3620">
        <v>15</v>
      </c>
      <c r="G3620" s="11">
        <v>1</v>
      </c>
      <c r="H3620" s="5">
        <v>4.8000000000000001E-2</v>
      </c>
      <c r="I3620" s="11">
        <v>465600</v>
      </c>
      <c r="J3620" s="20">
        <v>465600</v>
      </c>
      <c r="K36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621" spans="1:11" hidden="1" x14ac:dyDescent="0.25">
      <c r="A3621" s="11"/>
      <c r="B3621" s="11"/>
      <c r="C3621" s="5"/>
      <c r="G3621" s="11"/>
      <c r="H3621" s="5"/>
      <c r="I3621" s="11"/>
      <c r="J3621" s="20"/>
      <c r="K36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2" spans="1:11" x14ac:dyDescent="0.25">
      <c r="A3622" s="11"/>
      <c r="B3622" s="11" t="s">
        <v>559</v>
      </c>
      <c r="C3622" s="5" t="s">
        <v>212</v>
      </c>
      <c r="D3622">
        <v>450</v>
      </c>
      <c r="E3622">
        <v>6</v>
      </c>
      <c r="F3622">
        <v>17</v>
      </c>
      <c r="G3622" s="11">
        <v>6</v>
      </c>
      <c r="H3622" s="5">
        <v>0.27539999999999998</v>
      </c>
      <c r="I3622" s="11">
        <v>468180</v>
      </c>
      <c r="J3622" s="20">
        <v>2809080</v>
      </c>
      <c r="K36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23" spans="1:11" hidden="1" x14ac:dyDescent="0.25">
      <c r="A3623" s="11"/>
      <c r="B3623" s="11"/>
      <c r="C3623" s="5"/>
      <c r="G3623" s="11"/>
      <c r="H3623" s="5"/>
      <c r="I3623" s="11"/>
      <c r="J3623" s="20"/>
      <c r="K36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4" spans="1:11" hidden="1" x14ac:dyDescent="0.25">
      <c r="A3624" s="11"/>
      <c r="B3624" s="11"/>
      <c r="C3624" s="5"/>
      <c r="G3624" s="11"/>
      <c r="H3624" s="5"/>
      <c r="I3624" s="11"/>
      <c r="J3624" s="20"/>
      <c r="K36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5" spans="1:11" x14ac:dyDescent="0.25">
      <c r="A3625" s="11" t="s">
        <v>362</v>
      </c>
      <c r="B3625" s="11" t="s">
        <v>504</v>
      </c>
      <c r="C3625" s="5" t="s">
        <v>100</v>
      </c>
      <c r="D3625">
        <v>250</v>
      </c>
      <c r="E3625">
        <v>6</v>
      </c>
      <c r="F3625">
        <v>15</v>
      </c>
      <c r="G3625" s="11">
        <v>12</v>
      </c>
      <c r="H3625" s="5">
        <v>0.27</v>
      </c>
      <c r="I3625" s="11">
        <v>463500</v>
      </c>
      <c r="J3625" s="20">
        <v>5562000</v>
      </c>
      <c r="K36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26" spans="1:11" hidden="1" x14ac:dyDescent="0.25">
      <c r="A3626" s="11"/>
      <c r="B3626" s="11"/>
      <c r="C3626" s="5"/>
      <c r="G3626" s="11"/>
      <c r="H3626" s="5"/>
      <c r="I3626" s="11"/>
      <c r="J3626" s="20"/>
      <c r="K36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7" spans="1:11" x14ac:dyDescent="0.25">
      <c r="A3627" s="11"/>
      <c r="B3627" s="11" t="s">
        <v>526</v>
      </c>
      <c r="C3627" s="5" t="s">
        <v>139</v>
      </c>
      <c r="D3627">
        <v>300</v>
      </c>
      <c r="E3627">
        <v>6</v>
      </c>
      <c r="F3627">
        <v>15</v>
      </c>
      <c r="G3627" s="11">
        <v>18</v>
      </c>
      <c r="H3627" s="5">
        <v>0.48599999999999999</v>
      </c>
      <c r="I3627" s="11">
        <v>540000</v>
      </c>
      <c r="J3627" s="20">
        <v>9720000</v>
      </c>
      <c r="K36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28" spans="1:11" hidden="1" x14ac:dyDescent="0.25">
      <c r="A3628" s="11"/>
      <c r="B3628" s="11"/>
      <c r="C3628" s="5"/>
      <c r="G3628" s="11"/>
      <c r="H3628" s="5"/>
      <c r="I3628" s="11"/>
      <c r="J3628" s="20"/>
      <c r="K36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29" spans="1:11" hidden="1" x14ac:dyDescent="0.25">
      <c r="A3629" s="11"/>
      <c r="B3629" s="11"/>
      <c r="C3629" s="5"/>
      <c r="G3629" s="11"/>
      <c r="H3629" s="5"/>
      <c r="I3629" s="11"/>
      <c r="J3629" s="20"/>
      <c r="K36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0" spans="1:11" x14ac:dyDescent="0.25">
      <c r="A3630" s="11" t="s">
        <v>364</v>
      </c>
      <c r="B3630" s="11" t="s">
        <v>592</v>
      </c>
      <c r="C3630" s="5" t="s">
        <v>363</v>
      </c>
      <c r="D3630">
        <v>200</v>
      </c>
      <c r="E3630">
        <v>4</v>
      </c>
      <c r="F3630">
        <v>30</v>
      </c>
      <c r="G3630" s="11">
        <v>1</v>
      </c>
      <c r="H3630" s="5">
        <v>2.4E-2</v>
      </c>
      <c r="I3630" s="11">
        <v>537600</v>
      </c>
      <c r="J3630" s="20">
        <v>537600</v>
      </c>
      <c r="K36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1" spans="1:11" hidden="1" x14ac:dyDescent="0.25">
      <c r="A3631" s="11"/>
      <c r="B3631" s="11"/>
      <c r="C3631" s="5"/>
      <c r="G3631" s="11"/>
      <c r="H3631" s="5"/>
      <c r="I3631" s="11"/>
      <c r="J3631" s="20"/>
      <c r="K36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2" spans="1:11" hidden="1" x14ac:dyDescent="0.25">
      <c r="A3632" s="11"/>
      <c r="B3632" s="11"/>
      <c r="C3632" s="5"/>
      <c r="G3632" s="11"/>
      <c r="H3632" s="5"/>
      <c r="I3632" s="11"/>
      <c r="J3632" s="20"/>
      <c r="K36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3" spans="1:11" x14ac:dyDescent="0.25">
      <c r="A3633" s="11" t="s">
        <v>364</v>
      </c>
      <c r="B3633" s="11" t="s">
        <v>444</v>
      </c>
      <c r="C3633" s="5" t="s">
        <v>23</v>
      </c>
      <c r="D3633">
        <v>400</v>
      </c>
      <c r="E3633">
        <v>5</v>
      </c>
      <c r="F3633">
        <v>15</v>
      </c>
      <c r="G3633" s="11">
        <v>2</v>
      </c>
      <c r="H3633" s="5">
        <v>0.06</v>
      </c>
      <c r="I3633" s="11">
        <v>618000</v>
      </c>
      <c r="J3633" s="20">
        <v>1236000</v>
      </c>
      <c r="K36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34" spans="1:11" hidden="1" x14ac:dyDescent="0.25">
      <c r="A3634" s="11"/>
      <c r="B3634" s="11"/>
      <c r="C3634" s="5"/>
      <c r="G3634" s="11"/>
      <c r="H3634" s="5"/>
      <c r="I3634" s="11"/>
      <c r="J3634" s="20"/>
      <c r="K36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5" spans="1:11" x14ac:dyDescent="0.25">
      <c r="A3635" s="11"/>
      <c r="B3635" s="11" t="s">
        <v>517</v>
      </c>
      <c r="C3635" s="5" t="s">
        <v>122</v>
      </c>
      <c r="D3635">
        <v>400</v>
      </c>
      <c r="E3635">
        <v>6</v>
      </c>
      <c r="F3635">
        <v>15</v>
      </c>
      <c r="G3635" s="11">
        <v>5</v>
      </c>
      <c r="H3635" s="5">
        <v>0.18</v>
      </c>
      <c r="I3635" s="11">
        <v>723600</v>
      </c>
      <c r="J3635" s="20">
        <v>3618000</v>
      </c>
      <c r="K36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36" spans="1:11" hidden="1" x14ac:dyDescent="0.25">
      <c r="A3636" s="11"/>
      <c r="B3636" s="11"/>
      <c r="C3636" s="5"/>
      <c r="G3636" s="11"/>
      <c r="H3636" s="5"/>
      <c r="I3636" s="11"/>
      <c r="J3636" s="20"/>
      <c r="K36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7" spans="1:11" x14ac:dyDescent="0.25">
      <c r="A3637" s="11"/>
      <c r="B3637" s="11" t="s">
        <v>445</v>
      </c>
      <c r="C3637" s="5" t="s">
        <v>24</v>
      </c>
      <c r="D3637">
        <v>500</v>
      </c>
      <c r="E3637">
        <v>5</v>
      </c>
      <c r="F3637">
        <v>15</v>
      </c>
      <c r="G3637" s="11">
        <v>2</v>
      </c>
      <c r="H3637" s="5">
        <v>7.4999999999999997E-2</v>
      </c>
      <c r="I3637" s="11">
        <v>791250</v>
      </c>
      <c r="J3637" s="20">
        <v>1582500</v>
      </c>
      <c r="K36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38" spans="1:11" hidden="1" x14ac:dyDescent="0.25">
      <c r="A3638" s="11"/>
      <c r="B3638" s="11"/>
      <c r="C3638" s="5"/>
      <c r="G3638" s="11"/>
      <c r="H3638" s="5"/>
      <c r="I3638" s="11"/>
      <c r="J3638" s="20"/>
      <c r="K36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39" spans="1:11" hidden="1" x14ac:dyDescent="0.25">
      <c r="A3639" s="11"/>
      <c r="B3639" s="11"/>
      <c r="C3639" s="5"/>
      <c r="G3639" s="11"/>
      <c r="H3639" s="5"/>
      <c r="I3639" s="11"/>
      <c r="J3639" s="20"/>
      <c r="K36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0" spans="1:11" x14ac:dyDescent="0.25">
      <c r="A3640" s="11" t="s">
        <v>364</v>
      </c>
      <c r="B3640" s="11" t="s">
        <v>476</v>
      </c>
      <c r="C3640" s="5" t="s">
        <v>62</v>
      </c>
      <c r="D3640">
        <v>400</v>
      </c>
      <c r="E3640">
        <v>3</v>
      </c>
      <c r="F3640">
        <v>20</v>
      </c>
      <c r="G3640" s="11">
        <v>2</v>
      </c>
      <c r="H3640" s="5">
        <v>4.8000000000000001E-2</v>
      </c>
      <c r="I3640" s="11">
        <v>223200</v>
      </c>
      <c r="J3640" s="20">
        <v>446400</v>
      </c>
      <c r="K36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1" spans="1:11" hidden="1" x14ac:dyDescent="0.25">
      <c r="A3641" s="11"/>
      <c r="B3641" s="11"/>
      <c r="C3641" s="5"/>
      <c r="G3641" s="11"/>
      <c r="H3641" s="5"/>
      <c r="I3641" s="11"/>
      <c r="J3641" s="20"/>
      <c r="K36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2" spans="1:11" x14ac:dyDescent="0.25">
      <c r="A3642" s="11"/>
      <c r="B3642" s="11" t="s">
        <v>443</v>
      </c>
      <c r="C3642" s="5" t="s">
        <v>21</v>
      </c>
      <c r="D3642">
        <v>400</v>
      </c>
      <c r="E3642">
        <v>4</v>
      </c>
      <c r="F3642">
        <v>25</v>
      </c>
      <c r="G3642" s="11">
        <v>1</v>
      </c>
      <c r="H3642" s="5">
        <v>0.04</v>
      </c>
      <c r="I3642" s="11">
        <v>396000</v>
      </c>
      <c r="J3642" s="20">
        <v>396000</v>
      </c>
      <c r="K36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3" spans="1:11" hidden="1" x14ac:dyDescent="0.25">
      <c r="A3643" s="11"/>
      <c r="B3643" s="11"/>
      <c r="C3643" s="5"/>
      <c r="G3643" s="11"/>
      <c r="H3643" s="5"/>
      <c r="I3643" s="11"/>
      <c r="J3643" s="20"/>
      <c r="K36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4" spans="1:11" x14ac:dyDescent="0.25">
      <c r="A3644" s="11"/>
      <c r="B3644" s="11" t="s">
        <v>435</v>
      </c>
      <c r="C3644" s="5" t="s">
        <v>11</v>
      </c>
      <c r="D3644">
        <v>400</v>
      </c>
      <c r="E3644">
        <v>6</v>
      </c>
      <c r="F3644">
        <v>12</v>
      </c>
      <c r="G3644" s="11">
        <v>4</v>
      </c>
      <c r="H3644" s="5">
        <v>0.1152</v>
      </c>
      <c r="I3644" s="11">
        <v>267840</v>
      </c>
      <c r="J3644" s="20">
        <v>1071360</v>
      </c>
      <c r="K36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45" spans="1:11" hidden="1" x14ac:dyDescent="0.25">
      <c r="A3645" s="11"/>
      <c r="B3645" s="11"/>
      <c r="C3645" s="5"/>
      <c r="G3645" s="11"/>
      <c r="H3645" s="5"/>
      <c r="I3645" s="11"/>
      <c r="J3645" s="20"/>
      <c r="K36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6" spans="1:11" x14ac:dyDescent="0.25">
      <c r="A3646" s="11"/>
      <c r="B3646" s="11" t="s">
        <v>523</v>
      </c>
      <c r="C3646" s="5" t="s">
        <v>133</v>
      </c>
      <c r="D3646">
        <v>500</v>
      </c>
      <c r="E3646">
        <v>4</v>
      </c>
      <c r="F3646">
        <v>20</v>
      </c>
      <c r="G3646" s="11">
        <v>1</v>
      </c>
      <c r="H3646" s="5">
        <v>0.04</v>
      </c>
      <c r="I3646" s="11">
        <v>392000</v>
      </c>
      <c r="J3646" s="20">
        <v>392000</v>
      </c>
      <c r="K36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7" spans="1:11" hidden="1" x14ac:dyDescent="0.25">
      <c r="A3647" s="11"/>
      <c r="B3647" s="11"/>
      <c r="C3647" s="5"/>
      <c r="G3647" s="11"/>
      <c r="H3647" s="5"/>
      <c r="I3647" s="11"/>
      <c r="J3647" s="20"/>
      <c r="K36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8" spans="1:11" hidden="1" x14ac:dyDescent="0.25">
      <c r="A3648" s="11"/>
      <c r="B3648" s="11"/>
      <c r="C3648" s="5"/>
      <c r="G3648" s="11"/>
      <c r="H3648" s="5"/>
      <c r="I3648" s="11"/>
      <c r="J3648" s="20"/>
      <c r="K36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49" spans="1:11" x14ac:dyDescent="0.25">
      <c r="A3649" s="11" t="s">
        <v>364</v>
      </c>
      <c r="B3649" s="11" t="s">
        <v>518</v>
      </c>
      <c r="C3649" s="5" t="s">
        <v>123</v>
      </c>
      <c r="D3649">
        <v>400</v>
      </c>
      <c r="E3649">
        <v>5</v>
      </c>
      <c r="F3649">
        <v>10</v>
      </c>
      <c r="G3649" s="11">
        <v>1</v>
      </c>
      <c r="H3649" s="5">
        <v>0.02</v>
      </c>
      <c r="I3649" s="11">
        <v>404000</v>
      </c>
      <c r="J3649" s="20">
        <v>404000</v>
      </c>
      <c r="K36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50" spans="1:11" hidden="1" x14ac:dyDescent="0.25">
      <c r="A3650" s="11"/>
      <c r="B3650" s="11"/>
      <c r="C3650" s="5"/>
      <c r="G3650" s="11"/>
      <c r="H3650" s="5"/>
      <c r="I3650" s="11"/>
      <c r="J3650" s="20"/>
      <c r="K36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1" spans="1:11" hidden="1" x14ac:dyDescent="0.25">
      <c r="A3651" s="11"/>
      <c r="B3651" s="11"/>
      <c r="C3651" s="5"/>
      <c r="G3651" s="11"/>
      <c r="H3651" s="5"/>
      <c r="I3651" s="11"/>
      <c r="J3651" s="20"/>
      <c r="K36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2" spans="1:11" x14ac:dyDescent="0.25">
      <c r="A3652" s="11" t="s">
        <v>365</v>
      </c>
      <c r="B3652" s="11" t="s">
        <v>502</v>
      </c>
      <c r="C3652" s="5" t="s">
        <v>98</v>
      </c>
      <c r="D3652">
        <v>400</v>
      </c>
      <c r="E3652">
        <v>5</v>
      </c>
      <c r="F3652">
        <v>15</v>
      </c>
      <c r="G3652" s="11">
        <v>1</v>
      </c>
      <c r="H3652" s="5">
        <v>0.03</v>
      </c>
      <c r="I3652" s="11">
        <v>291000</v>
      </c>
      <c r="J3652" s="20">
        <v>291000</v>
      </c>
      <c r="K36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53" spans="1:11" hidden="1" x14ac:dyDescent="0.25">
      <c r="A3653" s="11"/>
      <c r="B3653" s="11"/>
      <c r="C3653" s="5"/>
      <c r="G3653" s="11"/>
      <c r="H3653" s="5"/>
      <c r="I3653" s="11"/>
      <c r="J3653" s="20"/>
      <c r="K36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4" spans="1:11" hidden="1" x14ac:dyDescent="0.25">
      <c r="A3654" s="11"/>
      <c r="B3654" s="11"/>
      <c r="C3654" s="5"/>
      <c r="G3654" s="11"/>
      <c r="H3654" s="5"/>
      <c r="I3654" s="11"/>
      <c r="J3654" s="20"/>
      <c r="K36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5" spans="1:11" x14ac:dyDescent="0.25">
      <c r="A3655" s="11" t="s">
        <v>365</v>
      </c>
      <c r="B3655" s="11" t="s">
        <v>439</v>
      </c>
      <c r="C3655" s="5" t="s">
        <v>16</v>
      </c>
      <c r="D3655">
        <v>400</v>
      </c>
      <c r="E3655">
        <v>3</v>
      </c>
      <c r="F3655">
        <v>30</v>
      </c>
      <c r="G3655" s="11">
        <v>8</v>
      </c>
      <c r="H3655" s="5">
        <v>0.28799999999999998</v>
      </c>
      <c r="I3655" s="11">
        <v>363600</v>
      </c>
      <c r="J3655" s="20">
        <v>2908800</v>
      </c>
      <c r="K36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6" spans="1:11" hidden="1" x14ac:dyDescent="0.25">
      <c r="A3656" s="11"/>
      <c r="B3656" s="11"/>
      <c r="C3656" s="5"/>
      <c r="G3656" s="11"/>
      <c r="H3656" s="5"/>
      <c r="I3656" s="11"/>
      <c r="J3656" s="20"/>
      <c r="K36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7" spans="1:11" x14ac:dyDescent="0.25">
      <c r="A3657" s="11"/>
      <c r="B3657" s="11" t="s">
        <v>433</v>
      </c>
      <c r="C3657" s="5" t="s">
        <v>9</v>
      </c>
      <c r="D3657">
        <v>400</v>
      </c>
      <c r="E3657">
        <v>4</v>
      </c>
      <c r="F3657">
        <v>20</v>
      </c>
      <c r="G3657" s="11">
        <v>12</v>
      </c>
      <c r="H3657" s="5">
        <v>0.38400000000000001</v>
      </c>
      <c r="I3657" s="11">
        <v>313600</v>
      </c>
      <c r="J3657" s="20">
        <v>3763200</v>
      </c>
      <c r="K36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8" spans="1:11" hidden="1" x14ac:dyDescent="0.25">
      <c r="A3658" s="11"/>
      <c r="B3658" s="11"/>
      <c r="C3658" s="5"/>
      <c r="G3658" s="11"/>
      <c r="H3658" s="5"/>
      <c r="I3658" s="11"/>
      <c r="J3658" s="20"/>
      <c r="K36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59" spans="1:11" hidden="1" x14ac:dyDescent="0.25">
      <c r="A3659" s="11"/>
      <c r="B3659" s="11"/>
      <c r="C3659" s="5"/>
      <c r="G3659" s="11"/>
      <c r="H3659" s="5"/>
      <c r="I3659" s="11"/>
      <c r="J3659" s="20"/>
      <c r="K36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0" spans="1:11" x14ac:dyDescent="0.25">
      <c r="A3660" s="11" t="s">
        <v>365</v>
      </c>
      <c r="B3660" s="11" t="s">
        <v>553</v>
      </c>
      <c r="C3660" s="5" t="s">
        <v>194</v>
      </c>
      <c r="D3660">
        <v>400</v>
      </c>
      <c r="E3660">
        <v>3</v>
      </c>
      <c r="F3660">
        <v>30</v>
      </c>
      <c r="G3660" s="11">
        <v>6</v>
      </c>
      <c r="H3660" s="5">
        <v>0.216</v>
      </c>
      <c r="I3660" s="11">
        <v>307800</v>
      </c>
      <c r="J3660" s="20">
        <v>1846800</v>
      </c>
      <c r="K36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1" spans="1:11" hidden="1" x14ac:dyDescent="0.25">
      <c r="A3661" s="11"/>
      <c r="B3661" s="11"/>
      <c r="C3661" s="5"/>
      <c r="G3661" s="11"/>
      <c r="H3661" s="5"/>
      <c r="I3661" s="11"/>
      <c r="J3661" s="20"/>
      <c r="K36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2" spans="1:11" x14ac:dyDescent="0.25">
      <c r="A3662" s="11"/>
      <c r="B3662" s="11" t="s">
        <v>564</v>
      </c>
      <c r="C3662" s="5" t="s">
        <v>233</v>
      </c>
      <c r="D3662">
        <v>400</v>
      </c>
      <c r="E3662">
        <v>4</v>
      </c>
      <c r="F3662">
        <v>25</v>
      </c>
      <c r="G3662" s="11">
        <v>6</v>
      </c>
      <c r="H3662" s="5">
        <v>0.24</v>
      </c>
      <c r="I3662" s="11">
        <v>322000</v>
      </c>
      <c r="J3662" s="20">
        <v>1932000</v>
      </c>
      <c r="K36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3" spans="1:11" hidden="1" x14ac:dyDescent="0.25">
      <c r="A3663" s="11"/>
      <c r="B3663" s="11"/>
      <c r="C3663" s="5"/>
      <c r="G3663" s="11"/>
      <c r="H3663" s="5"/>
      <c r="I3663" s="11"/>
      <c r="J3663" s="20"/>
      <c r="K36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4" spans="1:11" hidden="1" x14ac:dyDescent="0.25">
      <c r="A3664" s="11"/>
      <c r="B3664" s="11"/>
      <c r="C3664" s="5"/>
      <c r="G3664" s="11"/>
      <c r="H3664" s="5"/>
      <c r="I3664" s="11"/>
      <c r="J3664" s="20"/>
      <c r="K36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5" spans="1:11" x14ac:dyDescent="0.25">
      <c r="A3665" s="11" t="s">
        <v>366</v>
      </c>
      <c r="B3665" s="11" t="s">
        <v>434</v>
      </c>
      <c r="C3665" s="5" t="s">
        <v>10</v>
      </c>
      <c r="D3665">
        <v>400</v>
      </c>
      <c r="E3665">
        <v>4</v>
      </c>
      <c r="F3665">
        <v>30</v>
      </c>
      <c r="G3665" s="11">
        <v>1</v>
      </c>
      <c r="H3665" s="5">
        <v>4.8000000000000001E-2</v>
      </c>
      <c r="I3665" s="11">
        <v>484800</v>
      </c>
      <c r="J3665" s="20">
        <v>484800</v>
      </c>
      <c r="K36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6" spans="1:11" hidden="1" x14ac:dyDescent="0.25">
      <c r="A3666" s="11"/>
      <c r="B3666" s="11"/>
      <c r="C3666" s="5"/>
      <c r="G3666" s="11"/>
      <c r="H3666" s="5"/>
      <c r="I3666" s="11"/>
      <c r="J3666" s="20"/>
      <c r="K36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7" spans="1:11" x14ac:dyDescent="0.25">
      <c r="A3667" s="11"/>
      <c r="B3667" s="11" t="s">
        <v>463</v>
      </c>
      <c r="C3667" s="5" t="s">
        <v>45</v>
      </c>
      <c r="D3667">
        <v>500</v>
      </c>
      <c r="E3667">
        <v>4</v>
      </c>
      <c r="F3667">
        <v>30</v>
      </c>
      <c r="G3667" s="11">
        <v>8</v>
      </c>
      <c r="H3667" s="5">
        <v>0.48</v>
      </c>
      <c r="I3667" s="11">
        <v>606000</v>
      </c>
      <c r="J3667" s="20">
        <v>4848000</v>
      </c>
      <c r="K36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8" spans="1:11" hidden="1" x14ac:dyDescent="0.25">
      <c r="A3668" s="11"/>
      <c r="B3668" s="11"/>
      <c r="C3668" s="5"/>
      <c r="G3668" s="11"/>
      <c r="H3668" s="5"/>
      <c r="I3668" s="11"/>
      <c r="J3668" s="20"/>
      <c r="K36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69" spans="1:11" hidden="1" x14ac:dyDescent="0.25">
      <c r="A3669" s="11"/>
      <c r="B3669" s="11"/>
      <c r="C3669" s="5"/>
      <c r="G3669" s="11"/>
      <c r="H3669" s="5"/>
      <c r="I3669" s="11"/>
      <c r="J3669" s="20"/>
      <c r="K36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0" spans="1:11" x14ac:dyDescent="0.25">
      <c r="A3670" s="11" t="s">
        <v>366</v>
      </c>
      <c r="B3670" s="11" t="s">
        <v>476</v>
      </c>
      <c r="C3670" s="5" t="s">
        <v>62</v>
      </c>
      <c r="D3670">
        <v>400</v>
      </c>
      <c r="E3670">
        <v>3</v>
      </c>
      <c r="F3670">
        <v>20</v>
      </c>
      <c r="G3670" s="11">
        <v>22</v>
      </c>
      <c r="H3670" s="5">
        <v>0.52800000000000002</v>
      </c>
      <c r="I3670" s="11">
        <v>223200</v>
      </c>
      <c r="J3670" s="20">
        <v>4910400</v>
      </c>
      <c r="K36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1" spans="1:11" hidden="1" x14ac:dyDescent="0.25">
      <c r="A3671" s="11"/>
      <c r="B3671" s="11"/>
      <c r="C3671" s="5"/>
      <c r="G3671" s="11"/>
      <c r="H3671" s="5"/>
      <c r="I3671" s="11"/>
      <c r="J3671" s="20"/>
      <c r="K36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2" spans="1:11" hidden="1" x14ac:dyDescent="0.25">
      <c r="A3672" s="11"/>
      <c r="B3672" s="11"/>
      <c r="C3672" s="5"/>
      <c r="G3672" s="11"/>
      <c r="H3672" s="5"/>
      <c r="I3672" s="11"/>
      <c r="J3672" s="20"/>
      <c r="K36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3" spans="1:11" x14ac:dyDescent="0.25">
      <c r="A3673" s="11" t="s">
        <v>366</v>
      </c>
      <c r="B3673" s="11" t="s">
        <v>433</v>
      </c>
      <c r="C3673" s="5" t="s">
        <v>9</v>
      </c>
      <c r="D3673">
        <v>400</v>
      </c>
      <c r="E3673">
        <v>4</v>
      </c>
      <c r="F3673">
        <v>20</v>
      </c>
      <c r="G3673" s="11">
        <v>3</v>
      </c>
      <c r="H3673" s="5">
        <v>9.6000000000000002E-2</v>
      </c>
      <c r="I3673" s="11">
        <v>313600</v>
      </c>
      <c r="J3673" s="20">
        <v>940800</v>
      </c>
      <c r="K36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4" spans="1:11" hidden="1" x14ac:dyDescent="0.25">
      <c r="A3674" s="11"/>
      <c r="B3674" s="11"/>
      <c r="C3674" s="5"/>
      <c r="G3674" s="11"/>
      <c r="H3674" s="5"/>
      <c r="I3674" s="11"/>
      <c r="J3674" s="20"/>
      <c r="K36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5" spans="1:11" x14ac:dyDescent="0.25">
      <c r="A3675" s="11"/>
      <c r="B3675" s="11" t="s">
        <v>443</v>
      </c>
      <c r="C3675" s="5" t="s">
        <v>21</v>
      </c>
      <c r="D3675">
        <v>400</v>
      </c>
      <c r="E3675">
        <v>4</v>
      </c>
      <c r="F3675">
        <v>25</v>
      </c>
      <c r="G3675" s="11">
        <v>3</v>
      </c>
      <c r="H3675" s="5">
        <v>0.12</v>
      </c>
      <c r="I3675" s="11">
        <v>396000</v>
      </c>
      <c r="J3675" s="20">
        <v>1188000</v>
      </c>
      <c r="K36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6" spans="1:11" hidden="1" x14ac:dyDescent="0.25">
      <c r="A3676" s="11"/>
      <c r="B3676" s="11"/>
      <c r="C3676" s="5"/>
      <c r="G3676" s="11"/>
      <c r="H3676" s="5"/>
      <c r="I3676" s="11"/>
      <c r="J3676" s="20"/>
      <c r="K36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7" spans="1:11" x14ac:dyDescent="0.25">
      <c r="A3677" s="11"/>
      <c r="B3677" s="11" t="s">
        <v>434</v>
      </c>
      <c r="C3677" s="5" t="s">
        <v>10</v>
      </c>
      <c r="D3677">
        <v>400</v>
      </c>
      <c r="E3677">
        <v>4</v>
      </c>
      <c r="F3677">
        <v>30</v>
      </c>
      <c r="G3677" s="11">
        <v>1</v>
      </c>
      <c r="H3677" s="5">
        <v>4.8000000000000001E-2</v>
      </c>
      <c r="I3677" s="11">
        <v>484800</v>
      </c>
      <c r="J3677" s="20">
        <v>484800</v>
      </c>
      <c r="K36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8" spans="1:11" hidden="1" x14ac:dyDescent="0.25">
      <c r="A3678" s="11"/>
      <c r="B3678" s="11"/>
      <c r="C3678" s="5"/>
      <c r="G3678" s="11"/>
      <c r="H3678" s="5"/>
      <c r="I3678" s="11"/>
      <c r="J3678" s="20"/>
      <c r="K36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79" spans="1:11" x14ac:dyDescent="0.25">
      <c r="A3679" s="11"/>
      <c r="B3679" s="11" t="s">
        <v>502</v>
      </c>
      <c r="C3679" s="5" t="s">
        <v>98</v>
      </c>
      <c r="D3679">
        <v>400</v>
      </c>
      <c r="E3679">
        <v>5</v>
      </c>
      <c r="F3679">
        <v>15</v>
      </c>
      <c r="G3679" s="11">
        <v>1</v>
      </c>
      <c r="H3679" s="5">
        <v>0.03</v>
      </c>
      <c r="I3679" s="11">
        <v>291000</v>
      </c>
      <c r="J3679" s="20">
        <v>291000</v>
      </c>
      <c r="K36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80" spans="1:11" hidden="1" x14ac:dyDescent="0.25">
      <c r="A3680" s="11"/>
      <c r="B3680" s="11"/>
      <c r="C3680" s="5"/>
      <c r="G3680" s="11"/>
      <c r="H3680" s="5"/>
      <c r="I3680" s="11"/>
      <c r="J3680" s="20"/>
      <c r="K36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1" spans="1:11" hidden="1" x14ac:dyDescent="0.25">
      <c r="A3681" s="11"/>
      <c r="B3681" s="11"/>
      <c r="C3681" s="5"/>
      <c r="G3681" s="11"/>
      <c r="H3681" s="5"/>
      <c r="I3681" s="11"/>
      <c r="J3681" s="20"/>
      <c r="K36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2" spans="1:11" x14ac:dyDescent="0.25">
      <c r="A3682" s="11" t="s">
        <v>366</v>
      </c>
      <c r="B3682" s="11" t="s">
        <v>560</v>
      </c>
      <c r="C3682" s="5" t="s">
        <v>214</v>
      </c>
      <c r="D3682">
        <v>400</v>
      </c>
      <c r="E3682">
        <v>3</v>
      </c>
      <c r="F3682">
        <v>25</v>
      </c>
      <c r="G3682" s="11">
        <v>2</v>
      </c>
      <c r="H3682" s="5">
        <v>0.06</v>
      </c>
      <c r="I3682" s="11">
        <v>234000</v>
      </c>
      <c r="J3682" s="20">
        <v>468000</v>
      </c>
      <c r="K36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3" spans="1:11" hidden="1" x14ac:dyDescent="0.25">
      <c r="A3683" s="11"/>
      <c r="B3683" s="11"/>
      <c r="C3683" s="5"/>
      <c r="G3683" s="11"/>
      <c r="H3683" s="5"/>
      <c r="I3683" s="11"/>
      <c r="J3683" s="20"/>
      <c r="K36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4" spans="1:11" hidden="1" x14ac:dyDescent="0.25">
      <c r="A3684" s="11"/>
      <c r="B3684" s="11"/>
      <c r="C3684" s="5"/>
      <c r="G3684" s="11"/>
      <c r="H3684" s="5"/>
      <c r="I3684" s="11"/>
      <c r="J3684" s="20"/>
      <c r="K36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5" spans="1:11" x14ac:dyDescent="0.25">
      <c r="A3685" s="11" t="s">
        <v>366</v>
      </c>
      <c r="B3685" s="11" t="s">
        <v>593</v>
      </c>
      <c r="C3685" s="5" t="s">
        <v>367</v>
      </c>
      <c r="D3685">
        <v>400</v>
      </c>
      <c r="E3685">
        <v>4</v>
      </c>
      <c r="F3685">
        <v>30</v>
      </c>
      <c r="G3685" s="11">
        <v>1</v>
      </c>
      <c r="H3685" s="5">
        <v>4.8000000000000001E-2</v>
      </c>
      <c r="I3685" s="11">
        <v>398400</v>
      </c>
      <c r="J3685" s="20">
        <v>398400</v>
      </c>
      <c r="K36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6" spans="1:11" hidden="1" x14ac:dyDescent="0.25">
      <c r="A3686" s="11"/>
      <c r="B3686" s="11"/>
      <c r="C3686" s="5"/>
      <c r="G3686" s="11"/>
      <c r="H3686" s="5"/>
      <c r="I3686" s="11"/>
      <c r="J3686" s="20"/>
      <c r="K36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7" spans="1:11" hidden="1" x14ac:dyDescent="0.25">
      <c r="A3687" s="11"/>
      <c r="B3687" s="11"/>
      <c r="C3687" s="5"/>
      <c r="G3687" s="11"/>
      <c r="H3687" s="5"/>
      <c r="I3687" s="11"/>
      <c r="J3687" s="20"/>
      <c r="K36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88" spans="1:11" x14ac:dyDescent="0.25">
      <c r="A3688" s="11" t="s">
        <v>366</v>
      </c>
      <c r="B3688" s="11" t="s">
        <v>505</v>
      </c>
      <c r="C3688" s="5" t="s">
        <v>101</v>
      </c>
      <c r="D3688">
        <v>500</v>
      </c>
      <c r="E3688">
        <v>6</v>
      </c>
      <c r="F3688">
        <v>12</v>
      </c>
      <c r="G3688" s="11">
        <v>1</v>
      </c>
      <c r="H3688" s="5">
        <v>3.5999999999999997E-2</v>
      </c>
      <c r="I3688" s="11">
        <v>741600</v>
      </c>
      <c r="J3688" s="20">
        <v>741600</v>
      </c>
      <c r="K36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89" spans="1:11" hidden="1" x14ac:dyDescent="0.25">
      <c r="A3689" s="11"/>
      <c r="B3689" s="11"/>
      <c r="C3689" s="5"/>
      <c r="G3689" s="11"/>
      <c r="H3689" s="5"/>
      <c r="I3689" s="11"/>
      <c r="J3689" s="20"/>
      <c r="K36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0" spans="1:11" x14ac:dyDescent="0.25">
      <c r="A3690" s="11"/>
      <c r="B3690" s="11" t="s">
        <v>541</v>
      </c>
      <c r="C3690" s="5" t="s">
        <v>167</v>
      </c>
      <c r="D3690">
        <v>110</v>
      </c>
      <c r="E3690">
        <v>6</v>
      </c>
      <c r="F3690">
        <v>15</v>
      </c>
      <c r="G3690" s="11">
        <v>1</v>
      </c>
      <c r="H3690" s="5">
        <v>9.9000000000000008E-3</v>
      </c>
      <c r="I3690" s="11">
        <v>180180</v>
      </c>
      <c r="J3690" s="20">
        <v>180180</v>
      </c>
      <c r="K36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691" spans="1:11" hidden="1" x14ac:dyDescent="0.25">
      <c r="A3691" s="11"/>
      <c r="B3691" s="11"/>
      <c r="C3691" s="5"/>
      <c r="G3691" s="11"/>
      <c r="H3691" s="5"/>
      <c r="I3691" s="11"/>
      <c r="J3691" s="20"/>
      <c r="K36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2" spans="1:11" hidden="1" x14ac:dyDescent="0.25">
      <c r="A3692" s="11"/>
      <c r="B3692" s="11"/>
      <c r="C3692" s="5"/>
      <c r="G3692" s="11"/>
      <c r="H3692" s="5"/>
      <c r="I3692" s="11"/>
      <c r="J3692" s="20"/>
      <c r="K36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3" spans="1:11" x14ac:dyDescent="0.25">
      <c r="A3693" s="11" t="s">
        <v>366</v>
      </c>
      <c r="B3693" s="11" t="s">
        <v>438</v>
      </c>
      <c r="C3693" s="5" t="s">
        <v>15</v>
      </c>
      <c r="D3693">
        <v>400</v>
      </c>
      <c r="E3693">
        <v>3</v>
      </c>
      <c r="F3693">
        <v>25</v>
      </c>
      <c r="G3693" s="11">
        <v>2</v>
      </c>
      <c r="H3693" s="5">
        <v>0.06</v>
      </c>
      <c r="I3693" s="11">
        <v>297000</v>
      </c>
      <c r="J3693" s="20">
        <v>594000</v>
      </c>
      <c r="K36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4" spans="1:11" hidden="1" x14ac:dyDescent="0.25">
      <c r="A3694" s="11"/>
      <c r="B3694" s="11"/>
      <c r="C3694" s="5"/>
      <c r="G3694" s="11"/>
      <c r="H3694" s="5"/>
      <c r="I3694" s="11"/>
      <c r="J3694" s="20"/>
      <c r="K36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5" spans="1:11" x14ac:dyDescent="0.25">
      <c r="A3695" s="11"/>
      <c r="B3695" s="11" t="s">
        <v>434</v>
      </c>
      <c r="C3695" s="5" t="s">
        <v>10</v>
      </c>
      <c r="D3695">
        <v>400</v>
      </c>
      <c r="E3695">
        <v>4</v>
      </c>
      <c r="F3695">
        <v>30</v>
      </c>
      <c r="G3695" s="11">
        <v>1</v>
      </c>
      <c r="H3695" s="5">
        <v>4.8000000000000001E-2</v>
      </c>
      <c r="I3695" s="11">
        <v>484800</v>
      </c>
      <c r="J3695" s="20">
        <v>484800</v>
      </c>
      <c r="K36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6" spans="1:11" hidden="1" x14ac:dyDescent="0.25">
      <c r="A3696" s="11"/>
      <c r="B3696" s="11"/>
      <c r="C3696" s="5"/>
      <c r="G3696" s="11"/>
      <c r="H3696" s="5"/>
      <c r="I3696" s="11"/>
      <c r="J3696" s="20"/>
      <c r="K36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7" spans="1:11" hidden="1" x14ac:dyDescent="0.25">
      <c r="A3697" s="11"/>
      <c r="B3697" s="11"/>
      <c r="C3697" s="5"/>
      <c r="G3697" s="11"/>
      <c r="H3697" s="5"/>
      <c r="I3697" s="11"/>
      <c r="J3697" s="20"/>
      <c r="K36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8" spans="1:11" x14ac:dyDescent="0.25">
      <c r="A3698" s="11" t="s">
        <v>366</v>
      </c>
      <c r="B3698" s="11" t="s">
        <v>566</v>
      </c>
      <c r="C3698" s="5" t="s">
        <v>248</v>
      </c>
      <c r="D3698">
        <v>500</v>
      </c>
      <c r="E3698">
        <v>3</v>
      </c>
      <c r="F3698">
        <v>30</v>
      </c>
      <c r="G3698" s="11">
        <v>2</v>
      </c>
      <c r="H3698" s="5">
        <v>0.09</v>
      </c>
      <c r="I3698" s="11">
        <v>454500</v>
      </c>
      <c r="J3698" s="20">
        <v>909000</v>
      </c>
      <c r="K36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699" spans="1:11" hidden="1" x14ac:dyDescent="0.25">
      <c r="A3699" s="11"/>
      <c r="B3699" s="11"/>
      <c r="C3699" s="5"/>
      <c r="G3699" s="11"/>
      <c r="H3699" s="5"/>
      <c r="I3699" s="11"/>
      <c r="J3699" s="20"/>
      <c r="K36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0" spans="1:11" hidden="1" x14ac:dyDescent="0.25">
      <c r="A3700" s="11"/>
      <c r="B3700" s="11"/>
      <c r="C3700" s="5"/>
      <c r="G3700" s="11"/>
      <c r="H3700" s="5"/>
      <c r="I3700" s="11"/>
      <c r="J3700" s="20"/>
      <c r="K37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1" spans="1:11" x14ac:dyDescent="0.25">
      <c r="A3701" s="11" t="s">
        <v>368</v>
      </c>
      <c r="B3701" s="11" t="s">
        <v>439</v>
      </c>
      <c r="C3701" s="5" t="s">
        <v>16</v>
      </c>
      <c r="D3701">
        <v>400</v>
      </c>
      <c r="E3701">
        <v>3</v>
      </c>
      <c r="F3701">
        <v>30</v>
      </c>
      <c r="G3701" s="11">
        <v>2</v>
      </c>
      <c r="H3701" s="5">
        <v>7.1999999999999995E-2</v>
      </c>
      <c r="I3701" s="11">
        <v>374400</v>
      </c>
      <c r="J3701" s="20">
        <v>748800</v>
      </c>
      <c r="K37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2" spans="1:11" hidden="1" x14ac:dyDescent="0.25">
      <c r="A3702" s="11"/>
      <c r="B3702" s="11"/>
      <c r="C3702" s="5"/>
      <c r="G3702" s="11"/>
      <c r="H3702" s="5"/>
      <c r="I3702" s="11"/>
      <c r="J3702" s="20"/>
      <c r="K37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3" spans="1:11" x14ac:dyDescent="0.25">
      <c r="A3703" s="11"/>
      <c r="B3703" s="11" t="s">
        <v>433</v>
      </c>
      <c r="C3703" s="5" t="s">
        <v>9</v>
      </c>
      <c r="D3703">
        <v>400</v>
      </c>
      <c r="E3703">
        <v>4</v>
      </c>
      <c r="F3703">
        <v>20</v>
      </c>
      <c r="G3703" s="11">
        <v>4</v>
      </c>
      <c r="H3703" s="5">
        <v>0.128</v>
      </c>
      <c r="I3703" s="11">
        <v>323200</v>
      </c>
      <c r="J3703" s="20">
        <v>1292800</v>
      </c>
      <c r="K37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4" spans="1:11" hidden="1" x14ac:dyDescent="0.25">
      <c r="A3704" s="11"/>
      <c r="B3704" s="11"/>
      <c r="C3704" s="5"/>
      <c r="G3704" s="11"/>
      <c r="H3704" s="5"/>
      <c r="I3704" s="11"/>
      <c r="J3704" s="20"/>
      <c r="K37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5" spans="1:11" x14ac:dyDescent="0.25">
      <c r="A3705" s="11"/>
      <c r="B3705" s="11" t="s">
        <v>443</v>
      </c>
      <c r="C3705" s="5" t="s">
        <v>21</v>
      </c>
      <c r="D3705">
        <v>400</v>
      </c>
      <c r="E3705">
        <v>4</v>
      </c>
      <c r="F3705">
        <v>25</v>
      </c>
      <c r="G3705" s="11">
        <v>2</v>
      </c>
      <c r="H3705" s="5">
        <v>0.08</v>
      </c>
      <c r="I3705" s="11">
        <v>408000</v>
      </c>
      <c r="J3705" s="20">
        <v>816000</v>
      </c>
      <c r="K37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6" spans="1:11" hidden="1" x14ac:dyDescent="0.25">
      <c r="A3706" s="11"/>
      <c r="B3706" s="11"/>
      <c r="C3706" s="5"/>
      <c r="G3706" s="11"/>
      <c r="H3706" s="5"/>
      <c r="I3706" s="11"/>
      <c r="J3706" s="20"/>
      <c r="K37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7" spans="1:11" hidden="1" x14ac:dyDescent="0.25">
      <c r="A3707" s="11"/>
      <c r="B3707" s="11"/>
      <c r="C3707" s="5"/>
      <c r="G3707" s="11"/>
      <c r="H3707" s="5"/>
      <c r="I3707" s="11"/>
      <c r="J3707" s="20"/>
      <c r="K37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08" spans="1:11" x14ac:dyDescent="0.25">
      <c r="A3708" s="11" t="s">
        <v>368</v>
      </c>
      <c r="B3708" s="11" t="s">
        <v>491</v>
      </c>
      <c r="C3708" s="5" t="s">
        <v>83</v>
      </c>
      <c r="D3708">
        <v>450</v>
      </c>
      <c r="E3708">
        <v>6</v>
      </c>
      <c r="F3708">
        <v>15</v>
      </c>
      <c r="G3708" s="11">
        <v>1</v>
      </c>
      <c r="H3708" s="5">
        <v>4.0500000000000001E-2</v>
      </c>
      <c r="I3708" s="11">
        <v>409050</v>
      </c>
      <c r="J3708" s="20">
        <v>409050</v>
      </c>
      <c r="K37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09" spans="1:11" hidden="1" x14ac:dyDescent="0.25">
      <c r="A3709" s="11"/>
      <c r="B3709" s="11"/>
      <c r="C3709" s="5"/>
      <c r="G3709" s="11"/>
      <c r="H3709" s="5"/>
      <c r="I3709" s="11"/>
      <c r="J3709" s="20"/>
      <c r="K37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0" spans="1:11" hidden="1" x14ac:dyDescent="0.25">
      <c r="A3710" s="11"/>
      <c r="B3710" s="11"/>
      <c r="C3710" s="5"/>
      <c r="G3710" s="11"/>
      <c r="H3710" s="5"/>
      <c r="I3710" s="11"/>
      <c r="J3710" s="20"/>
      <c r="K37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1" spans="1:11" x14ac:dyDescent="0.25">
      <c r="A3711" s="11" t="s">
        <v>368</v>
      </c>
      <c r="B3711" s="11" t="s">
        <v>463</v>
      </c>
      <c r="C3711" s="5" t="s">
        <v>45</v>
      </c>
      <c r="D3711">
        <v>500</v>
      </c>
      <c r="E3711">
        <v>4</v>
      </c>
      <c r="F3711">
        <v>30</v>
      </c>
      <c r="G3711" s="11">
        <v>3</v>
      </c>
      <c r="H3711" s="5">
        <v>0.18</v>
      </c>
      <c r="I3711" s="11">
        <v>624000</v>
      </c>
      <c r="J3711" s="20">
        <v>1872000</v>
      </c>
      <c r="K37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2" spans="1:11" hidden="1" x14ac:dyDescent="0.25">
      <c r="A3712" s="11"/>
      <c r="B3712" s="11"/>
      <c r="C3712" s="5"/>
      <c r="G3712" s="11"/>
      <c r="H3712" s="5"/>
      <c r="I3712" s="11"/>
      <c r="J3712" s="20"/>
      <c r="K37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3" spans="1:11" hidden="1" x14ac:dyDescent="0.25">
      <c r="A3713" s="11"/>
      <c r="B3713" s="11"/>
      <c r="C3713" s="5"/>
      <c r="G3713" s="11"/>
      <c r="H3713" s="5"/>
      <c r="I3713" s="11"/>
      <c r="J3713" s="20"/>
      <c r="K37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4" spans="1:11" x14ac:dyDescent="0.25">
      <c r="A3714" s="11" t="s">
        <v>369</v>
      </c>
      <c r="B3714" s="11" t="s">
        <v>507</v>
      </c>
      <c r="C3714" s="5" t="s">
        <v>104</v>
      </c>
      <c r="D3714">
        <v>400</v>
      </c>
      <c r="E3714">
        <v>4</v>
      </c>
      <c r="F3714">
        <v>25</v>
      </c>
      <c r="G3714" s="11">
        <v>2</v>
      </c>
      <c r="H3714" s="5">
        <v>0.08</v>
      </c>
      <c r="I3714" s="11">
        <v>876000</v>
      </c>
      <c r="J3714" s="20">
        <v>1752000</v>
      </c>
      <c r="K37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5" spans="1:11" hidden="1" x14ac:dyDescent="0.25">
      <c r="A3715" s="11"/>
      <c r="B3715" s="11"/>
      <c r="C3715" s="5"/>
      <c r="G3715" s="11"/>
      <c r="H3715" s="5"/>
      <c r="I3715" s="11"/>
      <c r="J3715" s="20"/>
      <c r="K37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6" spans="1:11" x14ac:dyDescent="0.25">
      <c r="A3716" s="11"/>
      <c r="B3716" s="11" t="s">
        <v>517</v>
      </c>
      <c r="C3716" s="5" t="s">
        <v>122</v>
      </c>
      <c r="D3716">
        <v>400</v>
      </c>
      <c r="E3716">
        <v>6</v>
      </c>
      <c r="F3716">
        <v>15</v>
      </c>
      <c r="G3716" s="11">
        <v>4</v>
      </c>
      <c r="H3716" s="5">
        <v>0.14399999999999999</v>
      </c>
      <c r="I3716" s="11">
        <v>723600</v>
      </c>
      <c r="J3716" s="20">
        <v>2894400</v>
      </c>
      <c r="K37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17" spans="1:11" hidden="1" x14ac:dyDescent="0.25">
      <c r="A3717" s="11"/>
      <c r="B3717" s="11"/>
      <c r="C3717" s="5"/>
      <c r="G3717" s="11"/>
      <c r="H3717" s="5"/>
      <c r="I3717" s="11"/>
      <c r="J3717" s="20"/>
      <c r="K37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8" spans="1:11" hidden="1" x14ac:dyDescent="0.25">
      <c r="A3718" s="11"/>
      <c r="B3718" s="11"/>
      <c r="C3718" s="5"/>
      <c r="G3718" s="11"/>
      <c r="H3718" s="5"/>
      <c r="I3718" s="11"/>
      <c r="J3718" s="20"/>
      <c r="K37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19" spans="1:11" x14ac:dyDescent="0.25">
      <c r="A3719" s="11" t="s">
        <v>369</v>
      </c>
      <c r="B3719" s="11" t="s">
        <v>456</v>
      </c>
      <c r="C3719" s="5" t="s">
        <v>37</v>
      </c>
      <c r="D3719">
        <v>250</v>
      </c>
      <c r="E3719">
        <v>4</v>
      </c>
      <c r="F3719">
        <v>25</v>
      </c>
      <c r="G3719" s="11">
        <v>10</v>
      </c>
      <c r="H3719" s="5">
        <v>0.25</v>
      </c>
      <c r="I3719" s="11">
        <v>547500</v>
      </c>
      <c r="J3719" s="20">
        <v>5475000</v>
      </c>
      <c r="K37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0" spans="1:11" hidden="1" x14ac:dyDescent="0.25">
      <c r="A3720" s="11"/>
      <c r="B3720" s="11"/>
      <c r="C3720" s="5"/>
      <c r="G3720" s="11"/>
      <c r="H3720" s="5"/>
      <c r="I3720" s="11"/>
      <c r="J3720" s="20"/>
      <c r="K37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1" spans="1:11" x14ac:dyDescent="0.25">
      <c r="A3721" s="11"/>
      <c r="B3721" s="11" t="s">
        <v>504</v>
      </c>
      <c r="C3721" s="5" t="s">
        <v>100</v>
      </c>
      <c r="D3721">
        <v>250</v>
      </c>
      <c r="E3721">
        <v>6</v>
      </c>
      <c r="F3721">
        <v>15</v>
      </c>
      <c r="G3721" s="11">
        <v>4</v>
      </c>
      <c r="H3721" s="5">
        <v>0.09</v>
      </c>
      <c r="I3721" s="11">
        <v>463500</v>
      </c>
      <c r="J3721" s="20">
        <v>1854000</v>
      </c>
      <c r="K37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22" spans="1:11" hidden="1" x14ac:dyDescent="0.25">
      <c r="A3722" s="11"/>
      <c r="B3722" s="11"/>
      <c r="C3722" s="5"/>
      <c r="G3722" s="11"/>
      <c r="H3722" s="5"/>
      <c r="I3722" s="11"/>
      <c r="J3722" s="20"/>
      <c r="K37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3" spans="1:11" x14ac:dyDescent="0.25">
      <c r="A3723" s="11"/>
      <c r="B3723" s="11" t="s">
        <v>444</v>
      </c>
      <c r="C3723" s="5" t="s">
        <v>23</v>
      </c>
      <c r="D3723">
        <v>400</v>
      </c>
      <c r="E3723">
        <v>5</v>
      </c>
      <c r="F3723">
        <v>15</v>
      </c>
      <c r="G3723" s="11">
        <v>1</v>
      </c>
      <c r="H3723" s="5">
        <v>0.03</v>
      </c>
      <c r="I3723" s="11">
        <v>618000</v>
      </c>
      <c r="J3723" s="20">
        <v>618000</v>
      </c>
      <c r="K37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24" spans="1:11" hidden="1" x14ac:dyDescent="0.25">
      <c r="A3724" s="11"/>
      <c r="B3724" s="11"/>
      <c r="C3724" s="5"/>
      <c r="G3724" s="11"/>
      <c r="H3724" s="5"/>
      <c r="I3724" s="11"/>
      <c r="J3724" s="20"/>
      <c r="K37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5" spans="1:11" x14ac:dyDescent="0.25">
      <c r="A3725" s="11"/>
      <c r="B3725" s="11" t="s">
        <v>445</v>
      </c>
      <c r="C3725" s="5" t="s">
        <v>24</v>
      </c>
      <c r="D3725">
        <v>500</v>
      </c>
      <c r="E3725">
        <v>5</v>
      </c>
      <c r="F3725">
        <v>15</v>
      </c>
      <c r="G3725" s="11">
        <v>1</v>
      </c>
      <c r="H3725" s="5">
        <v>3.7499999999999999E-2</v>
      </c>
      <c r="I3725" s="11">
        <v>791250</v>
      </c>
      <c r="J3725" s="20">
        <v>791250</v>
      </c>
      <c r="K37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26" spans="1:11" hidden="1" x14ac:dyDescent="0.25">
      <c r="A3726" s="11"/>
      <c r="B3726" s="11"/>
      <c r="C3726" s="5"/>
      <c r="G3726" s="11"/>
      <c r="H3726" s="5"/>
      <c r="I3726" s="11"/>
      <c r="J3726" s="20"/>
      <c r="K37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7" spans="1:11" x14ac:dyDescent="0.25">
      <c r="A3727" s="11"/>
      <c r="B3727" s="11" t="s">
        <v>468</v>
      </c>
      <c r="C3727" s="5" t="s">
        <v>51</v>
      </c>
      <c r="D3727">
        <v>500</v>
      </c>
      <c r="E3727">
        <v>6</v>
      </c>
      <c r="F3727">
        <v>15</v>
      </c>
      <c r="G3727" s="11">
        <v>1</v>
      </c>
      <c r="H3727" s="5">
        <v>4.4999999999999998E-2</v>
      </c>
      <c r="I3727" s="11">
        <v>927000</v>
      </c>
      <c r="J3727" s="20">
        <v>927000</v>
      </c>
      <c r="K37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28" spans="1:11" hidden="1" x14ac:dyDescent="0.25">
      <c r="A3728" s="11"/>
      <c r="B3728" s="11"/>
      <c r="C3728" s="5"/>
      <c r="G3728" s="11"/>
      <c r="H3728" s="5"/>
      <c r="I3728" s="11"/>
      <c r="J3728" s="20"/>
      <c r="K37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29" spans="1:11" x14ac:dyDescent="0.25">
      <c r="A3729" s="11"/>
      <c r="B3729" s="11" t="s">
        <v>540</v>
      </c>
      <c r="C3729" s="5" t="s">
        <v>166</v>
      </c>
      <c r="D3729">
        <v>250</v>
      </c>
      <c r="E3729">
        <v>4</v>
      </c>
      <c r="F3729">
        <v>20</v>
      </c>
      <c r="G3729" s="11">
        <v>2</v>
      </c>
      <c r="H3729" s="5">
        <v>0.04</v>
      </c>
      <c r="I3729" s="11">
        <v>436000</v>
      </c>
      <c r="J3729" s="20">
        <v>872000</v>
      </c>
      <c r="K37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0" spans="1:11" hidden="1" x14ac:dyDescent="0.25">
      <c r="A3730" s="11"/>
      <c r="B3730" s="11"/>
      <c r="C3730" s="5"/>
      <c r="G3730" s="11"/>
      <c r="H3730" s="5"/>
      <c r="I3730" s="11"/>
      <c r="J3730" s="20"/>
      <c r="K37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1" spans="1:11" hidden="1" x14ac:dyDescent="0.25">
      <c r="A3731" s="11"/>
      <c r="B3731" s="11"/>
      <c r="C3731" s="5"/>
      <c r="G3731" s="11"/>
      <c r="H3731" s="5"/>
      <c r="I3731" s="11"/>
      <c r="J3731" s="20"/>
      <c r="K37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2" spans="1:11" x14ac:dyDescent="0.25">
      <c r="A3732" s="11" t="s">
        <v>369</v>
      </c>
      <c r="B3732" s="11" t="s">
        <v>506</v>
      </c>
      <c r="C3732" s="5" t="s">
        <v>103</v>
      </c>
      <c r="D3732">
        <v>400</v>
      </c>
      <c r="E3732">
        <v>3</v>
      </c>
      <c r="F3732">
        <v>30</v>
      </c>
      <c r="G3732" s="11">
        <v>2</v>
      </c>
      <c r="H3732" s="5">
        <v>7.1999999999999995E-2</v>
      </c>
      <c r="I3732" s="11">
        <v>806400</v>
      </c>
      <c r="J3732" s="20">
        <v>1612800</v>
      </c>
      <c r="K37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3" spans="1:11" hidden="1" x14ac:dyDescent="0.25">
      <c r="A3733" s="11"/>
      <c r="B3733" s="11"/>
      <c r="C3733" s="5"/>
      <c r="G3733" s="11"/>
      <c r="H3733" s="5"/>
      <c r="I3733" s="11"/>
      <c r="J3733" s="20"/>
      <c r="K37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4" spans="1:11" x14ac:dyDescent="0.25">
      <c r="A3734" s="11"/>
      <c r="B3734" s="11" t="s">
        <v>540</v>
      </c>
      <c r="C3734" s="5" t="s">
        <v>166</v>
      </c>
      <c r="D3734">
        <v>250</v>
      </c>
      <c r="E3734">
        <v>4</v>
      </c>
      <c r="F3734">
        <v>20</v>
      </c>
      <c r="G3734" s="11">
        <v>2</v>
      </c>
      <c r="H3734" s="5">
        <v>0.04</v>
      </c>
      <c r="I3734" s="11">
        <v>436000</v>
      </c>
      <c r="J3734" s="20">
        <v>872000</v>
      </c>
      <c r="K37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5" spans="1:11" hidden="1" x14ac:dyDescent="0.25">
      <c r="A3735" s="11"/>
      <c r="B3735" s="11"/>
      <c r="C3735" s="5"/>
      <c r="G3735" s="11"/>
      <c r="H3735" s="5"/>
      <c r="I3735" s="11"/>
      <c r="J3735" s="20"/>
      <c r="K37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6" spans="1:11" x14ac:dyDescent="0.25">
      <c r="A3736" s="11"/>
      <c r="B3736" s="11" t="s">
        <v>487</v>
      </c>
      <c r="C3736" s="5" t="s">
        <v>77</v>
      </c>
      <c r="D3736">
        <v>250</v>
      </c>
      <c r="E3736">
        <v>4</v>
      </c>
      <c r="F3736">
        <v>30</v>
      </c>
      <c r="G3736" s="11">
        <v>3</v>
      </c>
      <c r="H3736" s="5">
        <v>0.09</v>
      </c>
      <c r="I3736" s="11">
        <v>672000</v>
      </c>
      <c r="J3736" s="20">
        <v>2016000</v>
      </c>
      <c r="K37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7" spans="1:11" hidden="1" x14ac:dyDescent="0.25">
      <c r="A3737" s="11"/>
      <c r="B3737" s="11"/>
      <c r="C3737" s="5"/>
      <c r="G3737" s="11"/>
      <c r="H3737" s="5"/>
      <c r="I3737" s="11"/>
      <c r="J3737" s="20"/>
      <c r="K37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8" spans="1:11" x14ac:dyDescent="0.25">
      <c r="A3738" s="11"/>
      <c r="B3738" s="11" t="s">
        <v>488</v>
      </c>
      <c r="C3738" s="5" t="s">
        <v>78</v>
      </c>
      <c r="D3738">
        <v>300</v>
      </c>
      <c r="E3738">
        <v>4</v>
      </c>
      <c r="F3738">
        <v>20</v>
      </c>
      <c r="G3738" s="11">
        <v>2</v>
      </c>
      <c r="H3738" s="5">
        <v>4.8000000000000001E-2</v>
      </c>
      <c r="I3738" s="11">
        <v>523200</v>
      </c>
      <c r="J3738" s="20">
        <v>1046400</v>
      </c>
      <c r="K37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39" spans="1:11" hidden="1" x14ac:dyDescent="0.25">
      <c r="A3739" s="11"/>
      <c r="B3739" s="11"/>
      <c r="C3739" s="5"/>
      <c r="G3739" s="11"/>
      <c r="H3739" s="5"/>
      <c r="I3739" s="11"/>
      <c r="J3739" s="20"/>
      <c r="K37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0" spans="1:11" x14ac:dyDescent="0.25">
      <c r="A3740" s="11"/>
      <c r="B3740" s="11" t="s">
        <v>573</v>
      </c>
      <c r="C3740" s="5" t="s">
        <v>269</v>
      </c>
      <c r="D3740">
        <v>400</v>
      </c>
      <c r="E3740">
        <v>3</v>
      </c>
      <c r="F3740">
        <v>25</v>
      </c>
      <c r="G3740" s="11">
        <v>1</v>
      </c>
      <c r="H3740" s="5">
        <v>0.03</v>
      </c>
      <c r="I3740" s="11">
        <v>645000</v>
      </c>
      <c r="J3740" s="20">
        <v>645000</v>
      </c>
      <c r="K37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1" spans="1:11" hidden="1" x14ac:dyDescent="0.25">
      <c r="A3741" s="11"/>
      <c r="B3741" s="11"/>
      <c r="C3741" s="5"/>
      <c r="G3741" s="11"/>
      <c r="H3741" s="5"/>
      <c r="I3741" s="11"/>
      <c r="J3741" s="20"/>
      <c r="K37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2" spans="1:11" x14ac:dyDescent="0.25">
      <c r="A3742" s="11"/>
      <c r="B3742" s="11" t="s">
        <v>439</v>
      </c>
      <c r="C3742" s="5" t="s">
        <v>16</v>
      </c>
      <c r="D3742">
        <v>400</v>
      </c>
      <c r="E3742">
        <v>3</v>
      </c>
      <c r="F3742">
        <v>30</v>
      </c>
      <c r="G3742" s="11">
        <v>2</v>
      </c>
      <c r="H3742" s="5">
        <v>7.1999999999999995E-2</v>
      </c>
      <c r="I3742" s="11">
        <v>374400</v>
      </c>
      <c r="J3742" s="20">
        <v>748800</v>
      </c>
      <c r="K37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3" spans="1:11" hidden="1" x14ac:dyDescent="0.25">
      <c r="A3743" s="11"/>
      <c r="B3743" s="11"/>
      <c r="C3743" s="5"/>
      <c r="G3743" s="11"/>
      <c r="H3743" s="5"/>
      <c r="I3743" s="11"/>
      <c r="J3743" s="20"/>
      <c r="K37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4" spans="1:11" hidden="1" x14ac:dyDescent="0.25">
      <c r="A3744" s="11"/>
      <c r="B3744" s="11"/>
      <c r="C3744" s="5"/>
      <c r="G3744" s="11"/>
      <c r="H3744" s="5"/>
      <c r="I3744" s="11"/>
      <c r="J3744" s="20"/>
      <c r="K37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5" spans="1:11" x14ac:dyDescent="0.25">
      <c r="A3745" s="11" t="s">
        <v>370</v>
      </c>
      <c r="B3745" s="11" t="s">
        <v>564</v>
      </c>
      <c r="C3745" s="5" t="s">
        <v>233</v>
      </c>
      <c r="D3745">
        <v>400</v>
      </c>
      <c r="E3745">
        <v>4</v>
      </c>
      <c r="F3745">
        <v>25</v>
      </c>
      <c r="G3745" s="11">
        <v>8</v>
      </c>
      <c r="H3745" s="5">
        <v>0.32</v>
      </c>
      <c r="I3745" s="11">
        <v>312000</v>
      </c>
      <c r="J3745" s="20">
        <v>2496000</v>
      </c>
      <c r="K37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6" spans="1:11" hidden="1" x14ac:dyDescent="0.25">
      <c r="A3746" s="11"/>
      <c r="B3746" s="11"/>
      <c r="C3746" s="5"/>
      <c r="G3746" s="11"/>
      <c r="H3746" s="5"/>
      <c r="I3746" s="11"/>
      <c r="J3746" s="20"/>
      <c r="K37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7" spans="1:11" x14ac:dyDescent="0.25">
      <c r="A3747" s="11"/>
      <c r="B3747" s="11" t="s">
        <v>462</v>
      </c>
      <c r="C3747" s="5" t="s">
        <v>44</v>
      </c>
      <c r="D3747">
        <v>400</v>
      </c>
      <c r="E3747">
        <v>6</v>
      </c>
      <c r="F3747">
        <v>15</v>
      </c>
      <c r="G3747" s="11">
        <v>4</v>
      </c>
      <c r="H3747" s="5">
        <v>0.14399999999999999</v>
      </c>
      <c r="I3747" s="11">
        <v>244800</v>
      </c>
      <c r="J3747" s="20">
        <v>979200</v>
      </c>
      <c r="K37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48" spans="1:11" hidden="1" x14ac:dyDescent="0.25">
      <c r="A3748" s="11"/>
      <c r="B3748" s="11"/>
      <c r="C3748" s="5"/>
      <c r="G3748" s="11"/>
      <c r="H3748" s="5"/>
      <c r="I3748" s="11"/>
      <c r="J3748" s="20"/>
      <c r="K37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49" spans="1:11" hidden="1" x14ac:dyDescent="0.25">
      <c r="A3749" s="11"/>
      <c r="B3749" s="11"/>
      <c r="C3749" s="5"/>
      <c r="G3749" s="11"/>
      <c r="H3749" s="5"/>
      <c r="I3749" s="11"/>
      <c r="J3749" s="20"/>
      <c r="K37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0" spans="1:11" x14ac:dyDescent="0.25">
      <c r="A3750" s="11" t="s">
        <v>370</v>
      </c>
      <c r="B3750" s="11" t="s">
        <v>477</v>
      </c>
      <c r="C3750" s="5" t="s">
        <v>63</v>
      </c>
      <c r="D3750">
        <v>100</v>
      </c>
      <c r="E3750">
        <v>6</v>
      </c>
      <c r="F3750">
        <v>15</v>
      </c>
      <c r="G3750" s="11">
        <v>1</v>
      </c>
      <c r="H3750" s="5">
        <v>8.9999999999999993E-3</v>
      </c>
      <c r="I3750" s="11">
        <v>163800</v>
      </c>
      <c r="J3750" s="20">
        <v>163800</v>
      </c>
      <c r="K37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51" spans="1:11" hidden="1" x14ac:dyDescent="0.25">
      <c r="A3751" s="11"/>
      <c r="B3751" s="11"/>
      <c r="C3751" s="5"/>
      <c r="G3751" s="11"/>
      <c r="H3751" s="5"/>
      <c r="I3751" s="11"/>
      <c r="J3751" s="20"/>
      <c r="K37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2" spans="1:11" x14ac:dyDescent="0.25">
      <c r="A3752" s="11"/>
      <c r="B3752" s="11" t="s">
        <v>547</v>
      </c>
      <c r="C3752" s="5" t="s">
        <v>182</v>
      </c>
      <c r="D3752">
        <v>120</v>
      </c>
      <c r="E3752">
        <v>6</v>
      </c>
      <c r="F3752">
        <v>15</v>
      </c>
      <c r="G3752" s="11">
        <v>1</v>
      </c>
      <c r="H3752" s="5">
        <v>1.0800000000000001E-2</v>
      </c>
      <c r="I3752" s="11">
        <v>196560</v>
      </c>
      <c r="J3752" s="20">
        <v>196560</v>
      </c>
      <c r="K37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53" spans="1:11" hidden="1" x14ac:dyDescent="0.25">
      <c r="A3753" s="11"/>
      <c r="B3753" s="11"/>
      <c r="C3753" s="5"/>
      <c r="G3753" s="11"/>
      <c r="H3753" s="5"/>
      <c r="I3753" s="11"/>
      <c r="J3753" s="20"/>
      <c r="K37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4" spans="1:11" x14ac:dyDescent="0.25">
      <c r="A3754" s="11"/>
      <c r="B3754" s="11" t="s">
        <v>441</v>
      </c>
      <c r="C3754" s="5" t="s">
        <v>19</v>
      </c>
      <c r="D3754">
        <v>230</v>
      </c>
      <c r="E3754">
        <v>6</v>
      </c>
      <c r="F3754">
        <v>15</v>
      </c>
      <c r="G3754" s="11">
        <v>2</v>
      </c>
      <c r="H3754" s="5">
        <v>4.1399999999999999E-2</v>
      </c>
      <c r="I3754" s="11">
        <v>405720</v>
      </c>
      <c r="J3754" s="20">
        <v>811440</v>
      </c>
      <c r="K37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55" spans="1:11" hidden="1" x14ac:dyDescent="0.25">
      <c r="A3755" s="11"/>
      <c r="B3755" s="11"/>
      <c r="C3755" s="5"/>
      <c r="G3755" s="11"/>
      <c r="H3755" s="5"/>
      <c r="I3755" s="11"/>
      <c r="J3755" s="20"/>
      <c r="K37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6" spans="1:11" hidden="1" x14ac:dyDescent="0.25">
      <c r="A3756" s="11"/>
      <c r="B3756" s="11"/>
      <c r="C3756" s="5"/>
      <c r="G3756" s="11"/>
      <c r="H3756" s="5"/>
      <c r="I3756" s="11"/>
      <c r="J3756" s="20"/>
      <c r="K37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7" spans="1:11" x14ac:dyDescent="0.25">
      <c r="A3757" s="11" t="s">
        <v>371</v>
      </c>
      <c r="B3757" s="11" t="s">
        <v>482</v>
      </c>
      <c r="C3757" s="5" t="s">
        <v>69</v>
      </c>
      <c r="D3757">
        <v>400</v>
      </c>
      <c r="E3757">
        <v>2</v>
      </c>
      <c r="F3757">
        <v>20</v>
      </c>
      <c r="G3757" s="11">
        <v>3</v>
      </c>
      <c r="H3757" s="5">
        <v>4.8000000000000001E-2</v>
      </c>
      <c r="I3757" s="11">
        <v>382400</v>
      </c>
      <c r="J3757" s="20">
        <v>1147200</v>
      </c>
      <c r="K37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8" spans="1:11" hidden="1" x14ac:dyDescent="0.25">
      <c r="A3758" s="11"/>
      <c r="B3758" s="11"/>
      <c r="C3758" s="5"/>
      <c r="G3758" s="11"/>
      <c r="H3758" s="5"/>
      <c r="I3758" s="11"/>
      <c r="J3758" s="20"/>
      <c r="K37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59" spans="1:11" x14ac:dyDescent="0.25">
      <c r="A3759" s="11"/>
      <c r="B3759" s="11" t="s">
        <v>582</v>
      </c>
      <c r="C3759" s="5" t="s">
        <v>304</v>
      </c>
      <c r="D3759">
        <v>400</v>
      </c>
      <c r="E3759">
        <v>2</v>
      </c>
      <c r="F3759">
        <v>30</v>
      </c>
      <c r="G3759" s="11">
        <v>9</v>
      </c>
      <c r="H3759" s="5">
        <v>0.216</v>
      </c>
      <c r="I3759" s="11">
        <v>588000</v>
      </c>
      <c r="J3759" s="20">
        <v>5292000</v>
      </c>
      <c r="K37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0" spans="1:11" hidden="1" x14ac:dyDescent="0.25">
      <c r="A3760" s="11"/>
      <c r="B3760" s="11"/>
      <c r="C3760" s="5"/>
      <c r="G3760" s="11"/>
      <c r="H3760" s="5"/>
      <c r="I3760" s="11"/>
      <c r="J3760" s="20"/>
      <c r="K37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1" spans="1:11" x14ac:dyDescent="0.25">
      <c r="A3761" s="11"/>
      <c r="B3761" s="11" t="s">
        <v>502</v>
      </c>
      <c r="C3761" s="5" t="s">
        <v>98</v>
      </c>
      <c r="D3761">
        <v>400</v>
      </c>
      <c r="E3761">
        <v>5</v>
      </c>
      <c r="F3761">
        <v>15</v>
      </c>
      <c r="G3761" s="11">
        <v>2</v>
      </c>
      <c r="H3761" s="5">
        <v>0.06</v>
      </c>
      <c r="I3761" s="11">
        <v>300000</v>
      </c>
      <c r="J3761" s="20">
        <v>600000</v>
      </c>
      <c r="K37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62" spans="1:11" hidden="1" x14ac:dyDescent="0.25">
      <c r="A3762" s="11"/>
      <c r="B3762" s="11"/>
      <c r="C3762" s="5"/>
      <c r="G3762" s="11"/>
      <c r="H3762" s="5"/>
      <c r="I3762" s="11"/>
      <c r="J3762" s="20"/>
      <c r="K37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3" spans="1:11" x14ac:dyDescent="0.25">
      <c r="A3763" s="11"/>
      <c r="B3763" s="11" t="s">
        <v>440</v>
      </c>
      <c r="C3763" s="5" t="s">
        <v>17</v>
      </c>
      <c r="D3763">
        <v>500</v>
      </c>
      <c r="E3763">
        <v>4</v>
      </c>
      <c r="F3763">
        <v>25</v>
      </c>
      <c r="G3763" s="11">
        <v>2</v>
      </c>
      <c r="H3763" s="5">
        <v>0.1</v>
      </c>
      <c r="I3763" s="11">
        <v>510000</v>
      </c>
      <c r="J3763" s="20">
        <v>1020000</v>
      </c>
      <c r="K37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4" spans="1:11" hidden="1" x14ac:dyDescent="0.25">
      <c r="A3764" s="11"/>
      <c r="B3764" s="11"/>
      <c r="C3764" s="5"/>
      <c r="G3764" s="11"/>
      <c r="H3764" s="5"/>
      <c r="I3764" s="11"/>
      <c r="J3764" s="20"/>
      <c r="K37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5" spans="1:11" x14ac:dyDescent="0.25">
      <c r="A3765" s="11"/>
      <c r="B3765" s="11" t="s">
        <v>463</v>
      </c>
      <c r="C3765" s="5" t="s">
        <v>45</v>
      </c>
      <c r="D3765">
        <v>500</v>
      </c>
      <c r="E3765">
        <v>4</v>
      </c>
      <c r="F3765">
        <v>30</v>
      </c>
      <c r="G3765" s="11">
        <v>1</v>
      </c>
      <c r="H3765" s="5">
        <v>0.06</v>
      </c>
      <c r="I3765" s="11">
        <v>624000</v>
      </c>
      <c r="J3765" s="20">
        <v>624000</v>
      </c>
      <c r="K37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6" spans="1:11" hidden="1" x14ac:dyDescent="0.25">
      <c r="A3766" s="11"/>
      <c r="B3766" s="11"/>
      <c r="C3766" s="5"/>
      <c r="G3766" s="11"/>
      <c r="H3766" s="5"/>
      <c r="I3766" s="11"/>
      <c r="J3766" s="20"/>
      <c r="K37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7" spans="1:11" hidden="1" x14ac:dyDescent="0.25">
      <c r="A3767" s="11"/>
      <c r="B3767" s="11"/>
      <c r="C3767" s="5"/>
      <c r="G3767" s="11"/>
      <c r="H3767" s="5"/>
      <c r="I3767" s="11"/>
      <c r="J3767" s="20"/>
      <c r="K37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8" spans="1:11" x14ac:dyDescent="0.25">
      <c r="A3768" s="11" t="s">
        <v>372</v>
      </c>
      <c r="B3768" s="11" t="s">
        <v>439</v>
      </c>
      <c r="C3768" s="5" t="s">
        <v>16</v>
      </c>
      <c r="D3768">
        <v>400</v>
      </c>
      <c r="E3768">
        <v>3</v>
      </c>
      <c r="F3768">
        <v>30</v>
      </c>
      <c r="G3768" s="11">
        <v>4</v>
      </c>
      <c r="H3768" s="5">
        <v>0.14399999999999999</v>
      </c>
      <c r="I3768" s="11">
        <v>374400</v>
      </c>
      <c r="J3768" s="20">
        <v>1497600</v>
      </c>
      <c r="K37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69" spans="1:11" hidden="1" x14ac:dyDescent="0.25">
      <c r="A3769" s="11"/>
      <c r="B3769" s="11"/>
      <c r="C3769" s="5"/>
      <c r="G3769" s="11"/>
      <c r="H3769" s="5"/>
      <c r="I3769" s="11"/>
      <c r="J3769" s="20"/>
      <c r="K37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0" spans="1:11" x14ac:dyDescent="0.25">
      <c r="A3770" s="11"/>
      <c r="B3770" s="11" t="s">
        <v>433</v>
      </c>
      <c r="C3770" s="5" t="s">
        <v>9</v>
      </c>
      <c r="D3770">
        <v>400</v>
      </c>
      <c r="E3770">
        <v>4</v>
      </c>
      <c r="F3770">
        <v>20</v>
      </c>
      <c r="G3770" s="11">
        <v>2</v>
      </c>
      <c r="H3770" s="5">
        <v>6.4000000000000001E-2</v>
      </c>
      <c r="I3770" s="11">
        <v>323200</v>
      </c>
      <c r="J3770" s="20">
        <v>646400</v>
      </c>
      <c r="K37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1" spans="1:11" hidden="1" x14ac:dyDescent="0.25">
      <c r="A3771" s="11"/>
      <c r="B3771" s="11"/>
      <c r="C3771" s="5"/>
      <c r="G3771" s="11"/>
      <c r="H3771" s="5"/>
      <c r="I3771" s="11"/>
      <c r="J3771" s="20"/>
      <c r="K37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2" spans="1:11" x14ac:dyDescent="0.25">
      <c r="A3772" s="11"/>
      <c r="B3772" s="11" t="s">
        <v>435</v>
      </c>
      <c r="C3772" s="5" t="s">
        <v>11</v>
      </c>
      <c r="D3772">
        <v>400</v>
      </c>
      <c r="E3772">
        <v>6</v>
      </c>
      <c r="F3772">
        <v>12</v>
      </c>
      <c r="G3772" s="11">
        <v>3</v>
      </c>
      <c r="H3772" s="5">
        <v>8.6400000000000005E-2</v>
      </c>
      <c r="I3772" s="11">
        <v>276480</v>
      </c>
      <c r="J3772" s="20">
        <v>829440</v>
      </c>
      <c r="K37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73" spans="1:11" hidden="1" x14ac:dyDescent="0.25">
      <c r="A3773" s="11"/>
      <c r="B3773" s="11"/>
      <c r="C3773" s="5"/>
      <c r="G3773" s="11"/>
      <c r="H3773" s="5"/>
      <c r="I3773" s="11"/>
      <c r="J3773" s="20"/>
      <c r="K37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4" spans="1:11" x14ac:dyDescent="0.25">
      <c r="A3774" s="11"/>
      <c r="B3774" s="11" t="s">
        <v>498</v>
      </c>
      <c r="C3774" s="5" t="s">
        <v>92</v>
      </c>
      <c r="D3774">
        <v>500</v>
      </c>
      <c r="E3774">
        <v>6</v>
      </c>
      <c r="F3774">
        <v>15</v>
      </c>
      <c r="G3774" s="11">
        <v>6</v>
      </c>
      <c r="H3774" s="5">
        <v>0.27</v>
      </c>
      <c r="I3774" s="11">
        <v>454500</v>
      </c>
      <c r="J3774" s="20">
        <v>2727000</v>
      </c>
      <c r="K37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75" spans="1:11" hidden="1" x14ac:dyDescent="0.25">
      <c r="A3775" s="11"/>
      <c r="B3775" s="11"/>
      <c r="C3775" s="5"/>
      <c r="G3775" s="11"/>
      <c r="H3775" s="5"/>
      <c r="I3775" s="11"/>
      <c r="J3775" s="20"/>
      <c r="K37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6" spans="1:11" hidden="1" x14ac:dyDescent="0.25">
      <c r="A3776" s="11"/>
      <c r="B3776" s="11"/>
      <c r="C3776" s="5"/>
      <c r="G3776" s="11"/>
      <c r="H3776" s="5"/>
      <c r="I3776" s="11"/>
      <c r="J3776" s="20"/>
      <c r="K37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7" spans="1:11" x14ac:dyDescent="0.25">
      <c r="A3777" s="11" t="s">
        <v>372</v>
      </c>
      <c r="B3777" s="11" t="s">
        <v>506</v>
      </c>
      <c r="C3777" s="5" t="s">
        <v>103</v>
      </c>
      <c r="D3777">
        <v>400</v>
      </c>
      <c r="E3777">
        <v>3</v>
      </c>
      <c r="F3777">
        <v>30</v>
      </c>
      <c r="G3777" s="11">
        <v>1</v>
      </c>
      <c r="H3777" s="5">
        <v>3.5999999999999997E-2</v>
      </c>
      <c r="I3777" s="11">
        <v>806400</v>
      </c>
      <c r="J3777" s="20">
        <v>806400</v>
      </c>
      <c r="K37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8" spans="1:11" hidden="1" x14ac:dyDescent="0.25">
      <c r="A3778" s="11"/>
      <c r="B3778" s="11"/>
      <c r="C3778" s="5"/>
      <c r="G3778" s="11"/>
      <c r="H3778" s="5"/>
      <c r="I3778" s="11"/>
      <c r="J3778" s="20"/>
      <c r="K37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79" spans="1:11" x14ac:dyDescent="0.25">
      <c r="A3779" s="11"/>
      <c r="B3779" s="11" t="s">
        <v>540</v>
      </c>
      <c r="C3779" s="5" t="s">
        <v>166</v>
      </c>
      <c r="D3779">
        <v>250</v>
      </c>
      <c r="E3779">
        <v>4</v>
      </c>
      <c r="F3779">
        <v>20</v>
      </c>
      <c r="G3779" s="11">
        <v>20</v>
      </c>
      <c r="H3779" s="5">
        <v>0.4</v>
      </c>
      <c r="I3779" s="11">
        <v>436000</v>
      </c>
      <c r="J3779" s="20">
        <v>8720000</v>
      </c>
      <c r="K37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0" spans="1:11" hidden="1" x14ac:dyDescent="0.25">
      <c r="A3780" s="11"/>
      <c r="B3780" s="11"/>
      <c r="C3780" s="5"/>
      <c r="G3780" s="11"/>
      <c r="H3780" s="5"/>
      <c r="I3780" s="11"/>
      <c r="J3780" s="20"/>
      <c r="K37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1" spans="1:11" hidden="1" x14ac:dyDescent="0.25">
      <c r="A3781" s="11"/>
      <c r="B3781" s="11"/>
      <c r="C3781" s="5"/>
      <c r="G3781" s="11"/>
      <c r="H3781" s="5"/>
      <c r="I3781" s="11"/>
      <c r="J3781" s="20"/>
      <c r="K37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2" spans="1:11" x14ac:dyDescent="0.25">
      <c r="A3782" s="11" t="s">
        <v>372</v>
      </c>
      <c r="B3782" s="11" t="s">
        <v>471</v>
      </c>
      <c r="C3782" s="5" t="s">
        <v>56</v>
      </c>
      <c r="D3782">
        <v>500</v>
      </c>
      <c r="E3782">
        <v>5</v>
      </c>
      <c r="F3782">
        <v>15</v>
      </c>
      <c r="G3782" s="11">
        <v>5</v>
      </c>
      <c r="H3782" s="5">
        <v>0.1875</v>
      </c>
      <c r="I3782" s="11">
        <v>393750</v>
      </c>
      <c r="J3782" s="20">
        <v>1968750</v>
      </c>
      <c r="K37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83" spans="1:11" hidden="1" x14ac:dyDescent="0.25">
      <c r="A3783" s="11"/>
      <c r="B3783" s="11"/>
      <c r="C3783" s="5"/>
      <c r="G3783" s="11"/>
      <c r="H3783" s="5"/>
      <c r="I3783" s="11"/>
      <c r="J3783" s="20"/>
      <c r="K37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4" spans="1:11" hidden="1" x14ac:dyDescent="0.25">
      <c r="A3784" s="11"/>
      <c r="B3784" s="11"/>
      <c r="C3784" s="5"/>
      <c r="G3784" s="11"/>
      <c r="H3784" s="5"/>
      <c r="I3784" s="11"/>
      <c r="J3784" s="20"/>
      <c r="K37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5" spans="1:11" x14ac:dyDescent="0.25">
      <c r="A3785" s="11" t="s">
        <v>373</v>
      </c>
      <c r="B3785" s="11" t="s">
        <v>486</v>
      </c>
      <c r="C3785" s="5" t="s">
        <v>76</v>
      </c>
      <c r="D3785">
        <v>400</v>
      </c>
      <c r="E3785">
        <v>3</v>
      </c>
      <c r="F3785">
        <v>25</v>
      </c>
      <c r="G3785" s="11">
        <v>1</v>
      </c>
      <c r="H3785" s="5">
        <v>0.03</v>
      </c>
      <c r="I3785" s="11">
        <v>657000</v>
      </c>
      <c r="J3785" s="20">
        <v>657000</v>
      </c>
      <c r="K37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6" spans="1:11" hidden="1" x14ac:dyDescent="0.25">
      <c r="A3786" s="11"/>
      <c r="B3786" s="11"/>
      <c r="C3786" s="5"/>
      <c r="G3786" s="11"/>
      <c r="H3786" s="5"/>
      <c r="I3786" s="11"/>
      <c r="J3786" s="20"/>
      <c r="K37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7" spans="1:11" x14ac:dyDescent="0.25">
      <c r="A3787" s="11"/>
      <c r="B3787" s="11" t="s">
        <v>513</v>
      </c>
      <c r="C3787" s="5" t="s">
        <v>114</v>
      </c>
      <c r="D3787">
        <v>500</v>
      </c>
      <c r="E3787">
        <v>3</v>
      </c>
      <c r="F3787">
        <v>20</v>
      </c>
      <c r="G3787" s="11">
        <v>1</v>
      </c>
      <c r="H3787" s="5">
        <v>0.03</v>
      </c>
      <c r="I3787" s="11">
        <v>669000</v>
      </c>
      <c r="J3787" s="20">
        <v>669000</v>
      </c>
      <c r="K37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8" spans="1:11" hidden="1" x14ac:dyDescent="0.25">
      <c r="A3788" s="11"/>
      <c r="B3788" s="11"/>
      <c r="C3788" s="5"/>
      <c r="G3788" s="11"/>
      <c r="H3788" s="5"/>
      <c r="I3788" s="11"/>
      <c r="J3788" s="20"/>
      <c r="K37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89" spans="1:11" x14ac:dyDescent="0.25">
      <c r="A3789" s="11"/>
      <c r="B3789" s="11" t="s">
        <v>480</v>
      </c>
      <c r="C3789" s="5" t="s">
        <v>66</v>
      </c>
      <c r="D3789">
        <v>500</v>
      </c>
      <c r="E3789">
        <v>3</v>
      </c>
      <c r="F3789">
        <v>25</v>
      </c>
      <c r="G3789" s="11">
        <v>1</v>
      </c>
      <c r="H3789" s="5">
        <v>3.7499999999999999E-2</v>
      </c>
      <c r="I3789" s="11">
        <v>840000</v>
      </c>
      <c r="J3789" s="20">
        <v>840000</v>
      </c>
      <c r="K37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0" spans="1:11" hidden="1" x14ac:dyDescent="0.25">
      <c r="A3790" s="11"/>
      <c r="B3790" s="11"/>
      <c r="C3790" s="5"/>
      <c r="G3790" s="11"/>
      <c r="H3790" s="5"/>
      <c r="I3790" s="11"/>
      <c r="J3790" s="20"/>
      <c r="K37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1" spans="1:11" x14ac:dyDescent="0.25">
      <c r="A3791" s="11"/>
      <c r="B3791" s="11" t="s">
        <v>439</v>
      </c>
      <c r="C3791" s="5" t="s">
        <v>16</v>
      </c>
      <c r="D3791">
        <v>400</v>
      </c>
      <c r="E3791">
        <v>3</v>
      </c>
      <c r="F3791">
        <v>30</v>
      </c>
      <c r="G3791" s="11">
        <v>12</v>
      </c>
      <c r="H3791" s="5">
        <v>0.432</v>
      </c>
      <c r="I3791" s="11">
        <v>374400</v>
      </c>
      <c r="J3791" s="20">
        <v>4492800</v>
      </c>
      <c r="K37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2" spans="1:11" hidden="1" x14ac:dyDescent="0.25">
      <c r="A3792" s="11"/>
      <c r="B3792" s="11"/>
      <c r="C3792" s="5"/>
      <c r="G3792" s="11"/>
      <c r="H3792" s="5"/>
      <c r="I3792" s="11"/>
      <c r="J3792" s="20"/>
      <c r="K37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3" spans="1:11" hidden="1" x14ac:dyDescent="0.25">
      <c r="A3793" s="11"/>
      <c r="B3793" s="11"/>
      <c r="C3793" s="5"/>
      <c r="G3793" s="11"/>
      <c r="H3793" s="5"/>
      <c r="I3793" s="11"/>
      <c r="J3793" s="20"/>
      <c r="K37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4" spans="1:11" x14ac:dyDescent="0.25">
      <c r="A3794" s="11" t="s">
        <v>373</v>
      </c>
      <c r="B3794" s="11" t="s">
        <v>485</v>
      </c>
      <c r="C3794" s="5" t="s">
        <v>74</v>
      </c>
      <c r="D3794">
        <v>150</v>
      </c>
      <c r="E3794">
        <v>6</v>
      </c>
      <c r="F3794">
        <v>15</v>
      </c>
      <c r="G3794" s="11">
        <v>1</v>
      </c>
      <c r="H3794" s="5">
        <v>1.35E-2</v>
      </c>
      <c r="I3794" s="11">
        <v>245700</v>
      </c>
      <c r="J3794" s="20">
        <v>245700</v>
      </c>
      <c r="K37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795" spans="1:11" hidden="1" x14ac:dyDescent="0.25">
      <c r="A3795" s="11"/>
      <c r="B3795" s="11"/>
      <c r="C3795" s="5"/>
      <c r="G3795" s="11"/>
      <c r="H3795" s="5"/>
      <c r="I3795" s="11"/>
      <c r="J3795" s="20"/>
      <c r="K37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6" spans="1:11" hidden="1" x14ac:dyDescent="0.25">
      <c r="A3796" s="11"/>
      <c r="B3796" s="11"/>
      <c r="C3796" s="5"/>
      <c r="G3796" s="11"/>
      <c r="H3796" s="5"/>
      <c r="I3796" s="11"/>
      <c r="J3796" s="20"/>
      <c r="K37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7" spans="1:11" x14ac:dyDescent="0.25">
      <c r="A3797" s="11" t="s">
        <v>374</v>
      </c>
      <c r="B3797" s="11" t="s">
        <v>480</v>
      </c>
      <c r="C3797" s="5" t="s">
        <v>66</v>
      </c>
      <c r="D3797">
        <v>500</v>
      </c>
      <c r="E3797">
        <v>3</v>
      </c>
      <c r="F3797">
        <v>25</v>
      </c>
      <c r="G3797" s="11">
        <v>1</v>
      </c>
      <c r="H3797" s="5">
        <v>3.7499999999999999E-2</v>
      </c>
      <c r="I3797" s="11">
        <v>840000</v>
      </c>
      <c r="J3797" s="20">
        <v>840000</v>
      </c>
      <c r="K37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8" spans="1:11" hidden="1" x14ac:dyDescent="0.25">
      <c r="A3798" s="11"/>
      <c r="B3798" s="11"/>
      <c r="C3798" s="5"/>
      <c r="G3798" s="11"/>
      <c r="H3798" s="5"/>
      <c r="I3798" s="11"/>
      <c r="J3798" s="20"/>
      <c r="K37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799" spans="1:11" x14ac:dyDescent="0.25">
      <c r="A3799" s="11"/>
      <c r="B3799" s="11" t="s">
        <v>434</v>
      </c>
      <c r="C3799" s="5" t="s">
        <v>10</v>
      </c>
      <c r="D3799">
        <v>400</v>
      </c>
      <c r="E3799">
        <v>4</v>
      </c>
      <c r="F3799">
        <v>30</v>
      </c>
      <c r="G3799" s="11">
        <v>13</v>
      </c>
      <c r="H3799" s="5">
        <v>0.624</v>
      </c>
      <c r="I3799" s="11">
        <v>499200</v>
      </c>
      <c r="J3799" s="20">
        <v>6489600</v>
      </c>
      <c r="K37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0" spans="1:11" hidden="1" x14ac:dyDescent="0.25">
      <c r="A3800" s="11"/>
      <c r="B3800" s="11"/>
      <c r="C3800" s="5"/>
      <c r="G3800" s="11"/>
      <c r="H3800" s="5"/>
      <c r="I3800" s="11"/>
      <c r="J3800" s="20"/>
      <c r="K38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1" spans="1:11" hidden="1" x14ac:dyDescent="0.25">
      <c r="A3801" s="11"/>
      <c r="B3801" s="11"/>
      <c r="C3801" s="5"/>
      <c r="G3801" s="11"/>
      <c r="H3801" s="5"/>
      <c r="I3801" s="11"/>
      <c r="J3801" s="20"/>
      <c r="K38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2" spans="1:11" x14ac:dyDescent="0.25">
      <c r="A3802" s="11" t="s">
        <v>374</v>
      </c>
      <c r="B3802" s="11" t="s">
        <v>449</v>
      </c>
      <c r="C3802" s="5" t="s">
        <v>28</v>
      </c>
      <c r="D3802">
        <v>260</v>
      </c>
      <c r="E3802">
        <v>6</v>
      </c>
      <c r="F3802">
        <v>15</v>
      </c>
      <c r="G3802" s="11">
        <v>1</v>
      </c>
      <c r="H3802" s="5">
        <v>2.3400000000000001E-2</v>
      </c>
      <c r="I3802" s="11">
        <v>458640</v>
      </c>
      <c r="J3802" s="20">
        <v>458640</v>
      </c>
      <c r="K38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03" spans="1:11" hidden="1" x14ac:dyDescent="0.25">
      <c r="A3803" s="11"/>
      <c r="B3803" s="11"/>
      <c r="C3803" s="5"/>
      <c r="G3803" s="11"/>
      <c r="H3803" s="5"/>
      <c r="I3803" s="11"/>
      <c r="J3803" s="20"/>
      <c r="K38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4" spans="1:11" hidden="1" x14ac:dyDescent="0.25">
      <c r="A3804" s="11"/>
      <c r="B3804" s="11"/>
      <c r="C3804" s="5"/>
      <c r="G3804" s="11"/>
      <c r="H3804" s="5"/>
      <c r="I3804" s="11"/>
      <c r="J3804" s="20"/>
      <c r="K38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5" spans="1:11" x14ac:dyDescent="0.25">
      <c r="A3805" s="11" t="s">
        <v>374</v>
      </c>
      <c r="B3805" s="11" t="s">
        <v>517</v>
      </c>
      <c r="C3805" s="5" t="s">
        <v>122</v>
      </c>
      <c r="D3805">
        <v>400</v>
      </c>
      <c r="E3805">
        <v>6</v>
      </c>
      <c r="F3805">
        <v>15</v>
      </c>
      <c r="G3805" s="11">
        <v>2</v>
      </c>
      <c r="H3805" s="5">
        <v>7.1999999999999995E-2</v>
      </c>
      <c r="I3805" s="11">
        <v>723600</v>
      </c>
      <c r="J3805" s="20">
        <v>1447200</v>
      </c>
      <c r="K38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06" spans="1:11" hidden="1" x14ac:dyDescent="0.25">
      <c r="A3806" s="11"/>
      <c r="B3806" s="11"/>
      <c r="C3806" s="5"/>
      <c r="G3806" s="11"/>
      <c r="H3806" s="5"/>
      <c r="I3806" s="11"/>
      <c r="J3806" s="20"/>
      <c r="K38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7" spans="1:11" x14ac:dyDescent="0.25">
      <c r="A3807" s="11"/>
      <c r="B3807" s="11" t="s">
        <v>477</v>
      </c>
      <c r="C3807" s="5" t="s">
        <v>63</v>
      </c>
      <c r="D3807">
        <v>100</v>
      </c>
      <c r="E3807">
        <v>6</v>
      </c>
      <c r="F3807">
        <v>15</v>
      </c>
      <c r="G3807" s="11">
        <v>20</v>
      </c>
      <c r="H3807" s="5">
        <v>0.18</v>
      </c>
      <c r="I3807" s="11">
        <v>163800</v>
      </c>
      <c r="J3807" s="20">
        <v>3276000</v>
      </c>
      <c r="K38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08" spans="1:11" hidden="1" x14ac:dyDescent="0.25">
      <c r="A3808" s="11"/>
      <c r="B3808" s="11"/>
      <c r="C3808" s="5"/>
      <c r="G3808" s="11"/>
      <c r="H3808" s="5"/>
      <c r="I3808" s="11"/>
      <c r="J3808" s="20"/>
      <c r="K38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09" spans="1:11" x14ac:dyDescent="0.25">
      <c r="A3809" s="11"/>
      <c r="B3809" s="11" t="s">
        <v>449</v>
      </c>
      <c r="C3809" s="5" t="s">
        <v>28</v>
      </c>
      <c r="D3809">
        <v>260</v>
      </c>
      <c r="E3809">
        <v>6</v>
      </c>
      <c r="F3809">
        <v>15</v>
      </c>
      <c r="G3809" s="11">
        <v>20</v>
      </c>
      <c r="H3809" s="5">
        <v>0.46800000000000003</v>
      </c>
      <c r="I3809" s="11">
        <v>458640</v>
      </c>
      <c r="J3809" s="20">
        <v>9172800</v>
      </c>
      <c r="K38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10" spans="1:11" hidden="1" x14ac:dyDescent="0.25">
      <c r="A3810" s="11"/>
      <c r="B3810" s="11"/>
      <c r="C3810" s="5"/>
      <c r="G3810" s="11"/>
      <c r="H3810" s="5"/>
      <c r="I3810" s="11"/>
      <c r="J3810" s="20"/>
      <c r="K38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1" spans="1:11" hidden="1" x14ac:dyDescent="0.25">
      <c r="A3811" s="11"/>
      <c r="B3811" s="11"/>
      <c r="C3811" s="5"/>
      <c r="G3811" s="11"/>
      <c r="H3811" s="5"/>
      <c r="I3811" s="11"/>
      <c r="J3811" s="20"/>
      <c r="K38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2" spans="1:11" x14ac:dyDescent="0.25">
      <c r="A3812" s="11" t="s">
        <v>374</v>
      </c>
      <c r="B3812" s="11" t="s">
        <v>438</v>
      </c>
      <c r="C3812" s="5" t="s">
        <v>15</v>
      </c>
      <c r="D3812">
        <v>400</v>
      </c>
      <c r="E3812">
        <v>3</v>
      </c>
      <c r="F3812">
        <v>25</v>
      </c>
      <c r="G3812" s="11">
        <v>1</v>
      </c>
      <c r="H3812" s="5">
        <v>0.03</v>
      </c>
      <c r="I3812" s="11">
        <v>306000</v>
      </c>
      <c r="J3812" s="20">
        <v>306000</v>
      </c>
      <c r="K38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3" spans="1:11" hidden="1" x14ac:dyDescent="0.25">
      <c r="A3813" s="11"/>
      <c r="B3813" s="11"/>
      <c r="C3813" s="5"/>
      <c r="G3813" s="11"/>
      <c r="H3813" s="5"/>
      <c r="I3813" s="11"/>
      <c r="J3813" s="20"/>
      <c r="K38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4" spans="1:11" x14ac:dyDescent="0.25">
      <c r="A3814" s="11"/>
      <c r="B3814" s="11" t="s">
        <v>439</v>
      </c>
      <c r="C3814" s="5" t="s">
        <v>16</v>
      </c>
      <c r="D3814">
        <v>400</v>
      </c>
      <c r="E3814">
        <v>3</v>
      </c>
      <c r="F3814">
        <v>30</v>
      </c>
      <c r="G3814" s="11">
        <v>3</v>
      </c>
      <c r="H3814" s="5">
        <v>0.108</v>
      </c>
      <c r="I3814" s="11">
        <v>374400</v>
      </c>
      <c r="J3814" s="20">
        <v>1123200</v>
      </c>
      <c r="K38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5" spans="1:11" hidden="1" x14ac:dyDescent="0.25">
      <c r="A3815" s="11"/>
      <c r="B3815" s="11"/>
      <c r="C3815" s="5"/>
      <c r="G3815" s="11"/>
      <c r="H3815" s="5"/>
      <c r="I3815" s="11"/>
      <c r="J3815" s="20"/>
      <c r="K38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6" spans="1:11" x14ac:dyDescent="0.25">
      <c r="A3816" s="11"/>
      <c r="B3816" s="11" t="s">
        <v>443</v>
      </c>
      <c r="C3816" s="5" t="s">
        <v>21</v>
      </c>
      <c r="D3816">
        <v>400</v>
      </c>
      <c r="E3816">
        <v>4</v>
      </c>
      <c r="F3816">
        <v>25</v>
      </c>
      <c r="G3816" s="11">
        <v>1</v>
      </c>
      <c r="H3816" s="5">
        <v>0.04</v>
      </c>
      <c r="I3816" s="11">
        <v>408000</v>
      </c>
      <c r="J3816" s="20">
        <v>408000</v>
      </c>
      <c r="K38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7" spans="1:11" hidden="1" x14ac:dyDescent="0.25">
      <c r="A3817" s="11"/>
      <c r="B3817" s="11"/>
      <c r="C3817" s="5"/>
      <c r="G3817" s="11"/>
      <c r="H3817" s="5"/>
      <c r="I3817" s="11"/>
      <c r="J3817" s="20"/>
      <c r="K38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8" spans="1:11" x14ac:dyDescent="0.25">
      <c r="A3818" s="11"/>
      <c r="B3818" s="11" t="s">
        <v>463</v>
      </c>
      <c r="C3818" s="5" t="s">
        <v>45</v>
      </c>
      <c r="D3818">
        <v>500</v>
      </c>
      <c r="E3818">
        <v>4</v>
      </c>
      <c r="F3818">
        <v>30</v>
      </c>
      <c r="G3818" s="11">
        <v>3</v>
      </c>
      <c r="H3818" s="5">
        <v>0.18</v>
      </c>
      <c r="I3818" s="11">
        <v>624000</v>
      </c>
      <c r="J3818" s="20">
        <v>1872000</v>
      </c>
      <c r="K38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19" spans="1:11" hidden="1" x14ac:dyDescent="0.25">
      <c r="A3819" s="11"/>
      <c r="B3819" s="11"/>
      <c r="C3819" s="5"/>
      <c r="G3819" s="11"/>
      <c r="H3819" s="5"/>
      <c r="I3819" s="11"/>
      <c r="J3819" s="20"/>
      <c r="K38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0" spans="1:11" x14ac:dyDescent="0.25">
      <c r="A3820" s="11"/>
      <c r="B3820" s="11" t="s">
        <v>471</v>
      </c>
      <c r="C3820" s="5" t="s">
        <v>56</v>
      </c>
      <c r="D3820">
        <v>500</v>
      </c>
      <c r="E3820">
        <v>5</v>
      </c>
      <c r="F3820">
        <v>15</v>
      </c>
      <c r="G3820" s="11">
        <v>1</v>
      </c>
      <c r="H3820" s="5">
        <v>3.7499999999999999E-2</v>
      </c>
      <c r="I3820" s="11">
        <v>393750</v>
      </c>
      <c r="J3820" s="20">
        <v>393750</v>
      </c>
      <c r="K38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21" spans="1:11" hidden="1" x14ac:dyDescent="0.25">
      <c r="A3821" s="11"/>
      <c r="B3821" s="11"/>
      <c r="C3821" s="5"/>
      <c r="G3821" s="11"/>
      <c r="H3821" s="5"/>
      <c r="I3821" s="11"/>
      <c r="J3821" s="20"/>
      <c r="K38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2" spans="1:11" hidden="1" x14ac:dyDescent="0.25">
      <c r="A3822" s="11"/>
      <c r="B3822" s="11"/>
      <c r="C3822" s="5"/>
      <c r="G3822" s="11"/>
      <c r="H3822" s="5"/>
      <c r="I3822" s="11"/>
      <c r="J3822" s="20"/>
      <c r="K38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3" spans="1:11" x14ac:dyDescent="0.25">
      <c r="A3823" s="11" t="s">
        <v>374</v>
      </c>
      <c r="B3823" s="11" t="s">
        <v>553</v>
      </c>
      <c r="C3823" s="5" t="s">
        <v>194</v>
      </c>
      <c r="D3823">
        <v>400</v>
      </c>
      <c r="E3823">
        <v>3</v>
      </c>
      <c r="F3823">
        <v>30</v>
      </c>
      <c r="G3823" s="11">
        <v>1</v>
      </c>
      <c r="H3823" s="5">
        <v>3.5999999999999997E-2</v>
      </c>
      <c r="I3823" s="11">
        <v>298800</v>
      </c>
      <c r="J3823" s="20">
        <v>298800</v>
      </c>
      <c r="K38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4" spans="1:11" hidden="1" x14ac:dyDescent="0.25">
      <c r="A3824" s="11"/>
      <c r="B3824" s="11"/>
      <c r="C3824" s="5"/>
      <c r="G3824" s="11"/>
      <c r="H3824" s="5"/>
      <c r="I3824" s="11"/>
      <c r="J3824" s="20"/>
      <c r="K38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5" spans="1:11" x14ac:dyDescent="0.25">
      <c r="A3825" s="11"/>
      <c r="B3825" s="11" t="s">
        <v>437</v>
      </c>
      <c r="C3825" s="5" t="s">
        <v>14</v>
      </c>
      <c r="D3825">
        <v>400</v>
      </c>
      <c r="E3825">
        <v>6</v>
      </c>
      <c r="F3825">
        <v>15</v>
      </c>
      <c r="G3825" s="11">
        <v>2</v>
      </c>
      <c r="H3825" s="5">
        <v>7.1999999999999995E-2</v>
      </c>
      <c r="I3825" s="11">
        <v>327600</v>
      </c>
      <c r="J3825" s="20">
        <v>655200</v>
      </c>
      <c r="K38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26" spans="1:11" hidden="1" x14ac:dyDescent="0.25">
      <c r="A3826" s="11"/>
      <c r="B3826" s="11"/>
      <c r="C3826" s="5"/>
      <c r="G3826" s="11"/>
      <c r="H3826" s="5"/>
      <c r="I3826" s="11"/>
      <c r="J3826" s="20"/>
      <c r="K38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7" spans="1:11" x14ac:dyDescent="0.25">
      <c r="A3827" s="11"/>
      <c r="B3827" s="11" t="s">
        <v>503</v>
      </c>
      <c r="C3827" s="5" t="s">
        <v>99</v>
      </c>
      <c r="D3827">
        <v>300</v>
      </c>
      <c r="E3827">
        <v>6</v>
      </c>
      <c r="F3827">
        <v>15</v>
      </c>
      <c r="G3827" s="11">
        <v>1</v>
      </c>
      <c r="H3827" s="5">
        <v>2.7E-2</v>
      </c>
      <c r="I3827" s="11">
        <v>259200</v>
      </c>
      <c r="J3827" s="20">
        <v>259200</v>
      </c>
      <c r="K38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28" spans="1:11" hidden="1" x14ac:dyDescent="0.25">
      <c r="A3828" s="11"/>
      <c r="B3828" s="11"/>
      <c r="C3828" s="5"/>
      <c r="G3828" s="11"/>
      <c r="H3828" s="5"/>
      <c r="I3828" s="11"/>
      <c r="J3828" s="20"/>
      <c r="K38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29" spans="1:11" x14ac:dyDescent="0.25">
      <c r="A3829" s="11"/>
      <c r="B3829" s="11" t="s">
        <v>481</v>
      </c>
      <c r="C3829" s="5" t="s">
        <v>68</v>
      </c>
      <c r="D3829">
        <v>400</v>
      </c>
      <c r="E3829">
        <v>6</v>
      </c>
      <c r="F3829">
        <v>15</v>
      </c>
      <c r="G3829" s="11">
        <v>1</v>
      </c>
      <c r="H3829" s="5">
        <v>3.5999999999999997E-2</v>
      </c>
      <c r="I3829" s="11">
        <v>345600</v>
      </c>
      <c r="J3829" s="20">
        <v>345600</v>
      </c>
      <c r="K38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30" spans="1:11" hidden="1" x14ac:dyDescent="0.25">
      <c r="A3830" s="11"/>
      <c r="B3830" s="11"/>
      <c r="C3830" s="5"/>
      <c r="G3830" s="11"/>
      <c r="H3830" s="5"/>
      <c r="I3830" s="11"/>
      <c r="J3830" s="20"/>
      <c r="K38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1" spans="1:11" x14ac:dyDescent="0.25">
      <c r="A3831" s="11"/>
      <c r="B3831" s="11" t="s">
        <v>549</v>
      </c>
      <c r="C3831" s="5" t="s">
        <v>184</v>
      </c>
      <c r="D3831">
        <v>450</v>
      </c>
      <c r="E3831">
        <v>4</v>
      </c>
      <c r="F3831">
        <v>20</v>
      </c>
      <c r="G3831" s="11">
        <v>1</v>
      </c>
      <c r="H3831" s="5">
        <v>3.5999999999999997E-2</v>
      </c>
      <c r="I3831" s="11">
        <v>363600</v>
      </c>
      <c r="J3831" s="20">
        <v>363600</v>
      </c>
      <c r="K38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2" spans="1:11" hidden="1" x14ac:dyDescent="0.25">
      <c r="A3832" s="11"/>
      <c r="B3832" s="11"/>
      <c r="C3832" s="5"/>
      <c r="G3832" s="11"/>
      <c r="H3832" s="5"/>
      <c r="I3832" s="11"/>
      <c r="J3832" s="20"/>
      <c r="K38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3" spans="1:11" hidden="1" x14ac:dyDescent="0.25">
      <c r="A3833" s="11"/>
      <c r="B3833" s="11"/>
      <c r="C3833" s="5"/>
      <c r="G3833" s="11"/>
      <c r="H3833" s="5"/>
      <c r="I3833" s="11"/>
      <c r="J3833" s="20"/>
      <c r="K38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4" spans="1:11" x14ac:dyDescent="0.25">
      <c r="A3834" s="11" t="s">
        <v>374</v>
      </c>
      <c r="B3834" s="11" t="s">
        <v>504</v>
      </c>
      <c r="C3834" s="5" t="s">
        <v>100</v>
      </c>
      <c r="D3834">
        <v>250</v>
      </c>
      <c r="E3834">
        <v>6</v>
      </c>
      <c r="F3834">
        <v>15</v>
      </c>
      <c r="G3834" s="11">
        <v>1</v>
      </c>
      <c r="H3834" s="5">
        <v>2.2499999999999999E-2</v>
      </c>
      <c r="I3834" s="11">
        <v>463500</v>
      </c>
      <c r="J3834" s="20">
        <v>463500</v>
      </c>
      <c r="K38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35" spans="1:11" hidden="1" x14ac:dyDescent="0.25">
      <c r="A3835" s="11"/>
      <c r="B3835" s="11"/>
      <c r="C3835" s="5"/>
      <c r="G3835" s="11"/>
      <c r="H3835" s="5"/>
      <c r="I3835" s="11"/>
      <c r="J3835" s="20"/>
      <c r="K38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6" spans="1:11" x14ac:dyDescent="0.25">
      <c r="A3836" s="11"/>
      <c r="B3836" s="11" t="s">
        <v>486</v>
      </c>
      <c r="C3836" s="5" t="s">
        <v>76</v>
      </c>
      <c r="D3836">
        <v>400</v>
      </c>
      <c r="E3836">
        <v>3</v>
      </c>
      <c r="F3836">
        <v>25</v>
      </c>
      <c r="G3836" s="11">
        <v>2</v>
      </c>
      <c r="H3836" s="5">
        <v>0.06</v>
      </c>
      <c r="I3836" s="11">
        <v>657000</v>
      </c>
      <c r="J3836" s="20">
        <v>1314000</v>
      </c>
      <c r="K38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7" spans="1:11" hidden="1" x14ac:dyDescent="0.25">
      <c r="A3837" s="11"/>
      <c r="B3837" s="11"/>
      <c r="C3837" s="5"/>
      <c r="G3837" s="11"/>
      <c r="H3837" s="5"/>
      <c r="I3837" s="11"/>
      <c r="J3837" s="20"/>
      <c r="K38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38" spans="1:11" x14ac:dyDescent="0.25">
      <c r="A3838" s="11"/>
      <c r="B3838" s="11" t="s">
        <v>444</v>
      </c>
      <c r="C3838" s="5" t="s">
        <v>23</v>
      </c>
      <c r="D3838">
        <v>400</v>
      </c>
      <c r="E3838">
        <v>5</v>
      </c>
      <c r="F3838">
        <v>15</v>
      </c>
      <c r="G3838" s="11">
        <v>2</v>
      </c>
      <c r="H3838" s="5">
        <v>0.06</v>
      </c>
      <c r="I3838" s="11">
        <v>618000</v>
      </c>
      <c r="J3838" s="20">
        <v>1236000</v>
      </c>
      <c r="K38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39" spans="1:11" hidden="1" x14ac:dyDescent="0.25">
      <c r="A3839" s="11"/>
      <c r="B3839" s="11"/>
      <c r="C3839" s="5"/>
      <c r="G3839" s="11"/>
      <c r="H3839" s="5"/>
      <c r="I3839" s="11"/>
      <c r="J3839" s="20"/>
      <c r="K38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0" spans="1:11" x14ac:dyDescent="0.25">
      <c r="A3840" s="11"/>
      <c r="B3840" s="11" t="s">
        <v>594</v>
      </c>
      <c r="C3840" s="5" t="s">
        <v>375</v>
      </c>
      <c r="D3840">
        <v>450</v>
      </c>
      <c r="E3840">
        <v>4</v>
      </c>
      <c r="F3840">
        <v>25</v>
      </c>
      <c r="G3840" s="11">
        <v>2</v>
      </c>
      <c r="H3840" s="5">
        <v>0.09</v>
      </c>
      <c r="I3840" s="11">
        <v>1008000</v>
      </c>
      <c r="J3840" s="20">
        <v>2016000</v>
      </c>
      <c r="K38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1" spans="1:11" hidden="1" x14ac:dyDescent="0.25">
      <c r="A3841" s="11"/>
      <c r="B3841" s="11"/>
      <c r="C3841" s="5"/>
      <c r="G3841" s="11"/>
      <c r="H3841" s="5"/>
      <c r="I3841" s="11"/>
      <c r="J3841" s="20"/>
      <c r="K38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2" spans="1:11" hidden="1" x14ac:dyDescent="0.25">
      <c r="A3842" s="11"/>
      <c r="B3842" s="11"/>
      <c r="C3842" s="5"/>
      <c r="G3842" s="11"/>
      <c r="H3842" s="5"/>
      <c r="I3842" s="11"/>
      <c r="J3842" s="20"/>
      <c r="K38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3" spans="1:11" x14ac:dyDescent="0.25">
      <c r="A3843" s="11" t="s">
        <v>376</v>
      </c>
      <c r="B3843" s="11" t="s">
        <v>575</v>
      </c>
      <c r="C3843" s="5" t="s">
        <v>272</v>
      </c>
      <c r="D3843">
        <v>400</v>
      </c>
      <c r="E3843">
        <v>6</v>
      </c>
      <c r="F3843">
        <v>12</v>
      </c>
      <c r="G3843" s="11">
        <v>3</v>
      </c>
      <c r="H3843" s="5">
        <v>8.6400000000000005E-2</v>
      </c>
      <c r="I3843" s="11">
        <v>195840</v>
      </c>
      <c r="J3843" s="20">
        <v>587520</v>
      </c>
      <c r="K38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44" spans="1:11" hidden="1" x14ac:dyDescent="0.25">
      <c r="A3844" s="11"/>
      <c r="B3844" s="11"/>
      <c r="C3844" s="5"/>
      <c r="G3844" s="11"/>
      <c r="H3844" s="5"/>
      <c r="I3844" s="11"/>
      <c r="J3844" s="20"/>
      <c r="K38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5" spans="1:11" hidden="1" x14ac:dyDescent="0.25">
      <c r="A3845" s="11"/>
      <c r="B3845" s="11"/>
      <c r="C3845" s="5"/>
      <c r="G3845" s="11"/>
      <c r="H3845" s="5"/>
      <c r="I3845" s="11"/>
      <c r="J3845" s="20"/>
      <c r="K38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6" spans="1:11" x14ac:dyDescent="0.25">
      <c r="A3846" s="11" t="s">
        <v>377</v>
      </c>
      <c r="B3846" s="11" t="s">
        <v>477</v>
      </c>
      <c r="C3846" s="5" t="s">
        <v>63</v>
      </c>
      <c r="D3846">
        <v>100</v>
      </c>
      <c r="E3846">
        <v>6</v>
      </c>
      <c r="F3846">
        <v>15</v>
      </c>
      <c r="G3846" s="11">
        <v>5</v>
      </c>
      <c r="H3846" s="5">
        <v>4.4999999999999998E-2</v>
      </c>
      <c r="I3846" s="11">
        <v>163800</v>
      </c>
      <c r="J3846" s="20">
        <v>819000</v>
      </c>
      <c r="K38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47" spans="1:11" hidden="1" x14ac:dyDescent="0.25">
      <c r="A3847" s="11"/>
      <c r="B3847" s="11"/>
      <c r="C3847" s="5"/>
      <c r="G3847" s="11"/>
      <c r="H3847" s="5"/>
      <c r="I3847" s="11"/>
      <c r="J3847" s="20"/>
      <c r="K38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48" spans="1:11" x14ac:dyDescent="0.25">
      <c r="A3848" s="11"/>
      <c r="B3848" s="11" t="s">
        <v>500</v>
      </c>
      <c r="C3848" s="5" t="s">
        <v>95</v>
      </c>
      <c r="D3848">
        <v>210</v>
      </c>
      <c r="E3848">
        <v>6</v>
      </c>
      <c r="F3848">
        <v>15</v>
      </c>
      <c r="G3848" s="11">
        <v>10</v>
      </c>
      <c r="H3848" s="5">
        <v>0.189</v>
      </c>
      <c r="I3848" s="11">
        <v>370440</v>
      </c>
      <c r="J3848" s="20">
        <v>3704400</v>
      </c>
      <c r="K38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49" spans="1:11" hidden="1" x14ac:dyDescent="0.25">
      <c r="A3849" s="11"/>
      <c r="B3849" s="11"/>
      <c r="C3849" s="5"/>
      <c r="G3849" s="11"/>
      <c r="H3849" s="5"/>
      <c r="I3849" s="11"/>
      <c r="J3849" s="20"/>
      <c r="K38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0" spans="1:11" hidden="1" x14ac:dyDescent="0.25">
      <c r="A3850" s="11"/>
      <c r="B3850" s="11"/>
      <c r="C3850" s="5"/>
      <c r="G3850" s="11"/>
      <c r="H3850" s="5"/>
      <c r="I3850" s="11"/>
      <c r="J3850" s="20"/>
      <c r="K38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1" spans="1:11" x14ac:dyDescent="0.25">
      <c r="A3851" s="11" t="s">
        <v>377</v>
      </c>
      <c r="B3851" s="11" t="s">
        <v>433</v>
      </c>
      <c r="C3851" s="5" t="s">
        <v>9</v>
      </c>
      <c r="D3851">
        <v>400</v>
      </c>
      <c r="E3851">
        <v>4</v>
      </c>
      <c r="F3851">
        <v>20</v>
      </c>
      <c r="G3851" s="11">
        <v>1</v>
      </c>
      <c r="H3851" s="5">
        <v>3.2000000000000001E-2</v>
      </c>
      <c r="I3851" s="11">
        <v>323200</v>
      </c>
      <c r="J3851" s="20">
        <v>323200</v>
      </c>
      <c r="K38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2" spans="1:11" hidden="1" x14ac:dyDescent="0.25">
      <c r="A3852" s="11"/>
      <c r="B3852" s="11"/>
      <c r="C3852" s="5"/>
      <c r="G3852" s="11"/>
      <c r="H3852" s="5"/>
      <c r="I3852" s="11"/>
      <c r="J3852" s="20"/>
      <c r="K38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3" spans="1:11" x14ac:dyDescent="0.25">
      <c r="A3853" s="11"/>
      <c r="B3853" s="11" t="s">
        <v>443</v>
      </c>
      <c r="C3853" s="5" t="s">
        <v>21</v>
      </c>
      <c r="D3853">
        <v>400</v>
      </c>
      <c r="E3853">
        <v>4</v>
      </c>
      <c r="F3853">
        <v>25</v>
      </c>
      <c r="G3853" s="11">
        <v>1</v>
      </c>
      <c r="H3853" s="5">
        <v>0.04</v>
      </c>
      <c r="I3853" s="11">
        <v>408000</v>
      </c>
      <c r="J3853" s="20">
        <v>408000</v>
      </c>
      <c r="K38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4" spans="1:11" hidden="1" x14ac:dyDescent="0.25">
      <c r="A3854" s="11"/>
      <c r="B3854" s="11"/>
      <c r="C3854" s="5"/>
      <c r="G3854" s="11"/>
      <c r="H3854" s="5"/>
      <c r="I3854" s="11"/>
      <c r="J3854" s="20"/>
      <c r="K38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5" spans="1:11" x14ac:dyDescent="0.25">
      <c r="A3855" s="11"/>
      <c r="B3855" s="11" t="s">
        <v>595</v>
      </c>
      <c r="C3855" s="5" t="s">
        <v>378</v>
      </c>
      <c r="D3855">
        <v>300</v>
      </c>
      <c r="E3855">
        <v>4</v>
      </c>
      <c r="F3855">
        <v>30</v>
      </c>
      <c r="G3855" s="11">
        <v>1</v>
      </c>
      <c r="H3855" s="5">
        <v>3.5999999999999997E-2</v>
      </c>
      <c r="I3855" s="11">
        <v>374400</v>
      </c>
      <c r="J3855" s="20">
        <v>374400</v>
      </c>
      <c r="K38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6" spans="1:11" hidden="1" x14ac:dyDescent="0.25">
      <c r="A3856" s="11"/>
      <c r="B3856" s="11"/>
      <c r="C3856" s="5"/>
      <c r="G3856" s="11"/>
      <c r="H3856" s="5"/>
      <c r="I3856" s="11"/>
      <c r="J3856" s="20"/>
      <c r="K38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7" spans="1:11" hidden="1" x14ac:dyDescent="0.25">
      <c r="A3857" s="11"/>
      <c r="B3857" s="11"/>
      <c r="C3857" s="5"/>
      <c r="G3857" s="11"/>
      <c r="H3857" s="5"/>
      <c r="I3857" s="11"/>
      <c r="J3857" s="20"/>
      <c r="K38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8" spans="1:11" x14ac:dyDescent="0.25">
      <c r="A3858" s="11" t="s">
        <v>379</v>
      </c>
      <c r="B3858" s="11" t="s">
        <v>560</v>
      </c>
      <c r="C3858" s="5" t="s">
        <v>214</v>
      </c>
      <c r="D3858">
        <v>400</v>
      </c>
      <c r="E3858">
        <v>3</v>
      </c>
      <c r="F3858">
        <v>25</v>
      </c>
      <c r="G3858" s="11">
        <v>1</v>
      </c>
      <c r="H3858" s="5">
        <v>0.03</v>
      </c>
      <c r="I3858" s="11">
        <v>241500</v>
      </c>
      <c r="J3858" s="20">
        <v>241500</v>
      </c>
      <c r="K38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59" spans="1:11" hidden="1" x14ac:dyDescent="0.25">
      <c r="A3859" s="11"/>
      <c r="B3859" s="11"/>
      <c r="C3859" s="5"/>
      <c r="G3859" s="11"/>
      <c r="H3859" s="5"/>
      <c r="I3859" s="11"/>
      <c r="J3859" s="20"/>
      <c r="K38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60" spans="1:11" x14ac:dyDescent="0.25">
      <c r="A3860" s="11"/>
      <c r="B3860" s="11" t="s">
        <v>462</v>
      </c>
      <c r="C3860" s="5" t="s">
        <v>44</v>
      </c>
      <c r="D3860">
        <v>400</v>
      </c>
      <c r="E3860">
        <v>6</v>
      </c>
      <c r="F3860">
        <v>15</v>
      </c>
      <c r="G3860" s="11">
        <v>4</v>
      </c>
      <c r="H3860" s="5">
        <v>0.14399999999999999</v>
      </c>
      <c r="I3860" s="11">
        <v>253800</v>
      </c>
      <c r="J3860" s="20">
        <v>1015200</v>
      </c>
      <c r="K38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61" spans="1:11" hidden="1" x14ac:dyDescent="0.25">
      <c r="A3861" s="11"/>
      <c r="B3861" s="11"/>
      <c r="C3861" s="5"/>
      <c r="G3861" s="11"/>
      <c r="H3861" s="5"/>
      <c r="I3861" s="11"/>
      <c r="J3861" s="20"/>
      <c r="K38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62" spans="1:11" x14ac:dyDescent="0.25">
      <c r="A3862" s="11"/>
      <c r="B3862" s="11" t="s">
        <v>452</v>
      </c>
      <c r="C3862" s="5" t="s">
        <v>32</v>
      </c>
      <c r="D3862">
        <v>500</v>
      </c>
      <c r="E3862">
        <v>6</v>
      </c>
      <c r="F3862">
        <v>17</v>
      </c>
      <c r="G3862" s="11">
        <v>4</v>
      </c>
      <c r="H3862" s="5">
        <v>0.20399999999999999</v>
      </c>
      <c r="I3862" s="11">
        <v>550800</v>
      </c>
      <c r="J3862" s="20">
        <v>2203200</v>
      </c>
      <c r="K38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63" spans="1:11" hidden="1" x14ac:dyDescent="0.25">
      <c r="A3863" s="11"/>
      <c r="B3863" s="11"/>
      <c r="C3863" s="5"/>
      <c r="G3863" s="11"/>
      <c r="H3863" s="5"/>
      <c r="I3863" s="11"/>
      <c r="J3863" s="20"/>
      <c r="K38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64" spans="1:11" hidden="1" x14ac:dyDescent="0.25">
      <c r="A3864" s="11"/>
      <c r="B3864" s="11"/>
      <c r="C3864" s="5"/>
      <c r="G3864" s="11"/>
      <c r="H3864" s="5"/>
      <c r="I3864" s="11"/>
      <c r="J3864" s="20"/>
      <c r="K38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65" spans="1:11" x14ac:dyDescent="0.25">
      <c r="A3865" s="11" t="s">
        <v>379</v>
      </c>
      <c r="B3865" s="11" t="s">
        <v>529</v>
      </c>
      <c r="C3865" s="5" t="s">
        <v>147</v>
      </c>
      <c r="D3865">
        <v>160</v>
      </c>
      <c r="E3865">
        <v>6</v>
      </c>
      <c r="F3865">
        <v>15</v>
      </c>
      <c r="G3865" s="11">
        <v>1</v>
      </c>
      <c r="H3865" s="5">
        <v>1.44E-2</v>
      </c>
      <c r="I3865" s="11">
        <v>262080</v>
      </c>
      <c r="J3865" s="20">
        <v>262080</v>
      </c>
      <c r="K38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66" spans="1:11" hidden="1" x14ac:dyDescent="0.25">
      <c r="A3866" s="11"/>
      <c r="B3866" s="11"/>
      <c r="C3866" s="5"/>
      <c r="G3866" s="11"/>
      <c r="H3866" s="5"/>
      <c r="I3866" s="11"/>
      <c r="J3866" s="20"/>
      <c r="K38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67" spans="1:11" x14ac:dyDescent="0.25">
      <c r="A3867" s="11"/>
      <c r="B3867" s="11" t="s">
        <v>501</v>
      </c>
      <c r="C3867" s="5" t="s">
        <v>96</v>
      </c>
      <c r="D3867">
        <v>250</v>
      </c>
      <c r="E3867">
        <v>6</v>
      </c>
      <c r="F3867">
        <v>15</v>
      </c>
      <c r="G3867" s="11">
        <v>2</v>
      </c>
      <c r="H3867" s="5">
        <v>4.4999999999999998E-2</v>
      </c>
      <c r="I3867" s="11">
        <v>454500</v>
      </c>
      <c r="J3867" s="20">
        <v>909000</v>
      </c>
      <c r="K38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68" spans="1:11" hidden="1" x14ac:dyDescent="0.25">
      <c r="A3868" s="11"/>
      <c r="B3868" s="11"/>
      <c r="C3868" s="5"/>
      <c r="G3868" s="11"/>
      <c r="H3868" s="5"/>
      <c r="I3868" s="11"/>
      <c r="J3868" s="20"/>
      <c r="K38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69" spans="1:11" hidden="1" x14ac:dyDescent="0.25">
      <c r="A3869" s="11"/>
      <c r="B3869" s="11"/>
      <c r="C3869" s="5"/>
      <c r="G3869" s="11"/>
      <c r="H3869" s="5"/>
      <c r="I3869" s="11"/>
      <c r="J3869" s="20"/>
      <c r="K38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0" spans="1:11" x14ac:dyDescent="0.25">
      <c r="A3870" s="11" t="s">
        <v>380</v>
      </c>
      <c r="B3870" s="11" t="s">
        <v>477</v>
      </c>
      <c r="C3870" s="5" t="s">
        <v>63</v>
      </c>
      <c r="D3870">
        <v>100</v>
      </c>
      <c r="E3870">
        <v>6</v>
      </c>
      <c r="F3870">
        <v>15</v>
      </c>
      <c r="G3870" s="11">
        <v>4</v>
      </c>
      <c r="H3870" s="5">
        <v>3.5999999999999997E-2</v>
      </c>
      <c r="I3870" s="11">
        <v>163800</v>
      </c>
      <c r="J3870" s="20">
        <v>655200</v>
      </c>
      <c r="K38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71" spans="1:11" hidden="1" x14ac:dyDescent="0.25">
      <c r="A3871" s="11"/>
      <c r="B3871" s="11"/>
      <c r="C3871" s="5"/>
      <c r="G3871" s="11"/>
      <c r="H3871" s="5"/>
      <c r="I3871" s="11"/>
      <c r="J3871" s="20"/>
      <c r="K38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2" spans="1:11" x14ac:dyDescent="0.25">
      <c r="A3872" s="11"/>
      <c r="B3872" s="11" t="s">
        <v>535</v>
      </c>
      <c r="C3872" s="5" t="s">
        <v>154</v>
      </c>
      <c r="D3872">
        <v>140</v>
      </c>
      <c r="E3872">
        <v>6</v>
      </c>
      <c r="F3872">
        <v>15</v>
      </c>
      <c r="G3872" s="11">
        <v>6</v>
      </c>
      <c r="H3872" s="5">
        <v>7.5600000000000001E-2</v>
      </c>
      <c r="I3872" s="11">
        <v>229320</v>
      </c>
      <c r="J3872" s="20">
        <v>1375920</v>
      </c>
      <c r="K38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73" spans="1:11" hidden="1" x14ac:dyDescent="0.25">
      <c r="A3873" s="11"/>
      <c r="B3873" s="11"/>
      <c r="C3873" s="5"/>
      <c r="G3873" s="11"/>
      <c r="H3873" s="5"/>
      <c r="I3873" s="11"/>
      <c r="J3873" s="20"/>
      <c r="K38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4" spans="1:11" x14ac:dyDescent="0.25">
      <c r="A3874" s="11"/>
      <c r="B3874" s="11" t="s">
        <v>485</v>
      </c>
      <c r="C3874" s="5" t="s">
        <v>74</v>
      </c>
      <c r="D3874">
        <v>150</v>
      </c>
      <c r="E3874">
        <v>6</v>
      </c>
      <c r="F3874">
        <v>15</v>
      </c>
      <c r="G3874" s="11">
        <v>9</v>
      </c>
      <c r="H3874" s="5">
        <v>0.1215</v>
      </c>
      <c r="I3874" s="11">
        <v>245700</v>
      </c>
      <c r="J3874" s="20">
        <v>2211300</v>
      </c>
      <c r="K38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75" spans="1:11" hidden="1" x14ac:dyDescent="0.25">
      <c r="A3875" s="11"/>
      <c r="B3875" s="11"/>
      <c r="C3875" s="5"/>
      <c r="G3875" s="11"/>
      <c r="H3875" s="5"/>
      <c r="I3875" s="11"/>
      <c r="J3875" s="20"/>
      <c r="K38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6" spans="1:11" x14ac:dyDescent="0.25">
      <c r="A3876" s="11"/>
      <c r="B3876" s="11" t="s">
        <v>441</v>
      </c>
      <c r="C3876" s="5" t="s">
        <v>19</v>
      </c>
      <c r="D3876">
        <v>230</v>
      </c>
      <c r="E3876">
        <v>6</v>
      </c>
      <c r="F3876">
        <v>15</v>
      </c>
      <c r="G3876" s="11">
        <v>8</v>
      </c>
      <c r="H3876" s="5">
        <v>0.1656</v>
      </c>
      <c r="I3876" s="11">
        <v>405720</v>
      </c>
      <c r="J3876" s="20">
        <v>3245760</v>
      </c>
      <c r="K38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77" spans="1:11" hidden="1" x14ac:dyDescent="0.25">
      <c r="A3877" s="11"/>
      <c r="B3877" s="11"/>
      <c r="C3877" s="5"/>
      <c r="G3877" s="11"/>
      <c r="H3877" s="5"/>
      <c r="I3877" s="11"/>
      <c r="J3877" s="20"/>
      <c r="K38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8" spans="1:11" hidden="1" x14ac:dyDescent="0.25">
      <c r="A3878" s="11"/>
      <c r="B3878" s="11"/>
      <c r="C3878" s="5"/>
      <c r="G3878" s="11"/>
      <c r="H3878" s="5"/>
      <c r="I3878" s="11"/>
      <c r="J3878" s="20"/>
      <c r="K38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79" spans="1:11" x14ac:dyDescent="0.25">
      <c r="A3879" s="11" t="s">
        <v>380</v>
      </c>
      <c r="B3879" s="11" t="s">
        <v>498</v>
      </c>
      <c r="C3879" s="5" t="s">
        <v>92</v>
      </c>
      <c r="D3879">
        <v>500</v>
      </c>
      <c r="E3879">
        <v>6</v>
      </c>
      <c r="F3879">
        <v>15</v>
      </c>
      <c r="G3879" s="11">
        <v>7</v>
      </c>
      <c r="H3879" s="5">
        <v>0.315</v>
      </c>
      <c r="I3879" s="11">
        <v>454500</v>
      </c>
      <c r="J3879" s="20">
        <v>3181500</v>
      </c>
      <c r="K38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80" spans="1:11" hidden="1" x14ac:dyDescent="0.25">
      <c r="A3880" s="11"/>
      <c r="B3880" s="11"/>
      <c r="C3880" s="5"/>
      <c r="G3880" s="11"/>
      <c r="H3880" s="5"/>
      <c r="I3880" s="11"/>
      <c r="J3880" s="20"/>
      <c r="K38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1" spans="1:11" hidden="1" x14ac:dyDescent="0.25">
      <c r="A3881" s="11"/>
      <c r="B3881" s="11"/>
      <c r="C3881" s="5"/>
      <c r="G3881" s="11"/>
      <c r="H3881" s="5"/>
      <c r="I3881" s="11"/>
      <c r="J3881" s="20"/>
      <c r="K38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2" spans="1:11" x14ac:dyDescent="0.25">
      <c r="A3882" s="11" t="s">
        <v>380</v>
      </c>
      <c r="B3882" s="11" t="s">
        <v>527</v>
      </c>
      <c r="C3882" s="5" t="s">
        <v>143</v>
      </c>
      <c r="D3882">
        <v>400</v>
      </c>
      <c r="E3882">
        <v>4</v>
      </c>
      <c r="F3882">
        <v>20</v>
      </c>
      <c r="G3882" s="11">
        <v>1</v>
      </c>
      <c r="H3882" s="5">
        <v>3.2000000000000001E-2</v>
      </c>
      <c r="I3882" s="11">
        <v>697600</v>
      </c>
      <c r="J3882" s="20">
        <v>697600</v>
      </c>
      <c r="K38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3" spans="1:11" hidden="1" x14ac:dyDescent="0.25">
      <c r="A3883" s="11"/>
      <c r="B3883" s="11"/>
      <c r="C3883" s="5"/>
      <c r="G3883" s="11"/>
      <c r="H3883" s="5"/>
      <c r="I3883" s="11"/>
      <c r="J3883" s="20"/>
      <c r="K38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4" spans="1:11" hidden="1" x14ac:dyDescent="0.25">
      <c r="A3884" s="11"/>
      <c r="B3884" s="11"/>
      <c r="C3884" s="5"/>
      <c r="G3884" s="11"/>
      <c r="H3884" s="5"/>
      <c r="I3884" s="11"/>
      <c r="J3884" s="20"/>
      <c r="K38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5" spans="1:11" x14ac:dyDescent="0.25">
      <c r="A3885" s="11" t="s">
        <v>380</v>
      </c>
      <c r="B3885" s="11" t="s">
        <v>577</v>
      </c>
      <c r="C3885" s="5" t="s">
        <v>284</v>
      </c>
      <c r="D3885">
        <v>400</v>
      </c>
      <c r="E3885">
        <v>8</v>
      </c>
      <c r="F3885">
        <v>15</v>
      </c>
      <c r="G3885" s="11">
        <v>1</v>
      </c>
      <c r="H3885" s="5">
        <v>4.8000000000000001E-2</v>
      </c>
      <c r="I3885" s="11">
        <v>460800</v>
      </c>
      <c r="J3885" s="20">
        <v>460800</v>
      </c>
      <c r="K38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886" spans="1:11" hidden="1" x14ac:dyDescent="0.25">
      <c r="A3886" s="11"/>
      <c r="B3886" s="11"/>
      <c r="C3886" s="5"/>
      <c r="G3886" s="11"/>
      <c r="H3886" s="5"/>
      <c r="I3886" s="11"/>
      <c r="J3886" s="20"/>
      <c r="K38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7" spans="1:11" x14ac:dyDescent="0.25">
      <c r="A3887" s="11"/>
      <c r="B3887" s="11" t="s">
        <v>435</v>
      </c>
      <c r="C3887" s="5" t="s">
        <v>11</v>
      </c>
      <c r="D3887">
        <v>400</v>
      </c>
      <c r="E3887">
        <v>6</v>
      </c>
      <c r="F3887">
        <v>12</v>
      </c>
      <c r="G3887" s="11">
        <v>4</v>
      </c>
      <c r="H3887" s="5">
        <v>0.1152</v>
      </c>
      <c r="I3887" s="11">
        <v>276480</v>
      </c>
      <c r="J3887" s="20">
        <v>1105920</v>
      </c>
      <c r="K38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88" spans="1:11" hidden="1" x14ac:dyDescent="0.25">
      <c r="A3888" s="11"/>
      <c r="B3888" s="11"/>
      <c r="C3888" s="5"/>
      <c r="G3888" s="11"/>
      <c r="H3888" s="5"/>
      <c r="I3888" s="11"/>
      <c r="J3888" s="20"/>
      <c r="K38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89" spans="1:11" hidden="1" x14ac:dyDescent="0.25">
      <c r="A3889" s="11"/>
      <c r="B3889" s="11"/>
      <c r="C3889" s="5"/>
      <c r="G3889" s="11"/>
      <c r="H3889" s="5"/>
      <c r="I3889" s="11"/>
      <c r="J3889" s="20"/>
      <c r="K38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0" spans="1:11" x14ac:dyDescent="0.25">
      <c r="A3890" s="11" t="s">
        <v>381</v>
      </c>
      <c r="B3890" s="11" t="s">
        <v>486</v>
      </c>
      <c r="C3890" s="5" t="s">
        <v>76</v>
      </c>
      <c r="D3890">
        <v>400</v>
      </c>
      <c r="E3890">
        <v>3</v>
      </c>
      <c r="F3890">
        <v>25</v>
      </c>
      <c r="G3890" s="11">
        <v>1</v>
      </c>
      <c r="H3890" s="5">
        <v>0.03</v>
      </c>
      <c r="I3890" s="11">
        <v>657000</v>
      </c>
      <c r="J3890" s="20">
        <v>657000</v>
      </c>
      <c r="K38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1" spans="1:11" hidden="1" x14ac:dyDescent="0.25">
      <c r="A3891" s="11"/>
      <c r="B3891" s="11"/>
      <c r="C3891" s="5"/>
      <c r="G3891" s="11"/>
      <c r="H3891" s="5"/>
      <c r="I3891" s="11"/>
      <c r="J3891" s="20"/>
      <c r="K38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2" spans="1:11" x14ac:dyDescent="0.25">
      <c r="A3892" s="11"/>
      <c r="B3892" s="11" t="s">
        <v>496</v>
      </c>
      <c r="C3892" s="5" t="s">
        <v>89</v>
      </c>
      <c r="D3892">
        <v>400</v>
      </c>
      <c r="E3892">
        <v>5</v>
      </c>
      <c r="F3892">
        <v>30</v>
      </c>
      <c r="G3892" s="11">
        <v>1</v>
      </c>
      <c r="H3892" s="5">
        <v>0.06</v>
      </c>
      <c r="I3892" s="11">
        <v>1344000</v>
      </c>
      <c r="J3892" s="20">
        <v>1344000</v>
      </c>
      <c r="K38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3893" spans="1:11" hidden="1" x14ac:dyDescent="0.25">
      <c r="A3893" s="11"/>
      <c r="B3893" s="11"/>
      <c r="C3893" s="5"/>
      <c r="G3893" s="11"/>
      <c r="H3893" s="5"/>
      <c r="I3893" s="11"/>
      <c r="J3893" s="20"/>
      <c r="K38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4" spans="1:11" hidden="1" x14ac:dyDescent="0.25">
      <c r="A3894" s="11"/>
      <c r="B3894" s="11"/>
      <c r="C3894" s="5"/>
      <c r="G3894" s="11"/>
      <c r="H3894" s="5"/>
      <c r="I3894" s="11"/>
      <c r="J3894" s="20"/>
      <c r="K38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5" spans="1:11" x14ac:dyDescent="0.25">
      <c r="A3895" s="11" t="s">
        <v>381</v>
      </c>
      <c r="B3895" s="11" t="s">
        <v>449</v>
      </c>
      <c r="C3895" s="5" t="s">
        <v>28</v>
      </c>
      <c r="D3895">
        <v>260</v>
      </c>
      <c r="E3895">
        <v>6</v>
      </c>
      <c r="F3895">
        <v>15</v>
      </c>
      <c r="G3895" s="11">
        <v>6</v>
      </c>
      <c r="H3895" s="5">
        <v>0.1404</v>
      </c>
      <c r="I3895" s="11">
        <v>458640</v>
      </c>
      <c r="J3895" s="20">
        <v>2751840</v>
      </c>
      <c r="K38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896" spans="1:11" hidden="1" x14ac:dyDescent="0.25">
      <c r="A3896" s="11"/>
      <c r="B3896" s="11"/>
      <c r="C3896" s="5"/>
      <c r="G3896" s="11"/>
      <c r="H3896" s="5"/>
      <c r="I3896" s="11"/>
      <c r="J3896" s="20"/>
      <c r="K38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7" spans="1:11" hidden="1" x14ac:dyDescent="0.25">
      <c r="A3897" s="11"/>
      <c r="B3897" s="11"/>
      <c r="C3897" s="5"/>
      <c r="G3897" s="11"/>
      <c r="H3897" s="5"/>
      <c r="I3897" s="11"/>
      <c r="J3897" s="20"/>
      <c r="K38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8" spans="1:11" x14ac:dyDescent="0.25">
      <c r="A3898" s="11" t="s">
        <v>382</v>
      </c>
      <c r="B3898" s="11" t="s">
        <v>439</v>
      </c>
      <c r="C3898" s="5" t="s">
        <v>16</v>
      </c>
      <c r="D3898">
        <v>400</v>
      </c>
      <c r="E3898">
        <v>3</v>
      </c>
      <c r="F3898">
        <v>30</v>
      </c>
      <c r="G3898" s="11">
        <v>4</v>
      </c>
      <c r="H3898" s="5">
        <v>0.14399999999999999</v>
      </c>
      <c r="I3898" s="11">
        <v>374400</v>
      </c>
      <c r="J3898" s="20">
        <v>1497600</v>
      </c>
      <c r="K38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899" spans="1:11" hidden="1" x14ac:dyDescent="0.25">
      <c r="A3899" s="11"/>
      <c r="B3899" s="11"/>
      <c r="C3899" s="5"/>
      <c r="G3899" s="11"/>
      <c r="H3899" s="5"/>
      <c r="I3899" s="11"/>
      <c r="J3899" s="20"/>
      <c r="K38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0" spans="1:11" x14ac:dyDescent="0.25">
      <c r="A3900" s="11"/>
      <c r="B3900" s="11" t="s">
        <v>443</v>
      </c>
      <c r="C3900" s="5" t="s">
        <v>21</v>
      </c>
      <c r="D3900">
        <v>400</v>
      </c>
      <c r="E3900">
        <v>4</v>
      </c>
      <c r="F3900">
        <v>25</v>
      </c>
      <c r="G3900" s="11">
        <v>2</v>
      </c>
      <c r="H3900" s="5">
        <v>0.08</v>
      </c>
      <c r="I3900" s="11">
        <v>408000</v>
      </c>
      <c r="J3900" s="20">
        <v>816000</v>
      </c>
      <c r="K39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1" spans="1:11" hidden="1" x14ac:dyDescent="0.25">
      <c r="A3901" s="11"/>
      <c r="B3901" s="11"/>
      <c r="C3901" s="5"/>
      <c r="G3901" s="11"/>
      <c r="H3901" s="5"/>
      <c r="I3901" s="11"/>
      <c r="J3901" s="20"/>
      <c r="K39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2" spans="1:11" x14ac:dyDescent="0.25">
      <c r="A3902" s="11"/>
      <c r="B3902" s="11" t="s">
        <v>434</v>
      </c>
      <c r="C3902" s="5" t="s">
        <v>10</v>
      </c>
      <c r="D3902">
        <v>400</v>
      </c>
      <c r="E3902">
        <v>4</v>
      </c>
      <c r="F3902">
        <v>30</v>
      </c>
      <c r="G3902" s="11">
        <v>1</v>
      </c>
      <c r="H3902" s="5">
        <v>4.8000000000000001E-2</v>
      </c>
      <c r="I3902" s="11">
        <v>499200</v>
      </c>
      <c r="J3902" s="20">
        <v>499200</v>
      </c>
      <c r="K39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3" spans="1:11" hidden="1" x14ac:dyDescent="0.25">
      <c r="A3903" s="11"/>
      <c r="B3903" s="11"/>
      <c r="C3903" s="5"/>
      <c r="G3903" s="11"/>
      <c r="H3903" s="5"/>
      <c r="I3903" s="11"/>
      <c r="J3903" s="20"/>
      <c r="K39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4" spans="1:11" hidden="1" x14ac:dyDescent="0.25">
      <c r="A3904" s="11"/>
      <c r="B3904" s="11"/>
      <c r="C3904" s="5"/>
      <c r="G3904" s="11"/>
      <c r="H3904" s="5"/>
      <c r="I3904" s="11"/>
      <c r="J3904" s="20"/>
      <c r="K39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5" spans="1:11" x14ac:dyDescent="0.25">
      <c r="A3905" s="11" t="s">
        <v>382</v>
      </c>
      <c r="B3905" s="11" t="s">
        <v>578</v>
      </c>
      <c r="C3905" s="5" t="s">
        <v>287</v>
      </c>
      <c r="D3905">
        <v>500</v>
      </c>
      <c r="E3905">
        <v>2</v>
      </c>
      <c r="F3905">
        <v>20</v>
      </c>
      <c r="G3905" s="11">
        <v>4</v>
      </c>
      <c r="H3905" s="5">
        <v>0.08</v>
      </c>
      <c r="I3905" s="11">
        <v>478000</v>
      </c>
      <c r="J3905" s="20">
        <v>1912000</v>
      </c>
      <c r="K39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6" spans="1:11" hidden="1" x14ac:dyDescent="0.25">
      <c r="A3906" s="11"/>
      <c r="B3906" s="11"/>
      <c r="C3906" s="5"/>
      <c r="G3906" s="11"/>
      <c r="H3906" s="5"/>
      <c r="I3906" s="11"/>
      <c r="J3906" s="20"/>
      <c r="K39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7" spans="1:11" hidden="1" x14ac:dyDescent="0.25">
      <c r="A3907" s="11"/>
      <c r="B3907" s="11"/>
      <c r="C3907" s="5"/>
      <c r="G3907" s="11"/>
      <c r="H3907" s="5"/>
      <c r="I3907" s="11"/>
      <c r="J3907" s="20"/>
      <c r="K39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08" spans="1:11" x14ac:dyDescent="0.25">
      <c r="A3908" s="11" t="s">
        <v>382</v>
      </c>
      <c r="B3908" s="11" t="s">
        <v>449</v>
      </c>
      <c r="C3908" s="5" t="s">
        <v>28</v>
      </c>
      <c r="D3908">
        <v>260</v>
      </c>
      <c r="E3908">
        <v>6</v>
      </c>
      <c r="F3908">
        <v>15</v>
      </c>
      <c r="G3908" s="11">
        <v>6</v>
      </c>
      <c r="H3908" s="5">
        <v>0.1404</v>
      </c>
      <c r="I3908" s="11">
        <v>458640</v>
      </c>
      <c r="J3908" s="20">
        <v>2751840</v>
      </c>
      <c r="K39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09" spans="1:11" hidden="1" x14ac:dyDescent="0.25">
      <c r="A3909" s="11"/>
      <c r="B3909" s="11"/>
      <c r="C3909" s="5"/>
      <c r="G3909" s="11"/>
      <c r="H3909" s="5"/>
      <c r="I3909" s="11"/>
      <c r="J3909" s="20"/>
      <c r="K39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0" spans="1:11" x14ac:dyDescent="0.25">
      <c r="A3910" s="11"/>
      <c r="B3910" s="11" t="s">
        <v>532</v>
      </c>
      <c r="C3910" s="5" t="s">
        <v>150</v>
      </c>
      <c r="D3910">
        <v>280</v>
      </c>
      <c r="E3910">
        <v>6</v>
      </c>
      <c r="F3910">
        <v>15</v>
      </c>
      <c r="G3910" s="11">
        <v>2</v>
      </c>
      <c r="H3910" s="5">
        <v>5.04E-2</v>
      </c>
      <c r="I3910" s="11">
        <v>493920</v>
      </c>
      <c r="J3910" s="20">
        <v>987840</v>
      </c>
      <c r="K39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11" spans="1:11" hidden="1" x14ac:dyDescent="0.25">
      <c r="A3911" s="11"/>
      <c r="B3911" s="11"/>
      <c r="C3911" s="5"/>
      <c r="G3911" s="11"/>
      <c r="H3911" s="5"/>
      <c r="I3911" s="11"/>
      <c r="J3911" s="20"/>
      <c r="K39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2" spans="1:11" hidden="1" x14ac:dyDescent="0.25">
      <c r="A3912" s="11"/>
      <c r="B3912" s="11"/>
      <c r="C3912" s="5"/>
      <c r="G3912" s="11"/>
      <c r="H3912" s="5"/>
      <c r="I3912" s="11"/>
      <c r="J3912" s="20"/>
      <c r="K39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3" spans="1:11" x14ac:dyDescent="0.25">
      <c r="A3913" s="11" t="s">
        <v>382</v>
      </c>
      <c r="B3913" s="11" t="s">
        <v>533</v>
      </c>
      <c r="C3913" s="5" t="s">
        <v>152</v>
      </c>
      <c r="D3913">
        <v>400</v>
      </c>
      <c r="E3913">
        <v>3</v>
      </c>
      <c r="F3913">
        <v>20</v>
      </c>
      <c r="G3913" s="11">
        <v>1</v>
      </c>
      <c r="H3913" s="5">
        <v>2.4E-2</v>
      </c>
      <c r="I3913" s="11">
        <v>523200</v>
      </c>
      <c r="J3913" s="20">
        <v>523200</v>
      </c>
      <c r="K39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4" spans="1:11" hidden="1" x14ac:dyDescent="0.25">
      <c r="A3914" s="11"/>
      <c r="B3914" s="11"/>
      <c r="C3914" s="5"/>
      <c r="G3914" s="11"/>
      <c r="H3914" s="5"/>
      <c r="I3914" s="11"/>
      <c r="J3914" s="20"/>
      <c r="K39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5" spans="1:11" hidden="1" x14ac:dyDescent="0.25">
      <c r="A3915" s="11"/>
      <c r="B3915" s="11"/>
      <c r="C3915" s="5"/>
      <c r="G3915" s="11"/>
      <c r="H3915" s="5"/>
      <c r="I3915" s="11"/>
      <c r="J3915" s="20"/>
      <c r="K39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6" spans="1:11" x14ac:dyDescent="0.25">
      <c r="A3916" s="11" t="s">
        <v>383</v>
      </c>
      <c r="B3916" s="11" t="s">
        <v>477</v>
      </c>
      <c r="C3916" s="5" t="s">
        <v>63</v>
      </c>
      <c r="D3916">
        <v>100</v>
      </c>
      <c r="E3916">
        <v>6</v>
      </c>
      <c r="F3916">
        <v>15</v>
      </c>
      <c r="G3916" s="11">
        <v>1</v>
      </c>
      <c r="H3916" s="5">
        <v>8.9999999999999993E-3</v>
      </c>
      <c r="I3916" s="11">
        <v>163800</v>
      </c>
      <c r="J3916" s="20">
        <v>163800</v>
      </c>
      <c r="K39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17" spans="1:11" hidden="1" x14ac:dyDescent="0.25">
      <c r="A3917" s="11"/>
      <c r="B3917" s="11"/>
      <c r="C3917" s="5"/>
      <c r="G3917" s="11"/>
      <c r="H3917" s="5"/>
      <c r="I3917" s="11"/>
      <c r="J3917" s="20"/>
      <c r="K39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18" spans="1:11" x14ac:dyDescent="0.25">
      <c r="A3918" s="11"/>
      <c r="B3918" s="11" t="s">
        <v>541</v>
      </c>
      <c r="C3918" s="5" t="s">
        <v>167</v>
      </c>
      <c r="D3918">
        <v>110</v>
      </c>
      <c r="E3918">
        <v>6</v>
      </c>
      <c r="F3918">
        <v>15</v>
      </c>
      <c r="G3918" s="11">
        <v>1</v>
      </c>
      <c r="H3918" s="5">
        <v>9.9000000000000008E-3</v>
      </c>
      <c r="I3918" s="11">
        <v>180180</v>
      </c>
      <c r="J3918" s="20">
        <v>180180</v>
      </c>
      <c r="K39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19" spans="1:11" hidden="1" x14ac:dyDescent="0.25">
      <c r="A3919" s="11"/>
      <c r="B3919" s="11"/>
      <c r="C3919" s="5"/>
      <c r="G3919" s="11"/>
      <c r="H3919" s="5"/>
      <c r="I3919" s="11"/>
      <c r="J3919" s="20"/>
      <c r="K39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0" spans="1:11" x14ac:dyDescent="0.25">
      <c r="A3920" s="11"/>
      <c r="B3920" s="11" t="s">
        <v>547</v>
      </c>
      <c r="C3920" s="5" t="s">
        <v>182</v>
      </c>
      <c r="D3920">
        <v>120</v>
      </c>
      <c r="E3920">
        <v>6</v>
      </c>
      <c r="F3920">
        <v>15</v>
      </c>
      <c r="G3920" s="11">
        <v>1</v>
      </c>
      <c r="H3920" s="5">
        <v>1.0800000000000001E-2</v>
      </c>
      <c r="I3920" s="11">
        <v>196560</v>
      </c>
      <c r="J3920" s="20">
        <v>196560</v>
      </c>
      <c r="K39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21" spans="1:11" hidden="1" x14ac:dyDescent="0.25">
      <c r="A3921" s="11"/>
      <c r="B3921" s="11"/>
      <c r="C3921" s="5"/>
      <c r="G3921" s="11"/>
      <c r="H3921" s="5"/>
      <c r="I3921" s="11"/>
      <c r="J3921" s="20"/>
      <c r="K39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2" spans="1:11" x14ac:dyDescent="0.25">
      <c r="A3922" s="11"/>
      <c r="B3922" s="11" t="s">
        <v>479</v>
      </c>
      <c r="C3922" s="5" t="s">
        <v>65</v>
      </c>
      <c r="D3922">
        <v>240</v>
      </c>
      <c r="E3922">
        <v>6</v>
      </c>
      <c r="F3922">
        <v>15</v>
      </c>
      <c r="G3922" s="11">
        <v>4</v>
      </c>
      <c r="H3922" s="5">
        <v>8.6400000000000005E-2</v>
      </c>
      <c r="I3922" s="11">
        <v>423360</v>
      </c>
      <c r="J3922" s="20">
        <v>1693440</v>
      </c>
      <c r="K39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23" spans="1:11" hidden="1" x14ac:dyDescent="0.25">
      <c r="A3923" s="11"/>
      <c r="B3923" s="11"/>
      <c r="C3923" s="5"/>
      <c r="G3923" s="11"/>
      <c r="H3923" s="5"/>
      <c r="I3923" s="11"/>
      <c r="J3923" s="20"/>
      <c r="K39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4" spans="1:11" x14ac:dyDescent="0.25">
      <c r="A3924" s="11"/>
      <c r="B3924" s="11" t="s">
        <v>451</v>
      </c>
      <c r="C3924" s="5" t="s">
        <v>30</v>
      </c>
      <c r="D3924">
        <v>90</v>
      </c>
      <c r="E3924">
        <v>6</v>
      </c>
      <c r="F3924">
        <v>15</v>
      </c>
      <c r="G3924" s="11">
        <v>1</v>
      </c>
      <c r="H3924" s="5">
        <v>8.0999999999999996E-3</v>
      </c>
      <c r="I3924" s="11">
        <v>147420</v>
      </c>
      <c r="J3924" s="20">
        <v>147420</v>
      </c>
      <c r="K39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25" spans="1:11" hidden="1" x14ac:dyDescent="0.25">
      <c r="A3925" s="11"/>
      <c r="B3925" s="11"/>
      <c r="C3925" s="5"/>
      <c r="G3925" s="11"/>
      <c r="H3925" s="5"/>
      <c r="I3925" s="11"/>
      <c r="J3925" s="20"/>
      <c r="K39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6" spans="1:11" hidden="1" x14ac:dyDescent="0.25">
      <c r="A3926" s="11"/>
      <c r="B3926" s="11"/>
      <c r="C3926" s="5"/>
      <c r="G3926" s="11"/>
      <c r="H3926" s="5"/>
      <c r="I3926" s="11"/>
      <c r="J3926" s="20"/>
      <c r="K39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7" spans="1:11" x14ac:dyDescent="0.25">
      <c r="A3927" s="11" t="s">
        <v>383</v>
      </c>
      <c r="B3927" s="11" t="s">
        <v>507</v>
      </c>
      <c r="C3927" s="5" t="s">
        <v>104</v>
      </c>
      <c r="D3927">
        <v>400</v>
      </c>
      <c r="E3927">
        <v>4</v>
      </c>
      <c r="F3927">
        <v>25</v>
      </c>
      <c r="G3927" s="11">
        <v>2</v>
      </c>
      <c r="H3927" s="5">
        <v>0.08</v>
      </c>
      <c r="I3927" s="11">
        <v>876000</v>
      </c>
      <c r="J3927" s="20">
        <v>1752000</v>
      </c>
      <c r="K39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8" spans="1:11" hidden="1" x14ac:dyDescent="0.25">
      <c r="A3928" s="11"/>
      <c r="B3928" s="11"/>
      <c r="C3928" s="5"/>
      <c r="G3928" s="11"/>
      <c r="H3928" s="5"/>
      <c r="I3928" s="11"/>
      <c r="J3928" s="20"/>
      <c r="K39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29" spans="1:11" hidden="1" x14ac:dyDescent="0.25">
      <c r="A3929" s="11"/>
      <c r="B3929" s="11"/>
      <c r="C3929" s="5"/>
      <c r="G3929" s="11"/>
      <c r="H3929" s="5"/>
      <c r="I3929" s="11"/>
      <c r="J3929" s="20"/>
      <c r="K39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0" spans="1:11" x14ac:dyDescent="0.25">
      <c r="A3930" s="11" t="s">
        <v>383</v>
      </c>
      <c r="B3930" s="11" t="s">
        <v>462</v>
      </c>
      <c r="C3930" s="5" t="s">
        <v>44</v>
      </c>
      <c r="D3930">
        <v>400</v>
      </c>
      <c r="E3930">
        <v>6</v>
      </c>
      <c r="F3930">
        <v>15</v>
      </c>
      <c r="G3930" s="11">
        <v>20</v>
      </c>
      <c r="H3930" s="5">
        <v>0.72</v>
      </c>
      <c r="I3930" s="11">
        <v>244800</v>
      </c>
      <c r="J3930" s="20">
        <v>4896000</v>
      </c>
      <c r="K39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31" spans="1:11" hidden="1" x14ac:dyDescent="0.25">
      <c r="A3931" s="11"/>
      <c r="B3931" s="11"/>
      <c r="C3931" s="5"/>
      <c r="G3931" s="11"/>
      <c r="H3931" s="5"/>
      <c r="I3931" s="11"/>
      <c r="J3931" s="20"/>
      <c r="K39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2" spans="1:11" hidden="1" x14ac:dyDescent="0.25">
      <c r="A3932" s="11"/>
      <c r="B3932" s="11"/>
      <c r="C3932" s="5"/>
      <c r="G3932" s="11"/>
      <c r="H3932" s="5"/>
      <c r="I3932" s="11"/>
      <c r="J3932" s="20"/>
      <c r="K39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3" spans="1:11" x14ac:dyDescent="0.25">
      <c r="A3933" s="11" t="s">
        <v>383</v>
      </c>
      <c r="B3933" s="11" t="s">
        <v>486</v>
      </c>
      <c r="C3933" s="5" t="s">
        <v>76</v>
      </c>
      <c r="D3933">
        <v>400</v>
      </c>
      <c r="E3933">
        <v>3</v>
      </c>
      <c r="F3933">
        <v>25</v>
      </c>
      <c r="G3933" s="11">
        <v>1</v>
      </c>
      <c r="H3933" s="5">
        <v>0.03</v>
      </c>
      <c r="I3933" s="11">
        <v>657000</v>
      </c>
      <c r="J3933" s="20">
        <v>657000</v>
      </c>
      <c r="K39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4" spans="1:11" hidden="1" x14ac:dyDescent="0.25">
      <c r="A3934" s="11"/>
      <c r="B3934" s="11"/>
      <c r="C3934" s="5"/>
      <c r="G3934" s="11"/>
      <c r="H3934" s="5"/>
      <c r="I3934" s="11"/>
      <c r="J3934" s="20"/>
      <c r="K39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5" spans="1:11" x14ac:dyDescent="0.25">
      <c r="A3935" s="11"/>
      <c r="B3935" s="11" t="s">
        <v>507</v>
      </c>
      <c r="C3935" s="5" t="s">
        <v>104</v>
      </c>
      <c r="D3935">
        <v>400</v>
      </c>
      <c r="E3935">
        <v>4</v>
      </c>
      <c r="F3935">
        <v>25</v>
      </c>
      <c r="G3935" s="11">
        <v>1</v>
      </c>
      <c r="H3935" s="5">
        <v>0.04</v>
      </c>
      <c r="I3935" s="11">
        <v>876000</v>
      </c>
      <c r="J3935" s="20">
        <v>876000</v>
      </c>
      <c r="K39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6" spans="1:11" hidden="1" x14ac:dyDescent="0.25">
      <c r="A3936" s="11"/>
      <c r="B3936" s="11"/>
      <c r="C3936" s="5"/>
      <c r="G3936" s="11"/>
      <c r="H3936" s="5"/>
      <c r="I3936" s="11"/>
      <c r="J3936" s="20"/>
      <c r="K39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7" spans="1:11" x14ac:dyDescent="0.25">
      <c r="A3937" s="11"/>
      <c r="B3937" s="11" t="s">
        <v>535</v>
      </c>
      <c r="C3937" s="5" t="s">
        <v>154</v>
      </c>
      <c r="D3937">
        <v>140</v>
      </c>
      <c r="E3937">
        <v>6</v>
      </c>
      <c r="F3937">
        <v>15</v>
      </c>
      <c r="G3937" s="11">
        <v>2</v>
      </c>
      <c r="H3937" s="5">
        <v>2.52E-2</v>
      </c>
      <c r="I3937" s="11">
        <v>229320</v>
      </c>
      <c r="J3937" s="20">
        <v>458640</v>
      </c>
      <c r="K39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38" spans="1:11" hidden="1" x14ac:dyDescent="0.25">
      <c r="A3938" s="11"/>
      <c r="B3938" s="11"/>
      <c r="C3938" s="5"/>
      <c r="G3938" s="11"/>
      <c r="H3938" s="5"/>
      <c r="I3938" s="11"/>
      <c r="J3938" s="20"/>
      <c r="K39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39" spans="1:11" x14ac:dyDescent="0.25">
      <c r="A3939" s="11"/>
      <c r="B3939" s="11" t="s">
        <v>485</v>
      </c>
      <c r="C3939" s="5" t="s">
        <v>74</v>
      </c>
      <c r="D3939">
        <v>150</v>
      </c>
      <c r="E3939">
        <v>6</v>
      </c>
      <c r="F3939">
        <v>15</v>
      </c>
      <c r="G3939" s="11">
        <v>3</v>
      </c>
      <c r="H3939" s="5">
        <v>4.0500000000000001E-2</v>
      </c>
      <c r="I3939" s="11">
        <v>245700</v>
      </c>
      <c r="J3939" s="20">
        <v>737100</v>
      </c>
      <c r="K39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40" spans="1:11" hidden="1" x14ac:dyDescent="0.25">
      <c r="A3940" s="11"/>
      <c r="B3940" s="11"/>
      <c r="C3940" s="5"/>
      <c r="G3940" s="11"/>
      <c r="H3940" s="5"/>
      <c r="I3940" s="11"/>
      <c r="J3940" s="20"/>
      <c r="K39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41" spans="1:11" x14ac:dyDescent="0.25">
      <c r="A3941" s="11"/>
      <c r="B3941" s="11" t="s">
        <v>441</v>
      </c>
      <c r="C3941" s="5" t="s">
        <v>19</v>
      </c>
      <c r="D3941">
        <v>230</v>
      </c>
      <c r="E3941">
        <v>6</v>
      </c>
      <c r="F3941">
        <v>15</v>
      </c>
      <c r="G3941" s="11">
        <v>1</v>
      </c>
      <c r="H3941" s="5">
        <v>2.07E-2</v>
      </c>
      <c r="I3941" s="11">
        <v>405720</v>
      </c>
      <c r="J3941" s="20">
        <v>405720</v>
      </c>
      <c r="K39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42" spans="1:11" hidden="1" x14ac:dyDescent="0.25">
      <c r="A3942" s="11"/>
      <c r="B3942" s="11"/>
      <c r="C3942" s="5"/>
      <c r="G3942" s="11"/>
      <c r="H3942" s="5"/>
      <c r="I3942" s="11"/>
      <c r="J3942" s="20"/>
      <c r="K39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43" spans="1:11" x14ac:dyDescent="0.25">
      <c r="A3943" s="11"/>
      <c r="B3943" s="11" t="s">
        <v>479</v>
      </c>
      <c r="C3943" s="5" t="s">
        <v>65</v>
      </c>
      <c r="D3943">
        <v>240</v>
      </c>
      <c r="E3943">
        <v>6</v>
      </c>
      <c r="F3943">
        <v>15</v>
      </c>
      <c r="G3943" s="11">
        <v>1</v>
      </c>
      <c r="H3943" s="5">
        <v>2.1600000000000001E-2</v>
      </c>
      <c r="I3943" s="11">
        <v>423360</v>
      </c>
      <c r="J3943" s="20">
        <v>423360</v>
      </c>
      <c r="K39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44" spans="1:11" hidden="1" x14ac:dyDescent="0.25">
      <c r="A3944" s="11"/>
      <c r="B3944" s="11"/>
      <c r="C3944" s="5"/>
      <c r="G3944" s="11"/>
      <c r="H3944" s="5"/>
      <c r="I3944" s="11"/>
      <c r="J3944" s="20"/>
      <c r="K39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45" spans="1:11" x14ac:dyDescent="0.25">
      <c r="A3945" s="11"/>
      <c r="B3945" s="11" t="s">
        <v>451</v>
      </c>
      <c r="C3945" s="5" t="s">
        <v>30</v>
      </c>
      <c r="D3945">
        <v>90</v>
      </c>
      <c r="E3945">
        <v>6</v>
      </c>
      <c r="F3945">
        <v>15</v>
      </c>
      <c r="G3945" s="11">
        <v>1</v>
      </c>
      <c r="H3945" s="5">
        <v>8.0999999999999996E-3</v>
      </c>
      <c r="I3945" s="11">
        <v>147420</v>
      </c>
      <c r="J3945" s="20">
        <v>147420</v>
      </c>
      <c r="K39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46" spans="1:11" hidden="1" x14ac:dyDescent="0.25">
      <c r="A3946" s="11"/>
      <c r="B3946" s="11"/>
      <c r="C3946" s="5"/>
      <c r="G3946" s="11"/>
      <c r="H3946" s="5"/>
      <c r="I3946" s="11"/>
      <c r="J3946" s="20"/>
      <c r="K39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47" spans="1:11" hidden="1" x14ac:dyDescent="0.25">
      <c r="A3947" s="11"/>
      <c r="B3947" s="11"/>
      <c r="C3947" s="5"/>
      <c r="G3947" s="11"/>
      <c r="H3947" s="5"/>
      <c r="I3947" s="11"/>
      <c r="J3947" s="20"/>
      <c r="K39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48" spans="1:11" x14ac:dyDescent="0.25">
      <c r="A3948" s="11" t="s">
        <v>383</v>
      </c>
      <c r="B3948" s="11" t="s">
        <v>574</v>
      </c>
      <c r="C3948" s="5" t="s">
        <v>270</v>
      </c>
      <c r="D3948">
        <v>400</v>
      </c>
      <c r="E3948">
        <v>4</v>
      </c>
      <c r="F3948">
        <v>25</v>
      </c>
      <c r="G3948" s="11">
        <v>2</v>
      </c>
      <c r="H3948" s="5">
        <v>0.08</v>
      </c>
      <c r="I3948" s="11">
        <v>900000</v>
      </c>
      <c r="J3948" s="20">
        <v>1800000</v>
      </c>
      <c r="K39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49" spans="1:11" hidden="1" x14ac:dyDescent="0.25">
      <c r="A3949" s="11"/>
      <c r="B3949" s="11"/>
      <c r="C3949" s="5"/>
      <c r="G3949" s="11"/>
      <c r="H3949" s="5"/>
      <c r="I3949" s="11"/>
      <c r="J3949" s="20"/>
      <c r="K39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0" spans="1:11" hidden="1" x14ac:dyDescent="0.25">
      <c r="A3950" s="11"/>
      <c r="B3950" s="11"/>
      <c r="C3950" s="5"/>
      <c r="G3950" s="11"/>
      <c r="H3950" s="5"/>
      <c r="I3950" s="11"/>
      <c r="J3950" s="20"/>
      <c r="K39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1" spans="1:11" x14ac:dyDescent="0.25">
      <c r="A3951" s="11" t="s">
        <v>384</v>
      </c>
      <c r="B3951" s="11" t="s">
        <v>439</v>
      </c>
      <c r="C3951" s="5" t="s">
        <v>16</v>
      </c>
      <c r="D3951">
        <v>400</v>
      </c>
      <c r="E3951">
        <v>3</v>
      </c>
      <c r="F3951">
        <v>30</v>
      </c>
      <c r="G3951" s="11">
        <v>1</v>
      </c>
      <c r="H3951" s="5">
        <v>3.5999999999999997E-2</v>
      </c>
      <c r="I3951" s="11">
        <v>374400</v>
      </c>
      <c r="J3951" s="20">
        <v>374400</v>
      </c>
      <c r="K39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2" spans="1:11" hidden="1" x14ac:dyDescent="0.25">
      <c r="A3952" s="11"/>
      <c r="B3952" s="11"/>
      <c r="C3952" s="5"/>
      <c r="G3952" s="11"/>
      <c r="H3952" s="5"/>
      <c r="I3952" s="11"/>
      <c r="J3952" s="20"/>
      <c r="K39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3" spans="1:11" x14ac:dyDescent="0.25">
      <c r="A3953" s="11"/>
      <c r="B3953" s="11" t="s">
        <v>434</v>
      </c>
      <c r="C3953" s="5" t="s">
        <v>10</v>
      </c>
      <c r="D3953">
        <v>400</v>
      </c>
      <c r="E3953">
        <v>4</v>
      </c>
      <c r="F3953">
        <v>30</v>
      </c>
      <c r="G3953" s="11">
        <v>1</v>
      </c>
      <c r="H3953" s="5">
        <v>4.8000000000000001E-2</v>
      </c>
      <c r="I3953" s="11">
        <v>499200</v>
      </c>
      <c r="J3953" s="20">
        <v>499200</v>
      </c>
      <c r="K39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4" spans="1:11" hidden="1" x14ac:dyDescent="0.25">
      <c r="A3954" s="11"/>
      <c r="B3954" s="11"/>
      <c r="C3954" s="5"/>
      <c r="G3954" s="11"/>
      <c r="H3954" s="5"/>
      <c r="I3954" s="11"/>
      <c r="J3954" s="20"/>
      <c r="K39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5" spans="1:11" x14ac:dyDescent="0.25">
      <c r="A3955" s="11"/>
      <c r="B3955" s="11" t="s">
        <v>481</v>
      </c>
      <c r="C3955" s="5" t="s">
        <v>68</v>
      </c>
      <c r="D3955">
        <v>400</v>
      </c>
      <c r="E3955">
        <v>6</v>
      </c>
      <c r="F3955">
        <v>15</v>
      </c>
      <c r="G3955" s="11">
        <v>3</v>
      </c>
      <c r="H3955" s="5">
        <v>0.108</v>
      </c>
      <c r="I3955" s="11">
        <v>345600</v>
      </c>
      <c r="J3955" s="20">
        <v>1036800</v>
      </c>
      <c r="K39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56" spans="1:11" hidden="1" x14ac:dyDescent="0.25">
      <c r="A3956" s="11"/>
      <c r="B3956" s="11"/>
      <c r="C3956" s="5"/>
      <c r="G3956" s="11"/>
      <c r="H3956" s="5"/>
      <c r="I3956" s="11"/>
      <c r="J3956" s="20"/>
      <c r="K39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7" spans="1:11" hidden="1" x14ac:dyDescent="0.25">
      <c r="A3957" s="11"/>
      <c r="B3957" s="11"/>
      <c r="C3957" s="5"/>
      <c r="G3957" s="11"/>
      <c r="H3957" s="5"/>
      <c r="I3957" s="11"/>
      <c r="J3957" s="20"/>
      <c r="K39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8" spans="1:11" x14ac:dyDescent="0.25">
      <c r="A3958" s="11" t="s">
        <v>384</v>
      </c>
      <c r="B3958" s="11" t="s">
        <v>484</v>
      </c>
      <c r="C3958" s="5" t="s">
        <v>72</v>
      </c>
      <c r="D3958">
        <v>500</v>
      </c>
      <c r="E3958">
        <v>3</v>
      </c>
      <c r="F3958">
        <v>30</v>
      </c>
      <c r="G3958" s="11">
        <v>8</v>
      </c>
      <c r="H3958" s="5">
        <v>0.36</v>
      </c>
      <c r="I3958" s="11">
        <v>1030500</v>
      </c>
      <c r="J3958" s="20">
        <v>8244000</v>
      </c>
      <c r="K39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59" spans="1:11" hidden="1" x14ac:dyDescent="0.25">
      <c r="A3959" s="11"/>
      <c r="B3959" s="11"/>
      <c r="C3959" s="5"/>
      <c r="G3959" s="11"/>
      <c r="H3959" s="5"/>
      <c r="I3959" s="11"/>
      <c r="J3959" s="20"/>
      <c r="K39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0" spans="1:11" x14ac:dyDescent="0.25">
      <c r="A3960" s="11"/>
      <c r="B3960" s="11" t="s">
        <v>463</v>
      </c>
      <c r="C3960" s="5" t="s">
        <v>45</v>
      </c>
      <c r="D3960">
        <v>500</v>
      </c>
      <c r="E3960">
        <v>4</v>
      </c>
      <c r="F3960">
        <v>30</v>
      </c>
      <c r="G3960" s="11">
        <v>1</v>
      </c>
      <c r="H3960" s="5">
        <v>0.06</v>
      </c>
      <c r="I3960" s="11">
        <v>624000</v>
      </c>
      <c r="J3960" s="20">
        <v>624000</v>
      </c>
      <c r="K39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1" spans="1:11" hidden="1" x14ac:dyDescent="0.25">
      <c r="A3961" s="11"/>
      <c r="B3961" s="11"/>
      <c r="C3961" s="5"/>
      <c r="G3961" s="11"/>
      <c r="H3961" s="5"/>
      <c r="I3961" s="11"/>
      <c r="J3961" s="20"/>
      <c r="K39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2" spans="1:11" hidden="1" x14ac:dyDescent="0.25">
      <c r="A3962" s="11"/>
      <c r="B3962" s="11"/>
      <c r="C3962" s="5"/>
      <c r="G3962" s="11"/>
      <c r="H3962" s="5"/>
      <c r="I3962" s="11"/>
      <c r="J3962" s="20"/>
      <c r="K39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3" spans="1:11" x14ac:dyDescent="0.25">
      <c r="A3963" s="11" t="s">
        <v>384</v>
      </c>
      <c r="B3963" s="11" t="s">
        <v>564</v>
      </c>
      <c r="C3963" s="5" t="s">
        <v>233</v>
      </c>
      <c r="D3963">
        <v>400</v>
      </c>
      <c r="E3963">
        <v>4</v>
      </c>
      <c r="F3963">
        <v>25</v>
      </c>
      <c r="G3963" s="11">
        <v>2</v>
      </c>
      <c r="H3963" s="5">
        <v>0.08</v>
      </c>
      <c r="I3963" s="11">
        <v>312000</v>
      </c>
      <c r="J3963" s="20">
        <v>624000</v>
      </c>
      <c r="K39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4" spans="1:11" hidden="1" x14ac:dyDescent="0.25">
      <c r="A3964" s="11"/>
      <c r="B3964" s="11"/>
      <c r="C3964" s="5"/>
      <c r="G3964" s="11"/>
      <c r="H3964" s="5"/>
      <c r="I3964" s="11"/>
      <c r="J3964" s="20"/>
      <c r="K39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5" spans="1:11" x14ac:dyDescent="0.25">
      <c r="A3965" s="11"/>
      <c r="B3965" s="11" t="s">
        <v>439</v>
      </c>
      <c r="C3965" s="5" t="s">
        <v>16</v>
      </c>
      <c r="D3965">
        <v>400</v>
      </c>
      <c r="E3965">
        <v>3</v>
      </c>
      <c r="F3965">
        <v>30</v>
      </c>
      <c r="G3965" s="11">
        <v>3</v>
      </c>
      <c r="H3965" s="5">
        <v>0.108</v>
      </c>
      <c r="I3965" s="11">
        <v>374400</v>
      </c>
      <c r="J3965" s="20">
        <v>1123200</v>
      </c>
      <c r="K39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6" spans="1:11" hidden="1" x14ac:dyDescent="0.25">
      <c r="A3966" s="11"/>
      <c r="B3966" s="11"/>
      <c r="C3966" s="5"/>
      <c r="G3966" s="11"/>
      <c r="H3966" s="5"/>
      <c r="I3966" s="11"/>
      <c r="J3966" s="20"/>
      <c r="K39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7" spans="1:11" hidden="1" x14ac:dyDescent="0.25">
      <c r="A3967" s="11"/>
      <c r="B3967" s="11"/>
      <c r="C3967" s="5"/>
      <c r="G3967" s="11"/>
      <c r="H3967" s="5"/>
      <c r="I3967" s="11"/>
      <c r="J3967" s="20"/>
      <c r="K39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68" spans="1:11" x14ac:dyDescent="0.25">
      <c r="A3968" s="11" t="s">
        <v>384</v>
      </c>
      <c r="B3968" s="11" t="s">
        <v>575</v>
      </c>
      <c r="C3968" s="5" t="s">
        <v>272</v>
      </c>
      <c r="D3968">
        <v>400</v>
      </c>
      <c r="E3968">
        <v>6</v>
      </c>
      <c r="F3968">
        <v>12</v>
      </c>
      <c r="G3968" s="11">
        <v>16</v>
      </c>
      <c r="H3968" s="5">
        <v>0.46079999999999999</v>
      </c>
      <c r="I3968" s="11">
        <v>203040</v>
      </c>
      <c r="J3968" s="20">
        <v>3248640</v>
      </c>
      <c r="K39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69" spans="1:11" hidden="1" x14ac:dyDescent="0.25">
      <c r="A3969" s="11"/>
      <c r="B3969" s="11"/>
      <c r="C3969" s="5"/>
      <c r="G3969" s="11"/>
      <c r="H3969" s="5"/>
      <c r="I3969" s="11"/>
      <c r="J3969" s="20"/>
      <c r="K39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0" spans="1:11" hidden="1" x14ac:dyDescent="0.25">
      <c r="A3970" s="11"/>
      <c r="B3970" s="11"/>
      <c r="C3970" s="5"/>
      <c r="G3970" s="11"/>
      <c r="H3970" s="5"/>
      <c r="I3970" s="11"/>
      <c r="J3970" s="20"/>
      <c r="K39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1" spans="1:11" x14ac:dyDescent="0.25">
      <c r="A3971" s="11" t="s">
        <v>384</v>
      </c>
      <c r="B3971" s="11" t="s">
        <v>436</v>
      </c>
      <c r="C3971" s="5" t="s">
        <v>12</v>
      </c>
      <c r="D3971">
        <v>400</v>
      </c>
      <c r="E3971">
        <v>6</v>
      </c>
      <c r="F3971">
        <v>17</v>
      </c>
      <c r="G3971" s="11">
        <v>2</v>
      </c>
      <c r="H3971" s="5">
        <v>8.1600000000000006E-2</v>
      </c>
      <c r="I3971" s="11">
        <v>408000</v>
      </c>
      <c r="J3971" s="20">
        <v>816000</v>
      </c>
      <c r="K39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72" spans="1:11" hidden="1" x14ac:dyDescent="0.25">
      <c r="A3972" s="11"/>
      <c r="B3972" s="11"/>
      <c r="C3972" s="5"/>
      <c r="G3972" s="11"/>
      <c r="H3972" s="5"/>
      <c r="I3972" s="11"/>
      <c r="J3972" s="20"/>
      <c r="K39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3" spans="1:11" hidden="1" x14ac:dyDescent="0.25">
      <c r="A3973" s="11"/>
      <c r="B3973" s="11"/>
      <c r="C3973" s="5"/>
      <c r="G3973" s="11"/>
      <c r="H3973" s="5"/>
      <c r="I3973" s="11"/>
      <c r="J3973" s="20"/>
      <c r="K39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4" spans="1:11" x14ac:dyDescent="0.25">
      <c r="A3974" s="11" t="s">
        <v>385</v>
      </c>
      <c r="B3974" s="11" t="s">
        <v>433</v>
      </c>
      <c r="C3974" s="5" t="s">
        <v>9</v>
      </c>
      <c r="D3974">
        <v>400</v>
      </c>
      <c r="E3974">
        <v>4</v>
      </c>
      <c r="F3974">
        <v>20</v>
      </c>
      <c r="G3974" s="11">
        <v>2</v>
      </c>
      <c r="H3974" s="5">
        <v>6.4000000000000001E-2</v>
      </c>
      <c r="I3974" s="11">
        <v>323200</v>
      </c>
      <c r="J3974" s="20">
        <v>646400</v>
      </c>
      <c r="K39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5" spans="1:11" hidden="1" x14ac:dyDescent="0.25">
      <c r="A3975" s="11"/>
      <c r="B3975" s="11"/>
      <c r="C3975" s="5"/>
      <c r="G3975" s="11"/>
      <c r="H3975" s="5"/>
      <c r="I3975" s="11"/>
      <c r="J3975" s="20"/>
      <c r="K39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6" spans="1:11" x14ac:dyDescent="0.25">
      <c r="A3976" s="11"/>
      <c r="B3976" s="11" t="s">
        <v>443</v>
      </c>
      <c r="C3976" s="5" t="s">
        <v>21</v>
      </c>
      <c r="D3976">
        <v>400</v>
      </c>
      <c r="E3976">
        <v>4</v>
      </c>
      <c r="F3976">
        <v>25</v>
      </c>
      <c r="G3976" s="11">
        <v>3</v>
      </c>
      <c r="H3976" s="5">
        <v>0.12</v>
      </c>
      <c r="I3976" s="11">
        <v>408000</v>
      </c>
      <c r="J3976" s="20">
        <v>1224000</v>
      </c>
      <c r="K39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7" spans="1:11" hidden="1" x14ac:dyDescent="0.25">
      <c r="A3977" s="11"/>
      <c r="B3977" s="11"/>
      <c r="C3977" s="5"/>
      <c r="G3977" s="11"/>
      <c r="H3977" s="5"/>
      <c r="I3977" s="11"/>
      <c r="J3977" s="20"/>
      <c r="K39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78" spans="1:11" x14ac:dyDescent="0.25">
      <c r="A3978" s="11"/>
      <c r="B3978" s="11" t="s">
        <v>481</v>
      </c>
      <c r="C3978" s="5" t="s">
        <v>68</v>
      </c>
      <c r="D3978">
        <v>400</v>
      </c>
      <c r="E3978">
        <v>6</v>
      </c>
      <c r="F3978">
        <v>15</v>
      </c>
      <c r="G3978" s="11">
        <v>5</v>
      </c>
      <c r="H3978" s="5">
        <v>0.18</v>
      </c>
      <c r="I3978" s="11">
        <v>345600</v>
      </c>
      <c r="J3978" s="20">
        <v>1728000</v>
      </c>
      <c r="K39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79" spans="1:11" hidden="1" x14ac:dyDescent="0.25">
      <c r="A3979" s="11"/>
      <c r="B3979" s="11"/>
      <c r="C3979" s="5"/>
      <c r="G3979" s="11"/>
      <c r="H3979" s="5"/>
      <c r="I3979" s="11"/>
      <c r="J3979" s="20"/>
      <c r="K39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0" spans="1:11" x14ac:dyDescent="0.25">
      <c r="A3980" s="11"/>
      <c r="B3980" s="11" t="s">
        <v>491</v>
      </c>
      <c r="C3980" s="5" t="s">
        <v>83</v>
      </c>
      <c r="D3980">
        <v>450</v>
      </c>
      <c r="E3980">
        <v>6</v>
      </c>
      <c r="F3980">
        <v>15</v>
      </c>
      <c r="G3980" s="11">
        <v>1</v>
      </c>
      <c r="H3980" s="5">
        <v>4.0500000000000001E-2</v>
      </c>
      <c r="I3980" s="11">
        <v>409050</v>
      </c>
      <c r="J3980" s="20">
        <v>409050</v>
      </c>
      <c r="K39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81" spans="1:11" hidden="1" x14ac:dyDescent="0.25">
      <c r="A3981" s="11"/>
      <c r="B3981" s="11"/>
      <c r="C3981" s="5"/>
      <c r="G3981" s="11"/>
      <c r="H3981" s="5"/>
      <c r="I3981" s="11"/>
      <c r="J3981" s="20"/>
      <c r="K39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2" spans="1:11" hidden="1" x14ac:dyDescent="0.25">
      <c r="A3982" s="11"/>
      <c r="B3982" s="11"/>
      <c r="C3982" s="5"/>
      <c r="G3982" s="11"/>
      <c r="H3982" s="5"/>
      <c r="I3982" s="11"/>
      <c r="J3982" s="20"/>
      <c r="K39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3" spans="1:11" x14ac:dyDescent="0.25">
      <c r="A3983" s="11" t="s">
        <v>386</v>
      </c>
      <c r="B3983" s="11" t="s">
        <v>463</v>
      </c>
      <c r="C3983" s="5" t="s">
        <v>45</v>
      </c>
      <c r="D3983">
        <v>500</v>
      </c>
      <c r="E3983">
        <v>4</v>
      </c>
      <c r="F3983">
        <v>30</v>
      </c>
      <c r="G3983" s="11">
        <v>2</v>
      </c>
      <c r="H3983" s="5">
        <v>0.12</v>
      </c>
      <c r="I3983" s="11">
        <v>624000</v>
      </c>
      <c r="J3983" s="20">
        <v>1248000</v>
      </c>
      <c r="K39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4" spans="1:11" hidden="1" x14ac:dyDescent="0.25">
      <c r="A3984" s="11"/>
      <c r="B3984" s="11"/>
      <c r="C3984" s="5"/>
      <c r="G3984" s="11"/>
      <c r="H3984" s="5"/>
      <c r="I3984" s="11"/>
      <c r="J3984" s="20"/>
      <c r="K39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5" spans="1:11" hidden="1" x14ac:dyDescent="0.25">
      <c r="A3985" s="11"/>
      <c r="B3985" s="11"/>
      <c r="C3985" s="5"/>
      <c r="G3985" s="11"/>
      <c r="H3985" s="5"/>
      <c r="I3985" s="11"/>
      <c r="J3985" s="20"/>
      <c r="K39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6" spans="1:11" x14ac:dyDescent="0.25">
      <c r="A3986" s="11" t="s">
        <v>386</v>
      </c>
      <c r="B3986" s="11" t="s">
        <v>443</v>
      </c>
      <c r="C3986" s="5" t="s">
        <v>21</v>
      </c>
      <c r="D3986">
        <v>400</v>
      </c>
      <c r="E3986">
        <v>4</v>
      </c>
      <c r="F3986">
        <v>25</v>
      </c>
      <c r="G3986" s="11">
        <v>3</v>
      </c>
      <c r="H3986" s="5">
        <v>0.12</v>
      </c>
      <c r="I3986" s="11">
        <v>408000</v>
      </c>
      <c r="J3986" s="20">
        <v>1224000</v>
      </c>
      <c r="K39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7" spans="1:11" hidden="1" x14ac:dyDescent="0.25">
      <c r="A3987" s="11"/>
      <c r="B3987" s="11"/>
      <c r="C3987" s="5"/>
      <c r="G3987" s="11"/>
      <c r="H3987" s="5"/>
      <c r="I3987" s="11"/>
      <c r="J3987" s="20"/>
      <c r="K39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88" spans="1:11" x14ac:dyDescent="0.25">
      <c r="A3988" s="11"/>
      <c r="B3988" s="11" t="s">
        <v>435</v>
      </c>
      <c r="C3988" s="5" t="s">
        <v>11</v>
      </c>
      <c r="D3988">
        <v>400</v>
      </c>
      <c r="E3988">
        <v>6</v>
      </c>
      <c r="F3988">
        <v>12</v>
      </c>
      <c r="G3988" s="11">
        <v>5</v>
      </c>
      <c r="H3988" s="5">
        <v>0.14399999999999999</v>
      </c>
      <c r="I3988" s="11">
        <v>276480</v>
      </c>
      <c r="J3988" s="20">
        <v>1382400</v>
      </c>
      <c r="K39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89" spans="1:11" hidden="1" x14ac:dyDescent="0.25">
      <c r="A3989" s="11"/>
      <c r="B3989" s="11"/>
      <c r="C3989" s="5"/>
      <c r="G3989" s="11"/>
      <c r="H3989" s="5"/>
      <c r="I3989" s="11"/>
      <c r="J3989" s="20"/>
      <c r="K39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0" spans="1:11" x14ac:dyDescent="0.25">
      <c r="A3990" s="11"/>
      <c r="B3990" s="11" t="s">
        <v>491</v>
      </c>
      <c r="C3990" s="5" t="s">
        <v>83</v>
      </c>
      <c r="D3990">
        <v>450</v>
      </c>
      <c r="E3990">
        <v>6</v>
      </c>
      <c r="F3990">
        <v>15</v>
      </c>
      <c r="G3990" s="11">
        <v>5</v>
      </c>
      <c r="H3990" s="5">
        <v>0.20250000000000001</v>
      </c>
      <c r="I3990" s="11">
        <v>409050</v>
      </c>
      <c r="J3990" s="20">
        <v>2045250</v>
      </c>
      <c r="K39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91" spans="1:11" hidden="1" x14ac:dyDescent="0.25">
      <c r="A3991" s="11"/>
      <c r="B3991" s="11"/>
      <c r="C3991" s="5"/>
      <c r="G3991" s="11"/>
      <c r="H3991" s="5"/>
      <c r="I3991" s="11"/>
      <c r="J3991" s="20"/>
      <c r="K39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2" spans="1:11" hidden="1" x14ac:dyDescent="0.25">
      <c r="A3992" s="11"/>
      <c r="B3992" s="11"/>
      <c r="C3992" s="5"/>
      <c r="G3992" s="11"/>
      <c r="H3992" s="5"/>
      <c r="I3992" s="11"/>
      <c r="J3992" s="20"/>
      <c r="K39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3" spans="1:11" x14ac:dyDescent="0.25">
      <c r="A3993" s="11" t="s">
        <v>386</v>
      </c>
      <c r="B3993" s="11" t="s">
        <v>533</v>
      </c>
      <c r="C3993" s="5" t="s">
        <v>152</v>
      </c>
      <c r="D3993">
        <v>400</v>
      </c>
      <c r="E3993">
        <v>3</v>
      </c>
      <c r="F3993">
        <v>20</v>
      </c>
      <c r="G3993" s="11">
        <v>2</v>
      </c>
      <c r="H3993" s="5">
        <v>4.8000000000000001E-2</v>
      </c>
      <c r="I3993" s="11">
        <v>523200</v>
      </c>
      <c r="J3993" s="20">
        <v>1046400</v>
      </c>
      <c r="K39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4" spans="1:11" hidden="1" x14ac:dyDescent="0.25">
      <c r="A3994" s="11"/>
      <c r="B3994" s="11"/>
      <c r="C3994" s="5"/>
      <c r="G3994" s="11"/>
      <c r="H3994" s="5"/>
      <c r="I3994" s="11"/>
      <c r="J3994" s="20"/>
      <c r="K39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5" spans="1:11" x14ac:dyDescent="0.25">
      <c r="A3995" s="11"/>
      <c r="B3995" s="11" t="s">
        <v>446</v>
      </c>
      <c r="C3995" s="5" t="s">
        <v>25</v>
      </c>
      <c r="D3995">
        <v>400</v>
      </c>
      <c r="E3995">
        <v>4</v>
      </c>
      <c r="F3995">
        <v>15</v>
      </c>
      <c r="G3995" s="11">
        <v>2</v>
      </c>
      <c r="H3995" s="5">
        <v>4.8000000000000001E-2</v>
      </c>
      <c r="I3995" s="11">
        <v>566400</v>
      </c>
      <c r="J3995" s="20">
        <v>1132800</v>
      </c>
      <c r="K39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6" spans="1:11" hidden="1" x14ac:dyDescent="0.25">
      <c r="A3996" s="11"/>
      <c r="B3996" s="11"/>
      <c r="C3996" s="5"/>
      <c r="G3996" s="11"/>
      <c r="H3996" s="5"/>
      <c r="I3996" s="11"/>
      <c r="J3996" s="20"/>
      <c r="K39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7" spans="1:11" x14ac:dyDescent="0.25">
      <c r="A3997" s="11"/>
      <c r="B3997" s="11" t="s">
        <v>503</v>
      </c>
      <c r="C3997" s="5" t="s">
        <v>99</v>
      </c>
      <c r="D3997">
        <v>300</v>
      </c>
      <c r="E3997">
        <v>6</v>
      </c>
      <c r="F3997">
        <v>15</v>
      </c>
      <c r="G3997" s="11">
        <v>2</v>
      </c>
      <c r="H3997" s="5">
        <v>5.3999999999999999E-2</v>
      </c>
      <c r="I3997" s="11">
        <v>259200</v>
      </c>
      <c r="J3997" s="20">
        <v>518400</v>
      </c>
      <c r="K39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3998" spans="1:11" hidden="1" x14ac:dyDescent="0.25">
      <c r="A3998" s="11"/>
      <c r="B3998" s="11"/>
      <c r="C3998" s="5"/>
      <c r="G3998" s="11"/>
      <c r="H3998" s="5"/>
      <c r="I3998" s="11"/>
      <c r="J3998" s="20"/>
      <c r="K39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3999" spans="1:11" x14ac:dyDescent="0.25">
      <c r="A3999" s="11"/>
      <c r="B3999" s="11" t="s">
        <v>435</v>
      </c>
      <c r="C3999" s="5" t="s">
        <v>11</v>
      </c>
      <c r="D3999">
        <v>400</v>
      </c>
      <c r="E3999">
        <v>6</v>
      </c>
      <c r="F3999">
        <v>12</v>
      </c>
      <c r="G3999" s="11">
        <v>4</v>
      </c>
      <c r="H3999" s="5">
        <v>0.1152</v>
      </c>
      <c r="I3999" s="11">
        <v>276480</v>
      </c>
      <c r="J3999" s="20">
        <v>1105920</v>
      </c>
      <c r="K39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00" spans="1:11" hidden="1" x14ac:dyDescent="0.25">
      <c r="A4000" s="11"/>
      <c r="B4000" s="11"/>
      <c r="C4000" s="5"/>
      <c r="G4000" s="11"/>
      <c r="H4000" s="5"/>
      <c r="I4000" s="11"/>
      <c r="J4000" s="20"/>
      <c r="K40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1" spans="1:11" hidden="1" x14ac:dyDescent="0.25">
      <c r="A4001" s="11"/>
      <c r="B4001" s="11"/>
      <c r="C4001" s="5"/>
      <c r="G4001" s="11"/>
      <c r="H4001" s="5"/>
      <c r="I4001" s="11"/>
      <c r="J4001" s="20"/>
      <c r="K40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2" spans="1:11" x14ac:dyDescent="0.25">
      <c r="A4002" s="11" t="s">
        <v>386</v>
      </c>
      <c r="B4002" s="11" t="s">
        <v>439</v>
      </c>
      <c r="C4002" s="5" t="s">
        <v>16</v>
      </c>
      <c r="D4002">
        <v>400</v>
      </c>
      <c r="E4002">
        <v>3</v>
      </c>
      <c r="F4002">
        <v>30</v>
      </c>
      <c r="G4002" s="11">
        <v>3</v>
      </c>
      <c r="H4002" s="5">
        <v>0.108</v>
      </c>
      <c r="I4002" s="11">
        <v>374400</v>
      </c>
      <c r="J4002" s="20">
        <v>1123200</v>
      </c>
      <c r="K40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3" spans="1:11" hidden="1" x14ac:dyDescent="0.25">
      <c r="A4003" s="11"/>
      <c r="B4003" s="11"/>
      <c r="C4003" s="5"/>
      <c r="G4003" s="11"/>
      <c r="H4003" s="5"/>
      <c r="I4003" s="11"/>
      <c r="J4003" s="20"/>
      <c r="K40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4" spans="1:11" x14ac:dyDescent="0.25">
      <c r="A4004" s="11"/>
      <c r="B4004" s="11" t="s">
        <v>502</v>
      </c>
      <c r="C4004" s="5" t="s">
        <v>98</v>
      </c>
      <c r="D4004">
        <v>400</v>
      </c>
      <c r="E4004">
        <v>5</v>
      </c>
      <c r="F4004">
        <v>15</v>
      </c>
      <c r="G4004" s="11">
        <v>30</v>
      </c>
      <c r="H4004" s="5">
        <v>0.9</v>
      </c>
      <c r="I4004" s="11">
        <v>300000</v>
      </c>
      <c r="J4004" s="20">
        <v>9000000</v>
      </c>
      <c r="K40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05" spans="1:11" hidden="1" x14ac:dyDescent="0.25">
      <c r="A4005" s="11"/>
      <c r="B4005" s="11"/>
      <c r="C4005" s="5"/>
      <c r="G4005" s="11"/>
      <c r="H4005" s="5"/>
      <c r="I4005" s="11"/>
      <c r="J4005" s="20"/>
      <c r="K40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6" spans="1:11" x14ac:dyDescent="0.25">
      <c r="A4006" s="11"/>
      <c r="B4006" s="11" t="s">
        <v>471</v>
      </c>
      <c r="C4006" s="5" t="s">
        <v>56</v>
      </c>
      <c r="D4006">
        <v>500</v>
      </c>
      <c r="E4006">
        <v>5</v>
      </c>
      <c r="F4006">
        <v>15</v>
      </c>
      <c r="G4006" s="11">
        <v>20</v>
      </c>
      <c r="H4006" s="5">
        <v>0.75</v>
      </c>
      <c r="I4006" s="11">
        <v>393750</v>
      </c>
      <c r="J4006" s="20">
        <v>7875000</v>
      </c>
      <c r="K40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07" spans="1:11" hidden="1" x14ac:dyDescent="0.25">
      <c r="A4007" s="11"/>
      <c r="B4007" s="11"/>
      <c r="C4007" s="5"/>
      <c r="G4007" s="11"/>
      <c r="H4007" s="5"/>
      <c r="I4007" s="11"/>
      <c r="J4007" s="20"/>
      <c r="K40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8" spans="1:11" x14ac:dyDescent="0.25">
      <c r="A4008" s="11"/>
      <c r="B4008" s="11" t="s">
        <v>596</v>
      </c>
      <c r="C4008" s="5" t="s">
        <v>387</v>
      </c>
      <c r="D4008">
        <v>250</v>
      </c>
      <c r="E4008">
        <v>4</v>
      </c>
      <c r="F4008">
        <v>30</v>
      </c>
      <c r="G4008" s="11">
        <v>4</v>
      </c>
      <c r="H4008" s="5">
        <v>0.12</v>
      </c>
      <c r="I4008" s="11">
        <v>312000</v>
      </c>
      <c r="J4008" s="20">
        <v>1248000</v>
      </c>
      <c r="K40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09" spans="1:11" hidden="1" x14ac:dyDescent="0.25">
      <c r="A4009" s="11"/>
      <c r="B4009" s="11"/>
      <c r="C4009" s="5"/>
      <c r="G4009" s="11"/>
      <c r="H4009" s="5"/>
      <c r="I4009" s="11"/>
      <c r="J4009" s="20"/>
      <c r="K40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0" spans="1:11" hidden="1" x14ac:dyDescent="0.25">
      <c r="A4010" s="11"/>
      <c r="B4010" s="11"/>
      <c r="C4010" s="5"/>
      <c r="G4010" s="11"/>
      <c r="H4010" s="5"/>
      <c r="I4010" s="11"/>
      <c r="J4010" s="20"/>
      <c r="K40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1" spans="1:11" x14ac:dyDescent="0.25">
      <c r="A4011" s="11" t="s">
        <v>388</v>
      </c>
      <c r="B4011" s="11" t="s">
        <v>457</v>
      </c>
      <c r="C4011" s="5" t="s">
        <v>38</v>
      </c>
      <c r="D4011">
        <v>300</v>
      </c>
      <c r="E4011">
        <v>4</v>
      </c>
      <c r="F4011">
        <v>25</v>
      </c>
      <c r="G4011" s="11">
        <v>3</v>
      </c>
      <c r="H4011" s="5">
        <v>0.09</v>
      </c>
      <c r="I4011" s="11">
        <v>657000</v>
      </c>
      <c r="J4011" s="20">
        <v>1971000</v>
      </c>
      <c r="K40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2" spans="1:11" hidden="1" x14ac:dyDescent="0.25">
      <c r="A4012" s="11"/>
      <c r="B4012" s="11"/>
      <c r="C4012" s="5"/>
      <c r="G4012" s="11"/>
      <c r="H4012" s="5"/>
      <c r="I4012" s="11"/>
      <c r="J4012" s="20"/>
      <c r="K40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3" spans="1:11" x14ac:dyDescent="0.25">
      <c r="A4013" s="11"/>
      <c r="B4013" s="11" t="s">
        <v>472</v>
      </c>
      <c r="C4013" s="5" t="s">
        <v>57</v>
      </c>
      <c r="D4013">
        <v>300</v>
      </c>
      <c r="E4013">
        <v>4</v>
      </c>
      <c r="F4013">
        <v>30</v>
      </c>
      <c r="G4013" s="11">
        <v>2</v>
      </c>
      <c r="H4013" s="5">
        <v>7.1999999999999995E-2</v>
      </c>
      <c r="I4013" s="11">
        <v>806400</v>
      </c>
      <c r="J4013" s="20">
        <v>1612800</v>
      </c>
      <c r="K40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4" spans="1:11" hidden="1" x14ac:dyDescent="0.25">
      <c r="A4014" s="11"/>
      <c r="B4014" s="11"/>
      <c r="C4014" s="5"/>
      <c r="G4014" s="11"/>
      <c r="H4014" s="5"/>
      <c r="I4014" s="11"/>
      <c r="J4014" s="20"/>
      <c r="K40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5" spans="1:11" hidden="1" x14ac:dyDescent="0.25">
      <c r="A4015" s="11"/>
      <c r="B4015" s="11"/>
      <c r="C4015" s="5"/>
      <c r="G4015" s="11"/>
      <c r="H4015" s="5"/>
      <c r="I4015" s="11"/>
      <c r="J4015" s="20"/>
      <c r="K40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6" spans="1:11" x14ac:dyDescent="0.25">
      <c r="A4016" s="11" t="s">
        <v>388</v>
      </c>
      <c r="B4016" s="11" t="s">
        <v>517</v>
      </c>
      <c r="C4016" s="5" t="s">
        <v>122</v>
      </c>
      <c r="D4016">
        <v>400</v>
      </c>
      <c r="E4016">
        <v>6</v>
      </c>
      <c r="F4016">
        <v>15</v>
      </c>
      <c r="G4016" s="11">
        <v>28</v>
      </c>
      <c r="H4016" s="5">
        <v>1.008</v>
      </c>
      <c r="I4016" s="11">
        <v>732600</v>
      </c>
      <c r="J4016" s="20">
        <v>20512800</v>
      </c>
      <c r="K40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17" spans="1:11" hidden="1" x14ac:dyDescent="0.25">
      <c r="A4017" s="11"/>
      <c r="B4017" s="11"/>
      <c r="C4017" s="5"/>
      <c r="G4017" s="11"/>
      <c r="H4017" s="5"/>
      <c r="I4017" s="11"/>
      <c r="J4017" s="20"/>
      <c r="K40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8" spans="1:11" hidden="1" x14ac:dyDescent="0.25">
      <c r="A4018" s="11"/>
      <c r="B4018" s="11"/>
      <c r="C4018" s="5"/>
      <c r="G4018" s="11"/>
      <c r="H4018" s="5"/>
      <c r="I4018" s="11"/>
      <c r="J4018" s="20"/>
      <c r="K40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19" spans="1:11" x14ac:dyDescent="0.25">
      <c r="A4019" s="11" t="s">
        <v>388</v>
      </c>
      <c r="B4019" s="11" t="s">
        <v>486</v>
      </c>
      <c r="C4019" s="5" t="s">
        <v>76</v>
      </c>
      <c r="D4019">
        <v>400</v>
      </c>
      <c r="E4019">
        <v>3</v>
      </c>
      <c r="F4019">
        <v>25</v>
      </c>
      <c r="G4019" s="11">
        <v>8</v>
      </c>
      <c r="H4019" s="5">
        <v>0.24</v>
      </c>
      <c r="I4019" s="11">
        <v>657000</v>
      </c>
      <c r="J4019" s="20">
        <v>5256000</v>
      </c>
      <c r="K40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0" spans="1:11" hidden="1" x14ac:dyDescent="0.25">
      <c r="A4020" s="11"/>
      <c r="B4020" s="11"/>
      <c r="C4020" s="5"/>
      <c r="G4020" s="11"/>
      <c r="H4020" s="5"/>
      <c r="I4020" s="11"/>
      <c r="J4020" s="20"/>
      <c r="K40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1" spans="1:11" hidden="1" x14ac:dyDescent="0.25">
      <c r="A4021" s="11"/>
      <c r="B4021" s="11"/>
      <c r="C4021" s="5"/>
      <c r="G4021" s="11"/>
      <c r="H4021" s="5"/>
      <c r="I4021" s="11"/>
      <c r="J4021" s="20"/>
      <c r="K40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2" spans="1:11" x14ac:dyDescent="0.25">
      <c r="A4022" s="11" t="s">
        <v>389</v>
      </c>
      <c r="B4022" s="11" t="s">
        <v>481</v>
      </c>
      <c r="C4022" s="5" t="s">
        <v>68</v>
      </c>
      <c r="D4022">
        <v>400</v>
      </c>
      <c r="E4022">
        <v>6</v>
      </c>
      <c r="F4022">
        <v>15</v>
      </c>
      <c r="G4022" s="11">
        <v>13</v>
      </c>
      <c r="H4022" s="5">
        <v>0.46800000000000003</v>
      </c>
      <c r="I4022" s="11">
        <v>363600</v>
      </c>
      <c r="J4022" s="20">
        <v>4726800</v>
      </c>
      <c r="K40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23" spans="1:11" hidden="1" x14ac:dyDescent="0.25">
      <c r="A4023" s="11"/>
      <c r="B4023" s="11"/>
      <c r="C4023" s="5"/>
      <c r="G4023" s="11"/>
      <c r="H4023" s="5"/>
      <c r="I4023" s="11"/>
      <c r="J4023" s="20"/>
      <c r="K40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4" spans="1:11" hidden="1" x14ac:dyDescent="0.25">
      <c r="A4024" s="11"/>
      <c r="B4024" s="11"/>
      <c r="C4024" s="5"/>
      <c r="G4024" s="11"/>
      <c r="H4024" s="5"/>
      <c r="I4024" s="11"/>
      <c r="J4024" s="20"/>
      <c r="K40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5" spans="1:11" x14ac:dyDescent="0.25">
      <c r="A4025" s="11" t="s">
        <v>390</v>
      </c>
      <c r="B4025" s="11" t="s">
        <v>533</v>
      </c>
      <c r="C4025" s="5" t="s">
        <v>152</v>
      </c>
      <c r="D4025">
        <v>400</v>
      </c>
      <c r="E4025">
        <v>3</v>
      </c>
      <c r="F4025">
        <v>20</v>
      </c>
      <c r="G4025" s="11">
        <v>3</v>
      </c>
      <c r="H4025" s="5">
        <v>7.1999999999999995E-2</v>
      </c>
      <c r="I4025" s="11">
        <v>523200</v>
      </c>
      <c r="J4025" s="20">
        <v>1569600</v>
      </c>
      <c r="K40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6" spans="1:11" hidden="1" x14ac:dyDescent="0.25">
      <c r="A4026" s="11"/>
      <c r="B4026" s="11"/>
      <c r="C4026" s="5"/>
      <c r="G4026" s="11"/>
      <c r="H4026" s="5"/>
      <c r="I4026" s="11"/>
      <c r="J4026" s="20"/>
      <c r="K40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7" spans="1:11" x14ac:dyDescent="0.25">
      <c r="A4027" s="11"/>
      <c r="B4027" s="11" t="s">
        <v>506</v>
      </c>
      <c r="C4027" s="5" t="s">
        <v>103</v>
      </c>
      <c r="D4027">
        <v>400</v>
      </c>
      <c r="E4027">
        <v>3</v>
      </c>
      <c r="F4027">
        <v>30</v>
      </c>
      <c r="G4027" s="11">
        <v>6</v>
      </c>
      <c r="H4027" s="5">
        <v>0.216</v>
      </c>
      <c r="I4027" s="11">
        <v>806400</v>
      </c>
      <c r="J4027" s="20">
        <v>4838400</v>
      </c>
      <c r="K40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8" spans="1:11" hidden="1" x14ac:dyDescent="0.25">
      <c r="A4028" s="11"/>
      <c r="B4028" s="11"/>
      <c r="C4028" s="5"/>
      <c r="G4028" s="11"/>
      <c r="H4028" s="5"/>
      <c r="I4028" s="11"/>
      <c r="J4028" s="20"/>
      <c r="K40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29" spans="1:11" x14ac:dyDescent="0.25">
      <c r="A4029" s="11"/>
      <c r="B4029" s="11" t="s">
        <v>496</v>
      </c>
      <c r="C4029" s="5" t="s">
        <v>89</v>
      </c>
      <c r="D4029">
        <v>400</v>
      </c>
      <c r="E4029">
        <v>5</v>
      </c>
      <c r="F4029">
        <v>30</v>
      </c>
      <c r="G4029" s="11">
        <v>7</v>
      </c>
      <c r="H4029" s="5">
        <v>0.42</v>
      </c>
      <c r="I4029" s="11">
        <v>1344000</v>
      </c>
      <c r="J4029" s="20">
        <v>9408000</v>
      </c>
      <c r="K40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030" spans="1:11" hidden="1" x14ac:dyDescent="0.25">
      <c r="A4030" s="11"/>
      <c r="B4030" s="11"/>
      <c r="C4030" s="5"/>
      <c r="G4030" s="11"/>
      <c r="H4030" s="5"/>
      <c r="I4030" s="11"/>
      <c r="J4030" s="20"/>
      <c r="K40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1" spans="1:11" x14ac:dyDescent="0.25">
      <c r="A4031" s="11"/>
      <c r="B4031" s="11" t="s">
        <v>555</v>
      </c>
      <c r="C4031" s="5" t="s">
        <v>201</v>
      </c>
      <c r="D4031">
        <v>400</v>
      </c>
      <c r="E4031">
        <v>6</v>
      </c>
      <c r="F4031">
        <v>17</v>
      </c>
      <c r="G4031" s="11">
        <v>2</v>
      </c>
      <c r="H4031" s="5">
        <v>8.1600000000000006E-2</v>
      </c>
      <c r="I4031" s="11">
        <v>840480</v>
      </c>
      <c r="J4031" s="20">
        <v>1680960</v>
      </c>
      <c r="K40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32" spans="1:11" hidden="1" x14ac:dyDescent="0.25">
      <c r="A4032" s="11"/>
      <c r="B4032" s="11"/>
      <c r="C4032" s="5"/>
      <c r="G4032" s="11"/>
      <c r="H4032" s="5"/>
      <c r="I4032" s="11"/>
      <c r="J4032" s="20"/>
      <c r="K40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3" spans="1:11" x14ac:dyDescent="0.25">
      <c r="A4033" s="11"/>
      <c r="B4033" s="11" t="s">
        <v>484</v>
      </c>
      <c r="C4033" s="5" t="s">
        <v>72</v>
      </c>
      <c r="D4033">
        <v>500</v>
      </c>
      <c r="E4033">
        <v>3</v>
      </c>
      <c r="F4033">
        <v>30</v>
      </c>
      <c r="G4033" s="11">
        <v>2</v>
      </c>
      <c r="H4033" s="5">
        <v>0.09</v>
      </c>
      <c r="I4033" s="11">
        <v>1030500</v>
      </c>
      <c r="J4033" s="20">
        <v>2061000</v>
      </c>
      <c r="K40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4" spans="1:11" hidden="1" x14ac:dyDescent="0.25">
      <c r="A4034" s="11"/>
      <c r="B4034" s="11"/>
      <c r="C4034" s="5"/>
      <c r="G4034" s="11"/>
      <c r="H4034" s="5"/>
      <c r="I4034" s="11"/>
      <c r="J4034" s="20"/>
      <c r="K40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5" spans="1:11" x14ac:dyDescent="0.25">
      <c r="A4035" s="11"/>
      <c r="B4035" s="11" t="s">
        <v>530</v>
      </c>
      <c r="C4035" s="5" t="s">
        <v>148</v>
      </c>
      <c r="D4035">
        <v>500</v>
      </c>
      <c r="E4035">
        <v>6</v>
      </c>
      <c r="F4035">
        <v>17</v>
      </c>
      <c r="G4035" s="11">
        <v>4</v>
      </c>
      <c r="H4035" s="5">
        <v>0.20399999999999999</v>
      </c>
      <c r="I4035" s="11">
        <v>1076100</v>
      </c>
      <c r="J4035" s="20">
        <v>4304400</v>
      </c>
      <c r="K40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36" spans="1:11" hidden="1" x14ac:dyDescent="0.25">
      <c r="A4036" s="11"/>
      <c r="B4036" s="11"/>
      <c r="C4036" s="5"/>
      <c r="G4036" s="11"/>
      <c r="H4036" s="5"/>
      <c r="I4036" s="11"/>
      <c r="J4036" s="20"/>
      <c r="K40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7" spans="1:11" x14ac:dyDescent="0.25">
      <c r="A4037" s="11"/>
      <c r="B4037" s="11" t="s">
        <v>482</v>
      </c>
      <c r="C4037" s="5" t="s">
        <v>69</v>
      </c>
      <c r="D4037">
        <v>400</v>
      </c>
      <c r="E4037">
        <v>2</v>
      </c>
      <c r="F4037">
        <v>20</v>
      </c>
      <c r="G4037" s="11">
        <v>2</v>
      </c>
      <c r="H4037" s="5">
        <v>3.2000000000000001E-2</v>
      </c>
      <c r="I4037" s="11">
        <v>382400</v>
      </c>
      <c r="J4037" s="20">
        <v>764800</v>
      </c>
      <c r="K40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8" spans="1:11" hidden="1" x14ac:dyDescent="0.25">
      <c r="A4038" s="11"/>
      <c r="B4038" s="11"/>
      <c r="C4038" s="5"/>
      <c r="G4038" s="11"/>
      <c r="H4038" s="5"/>
      <c r="I4038" s="11"/>
      <c r="J4038" s="20"/>
      <c r="K40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39" spans="1:11" hidden="1" x14ac:dyDescent="0.25">
      <c r="A4039" s="11"/>
      <c r="B4039" s="11"/>
      <c r="C4039" s="5"/>
      <c r="G4039" s="11"/>
      <c r="H4039" s="5"/>
      <c r="I4039" s="11"/>
      <c r="J4039" s="20"/>
      <c r="K40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0" spans="1:11" x14ac:dyDescent="0.25">
      <c r="A4040" s="11" t="s">
        <v>390</v>
      </c>
      <c r="B4040" s="11" t="s">
        <v>504</v>
      </c>
      <c r="C4040" s="5" t="s">
        <v>100</v>
      </c>
      <c r="D4040">
        <v>250</v>
      </c>
      <c r="E4040">
        <v>6</v>
      </c>
      <c r="F4040">
        <v>15</v>
      </c>
      <c r="G4040" s="11">
        <v>2</v>
      </c>
      <c r="H4040" s="5">
        <v>4.4999999999999998E-2</v>
      </c>
      <c r="I4040" s="11">
        <v>463500</v>
      </c>
      <c r="J4040" s="20">
        <v>927000</v>
      </c>
      <c r="K40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41" spans="1:11" hidden="1" x14ac:dyDescent="0.25">
      <c r="A4041" s="11"/>
      <c r="B4041" s="11"/>
      <c r="C4041" s="5"/>
      <c r="G4041" s="11"/>
      <c r="H4041" s="5"/>
      <c r="I4041" s="11"/>
      <c r="J4041" s="20"/>
      <c r="K40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2" spans="1:11" x14ac:dyDescent="0.25">
      <c r="A4042" s="11"/>
      <c r="B4042" s="11" t="s">
        <v>526</v>
      </c>
      <c r="C4042" s="5" t="s">
        <v>139</v>
      </c>
      <c r="D4042">
        <v>300</v>
      </c>
      <c r="E4042">
        <v>6</v>
      </c>
      <c r="F4042">
        <v>15</v>
      </c>
      <c r="G4042" s="11">
        <v>3</v>
      </c>
      <c r="H4042" s="5">
        <v>8.1000000000000003E-2</v>
      </c>
      <c r="I4042" s="11">
        <v>540000</v>
      </c>
      <c r="J4042" s="20">
        <v>1620000</v>
      </c>
      <c r="K40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43" spans="1:11" hidden="1" x14ac:dyDescent="0.25">
      <c r="A4043" s="11"/>
      <c r="B4043" s="11"/>
      <c r="C4043" s="5"/>
      <c r="G4043" s="11"/>
      <c r="H4043" s="5"/>
      <c r="I4043" s="11"/>
      <c r="J4043" s="20"/>
      <c r="K40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4" spans="1:11" x14ac:dyDescent="0.25">
      <c r="A4044" s="11"/>
      <c r="B4044" s="11" t="s">
        <v>486</v>
      </c>
      <c r="C4044" s="5" t="s">
        <v>76</v>
      </c>
      <c r="D4044">
        <v>400</v>
      </c>
      <c r="E4044">
        <v>3</v>
      </c>
      <c r="F4044">
        <v>25</v>
      </c>
      <c r="G4044" s="11">
        <v>1</v>
      </c>
      <c r="H4044" s="5">
        <v>0.03</v>
      </c>
      <c r="I4044" s="11">
        <v>657000</v>
      </c>
      <c r="J4044" s="20">
        <v>657000</v>
      </c>
      <c r="K40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5" spans="1:11" hidden="1" x14ac:dyDescent="0.25">
      <c r="A4045" s="11"/>
      <c r="B4045" s="11"/>
      <c r="C4045" s="5"/>
      <c r="G4045" s="11"/>
      <c r="H4045" s="5"/>
      <c r="I4045" s="11"/>
      <c r="J4045" s="20"/>
      <c r="K40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6" spans="1:11" x14ac:dyDescent="0.25">
      <c r="A4046" s="11"/>
      <c r="B4046" s="11" t="s">
        <v>506</v>
      </c>
      <c r="C4046" s="5" t="s">
        <v>103</v>
      </c>
      <c r="D4046">
        <v>400</v>
      </c>
      <c r="E4046">
        <v>3</v>
      </c>
      <c r="F4046">
        <v>30</v>
      </c>
      <c r="G4046" s="11">
        <v>4</v>
      </c>
      <c r="H4046" s="5">
        <v>0.14399999999999999</v>
      </c>
      <c r="I4046" s="11">
        <v>806400</v>
      </c>
      <c r="J4046" s="20">
        <v>3225600</v>
      </c>
      <c r="K40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7" spans="1:11" hidden="1" x14ac:dyDescent="0.25">
      <c r="A4047" s="11"/>
      <c r="B4047" s="11"/>
      <c r="C4047" s="5"/>
      <c r="G4047" s="11"/>
      <c r="H4047" s="5"/>
      <c r="I4047" s="11"/>
      <c r="J4047" s="20"/>
      <c r="K40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48" spans="1:11" x14ac:dyDescent="0.25">
      <c r="A4048" s="11"/>
      <c r="B4048" s="11" t="s">
        <v>489</v>
      </c>
      <c r="C4048" s="5" t="s">
        <v>80</v>
      </c>
      <c r="D4048">
        <v>400</v>
      </c>
      <c r="E4048">
        <v>5</v>
      </c>
      <c r="F4048">
        <v>20</v>
      </c>
      <c r="G4048" s="11">
        <v>1</v>
      </c>
      <c r="H4048" s="5">
        <v>0.04</v>
      </c>
      <c r="I4048" s="11">
        <v>880000</v>
      </c>
      <c r="J4048" s="20">
        <v>880000</v>
      </c>
      <c r="K40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049" spans="1:11" hidden="1" x14ac:dyDescent="0.25">
      <c r="A4049" s="11"/>
      <c r="B4049" s="11"/>
      <c r="C4049" s="5"/>
      <c r="G4049" s="11"/>
      <c r="H4049" s="5"/>
      <c r="I4049" s="11"/>
      <c r="J4049" s="20"/>
      <c r="K40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0" spans="1:11" x14ac:dyDescent="0.25">
      <c r="A4050" s="11"/>
      <c r="B4050" s="11" t="s">
        <v>464</v>
      </c>
      <c r="C4050" s="5" t="s">
        <v>46</v>
      </c>
      <c r="D4050">
        <v>400</v>
      </c>
      <c r="E4050">
        <v>5</v>
      </c>
      <c r="F4050">
        <v>25</v>
      </c>
      <c r="G4050" s="11">
        <v>2</v>
      </c>
      <c r="H4050" s="5">
        <v>0.1</v>
      </c>
      <c r="I4050" s="11">
        <v>1100000</v>
      </c>
      <c r="J4050" s="20">
        <v>2200000</v>
      </c>
      <c r="K40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051" spans="1:11" hidden="1" x14ac:dyDescent="0.25">
      <c r="A4051" s="11"/>
      <c r="B4051" s="11"/>
      <c r="C4051" s="5"/>
      <c r="G4051" s="11"/>
      <c r="H4051" s="5"/>
      <c r="I4051" s="11"/>
      <c r="J4051" s="20"/>
      <c r="K40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2" spans="1:11" x14ac:dyDescent="0.25">
      <c r="A4052" s="11"/>
      <c r="B4052" s="11" t="s">
        <v>517</v>
      </c>
      <c r="C4052" s="5" t="s">
        <v>122</v>
      </c>
      <c r="D4052">
        <v>400</v>
      </c>
      <c r="E4052">
        <v>6</v>
      </c>
      <c r="F4052">
        <v>15</v>
      </c>
      <c r="G4052" s="11">
        <v>4</v>
      </c>
      <c r="H4052" s="5">
        <v>0.14399999999999999</v>
      </c>
      <c r="I4052" s="11">
        <v>723600</v>
      </c>
      <c r="J4052" s="20">
        <v>2894400</v>
      </c>
      <c r="K40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53" spans="1:11" hidden="1" x14ac:dyDescent="0.25">
      <c r="A4053" s="11"/>
      <c r="B4053" s="11"/>
      <c r="C4053" s="5"/>
      <c r="G4053" s="11"/>
      <c r="H4053" s="5"/>
      <c r="I4053" s="11"/>
      <c r="J4053" s="20"/>
      <c r="K40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4" spans="1:11" hidden="1" x14ac:dyDescent="0.25">
      <c r="A4054" s="11"/>
      <c r="B4054" s="11"/>
      <c r="C4054" s="5"/>
      <c r="G4054" s="11"/>
      <c r="H4054" s="5"/>
      <c r="I4054" s="11"/>
      <c r="J4054" s="20"/>
      <c r="K40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5" spans="1:11" x14ac:dyDescent="0.25">
      <c r="A4055" s="11" t="s">
        <v>390</v>
      </c>
      <c r="B4055" s="11" t="s">
        <v>470</v>
      </c>
      <c r="C4055" s="5" t="s">
        <v>55</v>
      </c>
      <c r="D4055">
        <v>250</v>
      </c>
      <c r="E4055">
        <v>4</v>
      </c>
      <c r="F4055">
        <v>25</v>
      </c>
      <c r="G4055" s="11">
        <v>5</v>
      </c>
      <c r="H4055" s="5">
        <v>0.125</v>
      </c>
      <c r="I4055" s="11">
        <v>267500</v>
      </c>
      <c r="J4055" s="20">
        <v>1337500</v>
      </c>
      <c r="K40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6" spans="1:11" hidden="1" x14ac:dyDescent="0.25">
      <c r="A4056" s="11"/>
      <c r="B4056" s="11"/>
      <c r="C4056" s="5"/>
      <c r="G4056" s="11"/>
      <c r="H4056" s="5"/>
      <c r="I4056" s="11"/>
      <c r="J4056" s="20"/>
      <c r="K40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7" spans="1:11" x14ac:dyDescent="0.25">
      <c r="A4057" s="11"/>
      <c r="B4057" s="11" t="s">
        <v>439</v>
      </c>
      <c r="C4057" s="5" t="s">
        <v>16</v>
      </c>
      <c r="D4057">
        <v>400</v>
      </c>
      <c r="E4057">
        <v>3</v>
      </c>
      <c r="F4057">
        <v>30</v>
      </c>
      <c r="G4057" s="11">
        <v>5</v>
      </c>
      <c r="H4057" s="5">
        <v>0.18</v>
      </c>
      <c r="I4057" s="11">
        <v>392400</v>
      </c>
      <c r="J4057" s="20">
        <v>1962000</v>
      </c>
      <c r="K40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8" spans="1:11" hidden="1" x14ac:dyDescent="0.25">
      <c r="A4058" s="11"/>
      <c r="B4058" s="11"/>
      <c r="C4058" s="5"/>
      <c r="G4058" s="11"/>
      <c r="H4058" s="5"/>
      <c r="I4058" s="11"/>
      <c r="J4058" s="20"/>
      <c r="K40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59" spans="1:11" x14ac:dyDescent="0.25">
      <c r="A4059" s="11"/>
      <c r="B4059" s="11" t="s">
        <v>433</v>
      </c>
      <c r="C4059" s="5" t="s">
        <v>9</v>
      </c>
      <c r="D4059">
        <v>400</v>
      </c>
      <c r="E4059">
        <v>4</v>
      </c>
      <c r="F4059">
        <v>20</v>
      </c>
      <c r="G4059" s="11">
        <v>7</v>
      </c>
      <c r="H4059" s="5">
        <v>0.224</v>
      </c>
      <c r="I4059" s="11">
        <v>339200</v>
      </c>
      <c r="J4059" s="20">
        <v>2374400</v>
      </c>
      <c r="K40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0" spans="1:11" hidden="1" x14ac:dyDescent="0.25">
      <c r="A4060" s="11"/>
      <c r="B4060" s="11"/>
      <c r="C4060" s="5"/>
      <c r="G4060" s="11"/>
      <c r="H4060" s="5"/>
      <c r="I4060" s="11"/>
      <c r="J4060" s="20"/>
      <c r="K40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1" spans="1:11" x14ac:dyDescent="0.25">
      <c r="A4061" s="11"/>
      <c r="B4061" s="11" t="s">
        <v>443</v>
      </c>
      <c r="C4061" s="5" t="s">
        <v>21</v>
      </c>
      <c r="D4061">
        <v>400</v>
      </c>
      <c r="E4061">
        <v>4</v>
      </c>
      <c r="F4061">
        <v>25</v>
      </c>
      <c r="G4061" s="11">
        <v>1</v>
      </c>
      <c r="H4061" s="5">
        <v>0.04</v>
      </c>
      <c r="I4061" s="11">
        <v>428000</v>
      </c>
      <c r="J4061" s="20">
        <v>428000</v>
      </c>
      <c r="K40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2" spans="1:11" hidden="1" x14ac:dyDescent="0.25">
      <c r="A4062" s="11"/>
      <c r="B4062" s="11"/>
      <c r="C4062" s="5"/>
      <c r="G4062" s="11"/>
      <c r="H4062" s="5"/>
      <c r="I4062" s="11"/>
      <c r="J4062" s="20"/>
      <c r="K40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3" spans="1:11" x14ac:dyDescent="0.25">
      <c r="A4063" s="11"/>
      <c r="B4063" s="11" t="s">
        <v>435</v>
      </c>
      <c r="C4063" s="5" t="s">
        <v>11</v>
      </c>
      <c r="D4063">
        <v>400</v>
      </c>
      <c r="E4063">
        <v>6</v>
      </c>
      <c r="F4063">
        <v>12</v>
      </c>
      <c r="G4063" s="11">
        <v>9</v>
      </c>
      <c r="H4063" s="5">
        <v>0.25919999999999999</v>
      </c>
      <c r="I4063" s="11">
        <v>290880</v>
      </c>
      <c r="J4063" s="20">
        <v>2617920</v>
      </c>
      <c r="K40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64" spans="1:11" hidden="1" x14ac:dyDescent="0.25">
      <c r="A4064" s="11"/>
      <c r="B4064" s="11"/>
      <c r="C4064" s="5"/>
      <c r="G4064" s="11"/>
      <c r="H4064" s="5"/>
      <c r="I4064" s="11"/>
      <c r="J4064" s="20"/>
      <c r="K40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5" spans="1:11" x14ac:dyDescent="0.25">
      <c r="A4065" s="11"/>
      <c r="B4065" s="11" t="s">
        <v>520</v>
      </c>
      <c r="C4065" s="5" t="s">
        <v>126</v>
      </c>
      <c r="D4065">
        <v>500</v>
      </c>
      <c r="E4065">
        <v>6</v>
      </c>
      <c r="F4065">
        <v>12</v>
      </c>
      <c r="G4065" s="11">
        <v>4</v>
      </c>
      <c r="H4065" s="5">
        <v>0.14399999999999999</v>
      </c>
      <c r="I4065" s="11">
        <v>381600</v>
      </c>
      <c r="J4065" s="20">
        <v>1526400</v>
      </c>
      <c r="K40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66" spans="1:11" hidden="1" x14ac:dyDescent="0.25">
      <c r="A4066" s="11"/>
      <c r="B4066" s="11"/>
      <c r="C4066" s="5"/>
      <c r="G4066" s="11"/>
      <c r="H4066" s="5"/>
      <c r="I4066" s="11"/>
      <c r="J4066" s="20"/>
      <c r="K40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7" spans="1:11" hidden="1" x14ac:dyDescent="0.25">
      <c r="A4067" s="11"/>
      <c r="B4067" s="11"/>
      <c r="C4067" s="5"/>
      <c r="G4067" s="11"/>
      <c r="H4067" s="5"/>
      <c r="I4067" s="11"/>
      <c r="J4067" s="20"/>
      <c r="K40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68" spans="1:11" x14ac:dyDescent="0.25">
      <c r="A4068" s="11" t="s">
        <v>390</v>
      </c>
      <c r="B4068" s="11" t="s">
        <v>526</v>
      </c>
      <c r="C4068" s="5" t="s">
        <v>139</v>
      </c>
      <c r="D4068">
        <v>300</v>
      </c>
      <c r="E4068">
        <v>6</v>
      </c>
      <c r="F4068">
        <v>15</v>
      </c>
      <c r="G4068" s="11">
        <v>7</v>
      </c>
      <c r="H4068" s="5">
        <v>0.189</v>
      </c>
      <c r="I4068" s="11">
        <v>540000</v>
      </c>
      <c r="J4068" s="20">
        <v>3780000</v>
      </c>
      <c r="K40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69" spans="1:11" hidden="1" x14ac:dyDescent="0.25">
      <c r="A4069" s="11"/>
      <c r="B4069" s="11"/>
      <c r="C4069" s="5"/>
      <c r="G4069" s="11"/>
      <c r="H4069" s="5"/>
      <c r="I4069" s="11"/>
      <c r="J4069" s="20"/>
      <c r="K40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0" spans="1:11" x14ac:dyDescent="0.25">
      <c r="A4070" s="11"/>
      <c r="B4070" s="11" t="s">
        <v>533</v>
      </c>
      <c r="C4070" s="5" t="s">
        <v>152</v>
      </c>
      <c r="D4070">
        <v>400</v>
      </c>
      <c r="E4070">
        <v>3</v>
      </c>
      <c r="F4070">
        <v>20</v>
      </c>
      <c r="G4070" s="11">
        <v>3</v>
      </c>
      <c r="H4070" s="5">
        <v>7.1999999999999995E-2</v>
      </c>
      <c r="I4070" s="11">
        <v>523200</v>
      </c>
      <c r="J4070" s="20">
        <v>1569600</v>
      </c>
      <c r="K40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1" spans="1:11" hidden="1" x14ac:dyDescent="0.25">
      <c r="A4071" s="11"/>
      <c r="B4071" s="11"/>
      <c r="C4071" s="5"/>
      <c r="G4071" s="11"/>
      <c r="H4071" s="5"/>
      <c r="I4071" s="11"/>
      <c r="J4071" s="20"/>
      <c r="K40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2" spans="1:11" x14ac:dyDescent="0.25">
      <c r="A4072" s="11"/>
      <c r="B4072" s="11" t="s">
        <v>506</v>
      </c>
      <c r="C4072" s="5" t="s">
        <v>103</v>
      </c>
      <c r="D4072">
        <v>400</v>
      </c>
      <c r="E4072">
        <v>3</v>
      </c>
      <c r="F4072">
        <v>30</v>
      </c>
      <c r="G4072" s="11">
        <v>3</v>
      </c>
      <c r="H4072" s="5">
        <v>0.108</v>
      </c>
      <c r="I4072" s="11">
        <v>806400</v>
      </c>
      <c r="J4072" s="20">
        <v>2419200</v>
      </c>
      <c r="K40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3" spans="1:11" hidden="1" x14ac:dyDescent="0.25">
      <c r="A4073" s="11"/>
      <c r="B4073" s="11"/>
      <c r="C4073" s="5"/>
      <c r="G4073" s="11"/>
      <c r="H4073" s="5"/>
      <c r="I4073" s="11"/>
      <c r="J4073" s="20"/>
      <c r="K40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4" spans="1:11" x14ac:dyDescent="0.25">
      <c r="A4074" s="11"/>
      <c r="B4074" s="11" t="s">
        <v>442</v>
      </c>
      <c r="C4074" s="5" t="s">
        <v>20</v>
      </c>
      <c r="D4074">
        <v>400</v>
      </c>
      <c r="E4074">
        <v>6</v>
      </c>
      <c r="F4074">
        <v>12</v>
      </c>
      <c r="G4074" s="11">
        <v>1</v>
      </c>
      <c r="H4074" s="5">
        <v>2.8799999999999999E-2</v>
      </c>
      <c r="I4074" s="11">
        <v>578880</v>
      </c>
      <c r="J4074" s="20">
        <v>578880</v>
      </c>
      <c r="K40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75" spans="1:11" hidden="1" x14ac:dyDescent="0.25">
      <c r="A4075" s="11"/>
      <c r="B4075" s="11"/>
      <c r="C4075" s="5"/>
      <c r="G4075" s="11"/>
      <c r="H4075" s="5"/>
      <c r="I4075" s="11"/>
      <c r="J4075" s="20"/>
      <c r="K40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6" spans="1:11" x14ac:dyDescent="0.25">
      <c r="A4076" s="11"/>
      <c r="B4076" s="11" t="s">
        <v>563</v>
      </c>
      <c r="C4076" s="5" t="s">
        <v>231</v>
      </c>
      <c r="D4076">
        <v>400</v>
      </c>
      <c r="E4076">
        <v>15</v>
      </c>
      <c r="F4076">
        <v>15</v>
      </c>
      <c r="G4076" s="11">
        <v>3</v>
      </c>
      <c r="H4076" s="5">
        <v>0.27</v>
      </c>
      <c r="I4076" s="11">
        <v>2070000</v>
      </c>
      <c r="J4076" s="20">
        <v>6210000</v>
      </c>
      <c r="K40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077" spans="1:11" hidden="1" x14ac:dyDescent="0.25">
      <c r="A4077" s="11"/>
      <c r="B4077" s="11"/>
      <c r="C4077" s="5"/>
      <c r="G4077" s="11"/>
      <c r="H4077" s="5"/>
      <c r="I4077" s="11"/>
      <c r="J4077" s="20"/>
      <c r="K40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8" spans="1:11" x14ac:dyDescent="0.25">
      <c r="A4078" s="11"/>
      <c r="B4078" s="11" t="s">
        <v>482</v>
      </c>
      <c r="C4078" s="5" t="s">
        <v>69</v>
      </c>
      <c r="D4078">
        <v>400</v>
      </c>
      <c r="E4078">
        <v>2</v>
      </c>
      <c r="F4078">
        <v>20</v>
      </c>
      <c r="G4078" s="11">
        <v>13</v>
      </c>
      <c r="H4078" s="5">
        <v>0.20799999999999999</v>
      </c>
      <c r="I4078" s="11">
        <v>382400</v>
      </c>
      <c r="J4078" s="20">
        <v>4971200</v>
      </c>
      <c r="K40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79" spans="1:11" hidden="1" x14ac:dyDescent="0.25">
      <c r="A4079" s="11"/>
      <c r="B4079" s="11"/>
      <c r="C4079" s="5"/>
      <c r="G4079" s="11"/>
      <c r="H4079" s="5"/>
      <c r="I4079" s="11"/>
      <c r="J4079" s="20"/>
      <c r="K40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0" spans="1:11" hidden="1" x14ac:dyDescent="0.25">
      <c r="A4080" s="11"/>
      <c r="B4080" s="11"/>
      <c r="C4080" s="5"/>
      <c r="G4080" s="11"/>
      <c r="H4080" s="5"/>
      <c r="I4080" s="11"/>
      <c r="J4080" s="20"/>
      <c r="K40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1" spans="1:11" x14ac:dyDescent="0.25">
      <c r="A4081" s="11" t="s">
        <v>391</v>
      </c>
      <c r="B4081" s="11" t="s">
        <v>582</v>
      </c>
      <c r="C4081" s="5" t="s">
        <v>304</v>
      </c>
      <c r="D4081">
        <v>400</v>
      </c>
      <c r="E4081">
        <v>2</v>
      </c>
      <c r="F4081">
        <v>30</v>
      </c>
      <c r="G4081" s="11">
        <v>4</v>
      </c>
      <c r="H4081" s="5">
        <v>9.6000000000000002E-2</v>
      </c>
      <c r="I4081" s="11">
        <v>588000</v>
      </c>
      <c r="J4081" s="20">
        <v>2352000</v>
      </c>
      <c r="K40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2" spans="1:11" hidden="1" x14ac:dyDescent="0.25">
      <c r="A4082" s="11"/>
      <c r="B4082" s="11"/>
      <c r="C4082" s="5"/>
      <c r="G4082" s="11"/>
      <c r="H4082" s="5"/>
      <c r="I4082" s="11"/>
      <c r="J4082" s="20"/>
      <c r="K40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3" spans="1:11" x14ac:dyDescent="0.25">
      <c r="A4083" s="11"/>
      <c r="B4083" s="11" t="s">
        <v>493</v>
      </c>
      <c r="C4083" s="5" t="s">
        <v>86</v>
      </c>
      <c r="D4083">
        <v>300</v>
      </c>
      <c r="E4083">
        <v>4</v>
      </c>
      <c r="F4083">
        <v>25</v>
      </c>
      <c r="G4083" s="11">
        <v>23</v>
      </c>
      <c r="H4083" s="5">
        <v>0.69</v>
      </c>
      <c r="I4083" s="11">
        <v>321000</v>
      </c>
      <c r="J4083" s="20">
        <v>7383000</v>
      </c>
      <c r="K40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4" spans="1:11" hidden="1" x14ac:dyDescent="0.25">
      <c r="A4084" s="11"/>
      <c r="B4084" s="11"/>
      <c r="C4084" s="5"/>
      <c r="G4084" s="11"/>
      <c r="H4084" s="5"/>
      <c r="I4084" s="11"/>
      <c r="J4084" s="20"/>
      <c r="K40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5" spans="1:11" x14ac:dyDescent="0.25">
      <c r="A4085" s="11"/>
      <c r="B4085" s="11" t="s">
        <v>503</v>
      </c>
      <c r="C4085" s="5" t="s">
        <v>99</v>
      </c>
      <c r="D4085">
        <v>300</v>
      </c>
      <c r="E4085">
        <v>6</v>
      </c>
      <c r="F4085">
        <v>15</v>
      </c>
      <c r="G4085" s="11">
        <v>3</v>
      </c>
      <c r="H4085" s="5">
        <v>8.1000000000000003E-2</v>
      </c>
      <c r="I4085" s="11">
        <v>272700</v>
      </c>
      <c r="J4085" s="20">
        <v>818100</v>
      </c>
      <c r="K40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86" spans="1:11" hidden="1" x14ac:dyDescent="0.25">
      <c r="A4086" s="11"/>
      <c r="B4086" s="11"/>
      <c r="C4086" s="5"/>
      <c r="G4086" s="11"/>
      <c r="H4086" s="5"/>
      <c r="I4086" s="11"/>
      <c r="J4086" s="20"/>
      <c r="K40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7" spans="1:11" x14ac:dyDescent="0.25">
      <c r="A4087" s="11"/>
      <c r="B4087" s="11" t="s">
        <v>433</v>
      </c>
      <c r="C4087" s="5" t="s">
        <v>9</v>
      </c>
      <c r="D4087">
        <v>400</v>
      </c>
      <c r="E4087">
        <v>4</v>
      </c>
      <c r="F4087">
        <v>20</v>
      </c>
      <c r="G4087" s="11">
        <v>3</v>
      </c>
      <c r="H4087" s="5">
        <v>9.6000000000000002E-2</v>
      </c>
      <c r="I4087" s="11">
        <v>339200</v>
      </c>
      <c r="J4087" s="20">
        <v>1017600</v>
      </c>
      <c r="K40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8" spans="1:11" hidden="1" x14ac:dyDescent="0.25">
      <c r="A4088" s="11"/>
      <c r="B4088" s="11"/>
      <c r="C4088" s="5"/>
      <c r="G4088" s="11"/>
      <c r="H4088" s="5"/>
      <c r="I4088" s="11"/>
      <c r="J4088" s="20"/>
      <c r="K40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89" spans="1:11" x14ac:dyDescent="0.25">
      <c r="A4089" s="11"/>
      <c r="B4089" s="11" t="s">
        <v>434</v>
      </c>
      <c r="C4089" s="5" t="s">
        <v>10</v>
      </c>
      <c r="D4089">
        <v>400</v>
      </c>
      <c r="E4089">
        <v>4</v>
      </c>
      <c r="F4089">
        <v>30</v>
      </c>
      <c r="G4089" s="11">
        <v>33</v>
      </c>
      <c r="H4089" s="5">
        <v>1.5840000000000001</v>
      </c>
      <c r="I4089" s="11">
        <v>523200</v>
      </c>
      <c r="J4089" s="20">
        <v>17265600</v>
      </c>
      <c r="K40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0" spans="1:11" hidden="1" x14ac:dyDescent="0.25">
      <c r="A4090" s="11"/>
      <c r="B4090" s="11"/>
      <c r="C4090" s="5"/>
      <c r="G4090" s="11"/>
      <c r="H4090" s="5"/>
      <c r="I4090" s="11"/>
      <c r="J4090" s="20"/>
      <c r="K40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1" spans="1:11" x14ac:dyDescent="0.25">
      <c r="A4091" s="11"/>
      <c r="B4091" s="11" t="s">
        <v>435</v>
      </c>
      <c r="C4091" s="5" t="s">
        <v>11</v>
      </c>
      <c r="D4091">
        <v>400</v>
      </c>
      <c r="E4091">
        <v>6</v>
      </c>
      <c r="F4091">
        <v>12</v>
      </c>
      <c r="G4091" s="11">
        <v>4</v>
      </c>
      <c r="H4091" s="5">
        <v>0.1152</v>
      </c>
      <c r="I4091" s="11">
        <v>290880</v>
      </c>
      <c r="J4091" s="20">
        <v>1163520</v>
      </c>
      <c r="K40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092" spans="1:11" hidden="1" x14ac:dyDescent="0.25">
      <c r="A4092" s="11"/>
      <c r="B4092" s="11"/>
      <c r="C4092" s="5"/>
      <c r="G4092" s="11"/>
      <c r="H4092" s="5"/>
      <c r="I4092" s="11"/>
      <c r="J4092" s="20"/>
      <c r="K40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3" spans="1:11" hidden="1" x14ac:dyDescent="0.25">
      <c r="A4093" s="11"/>
      <c r="B4093" s="11"/>
      <c r="C4093" s="5"/>
      <c r="G4093" s="11"/>
      <c r="H4093" s="5"/>
      <c r="I4093" s="11"/>
      <c r="J4093" s="20"/>
      <c r="K40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4" spans="1:11" x14ac:dyDescent="0.25">
      <c r="A4094" s="11" t="s">
        <v>392</v>
      </c>
      <c r="B4094" s="11" t="s">
        <v>506</v>
      </c>
      <c r="C4094" s="5" t="s">
        <v>103</v>
      </c>
      <c r="D4094">
        <v>400</v>
      </c>
      <c r="E4094">
        <v>3</v>
      </c>
      <c r="F4094">
        <v>30</v>
      </c>
      <c r="G4094" s="11">
        <v>5</v>
      </c>
      <c r="H4094" s="5">
        <v>0.18</v>
      </c>
      <c r="I4094" s="11">
        <v>815400</v>
      </c>
      <c r="J4094" s="20">
        <v>4077000</v>
      </c>
      <c r="K40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5" spans="1:11" hidden="1" x14ac:dyDescent="0.25">
      <c r="A4095" s="11"/>
      <c r="B4095" s="11"/>
      <c r="C4095" s="5"/>
      <c r="G4095" s="11"/>
      <c r="H4095" s="5"/>
      <c r="I4095" s="11"/>
      <c r="J4095" s="20"/>
      <c r="K40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6" spans="1:11" x14ac:dyDescent="0.25">
      <c r="A4096" s="11"/>
      <c r="B4096" s="11" t="s">
        <v>527</v>
      </c>
      <c r="C4096" s="5" t="s">
        <v>143</v>
      </c>
      <c r="D4096">
        <v>400</v>
      </c>
      <c r="E4096">
        <v>4</v>
      </c>
      <c r="F4096">
        <v>20</v>
      </c>
      <c r="G4096" s="11">
        <v>1</v>
      </c>
      <c r="H4096" s="5">
        <v>3.2000000000000001E-2</v>
      </c>
      <c r="I4096" s="11">
        <v>705600</v>
      </c>
      <c r="J4096" s="20">
        <v>705600</v>
      </c>
      <c r="K40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7" spans="1:11" hidden="1" x14ac:dyDescent="0.25">
      <c r="A4097" s="11"/>
      <c r="B4097" s="11"/>
      <c r="C4097" s="5"/>
      <c r="G4097" s="11"/>
      <c r="H4097" s="5"/>
      <c r="I4097" s="11"/>
      <c r="J4097" s="20"/>
      <c r="K40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8" spans="1:11" hidden="1" x14ac:dyDescent="0.25">
      <c r="A4098" s="11"/>
      <c r="B4098" s="11"/>
      <c r="C4098" s="5"/>
      <c r="G4098" s="11"/>
      <c r="H4098" s="5"/>
      <c r="I4098" s="11"/>
      <c r="J4098" s="20"/>
      <c r="K40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099" spans="1:11" x14ac:dyDescent="0.25">
      <c r="A4099" s="11" t="s">
        <v>392</v>
      </c>
      <c r="B4099" s="11" t="s">
        <v>560</v>
      </c>
      <c r="C4099" s="5" t="s">
        <v>214</v>
      </c>
      <c r="D4099">
        <v>400</v>
      </c>
      <c r="E4099">
        <v>3</v>
      </c>
      <c r="F4099">
        <v>25</v>
      </c>
      <c r="G4099" s="11">
        <v>3</v>
      </c>
      <c r="H4099" s="5">
        <v>0.09</v>
      </c>
      <c r="I4099" s="11">
        <v>234000</v>
      </c>
      <c r="J4099" s="20">
        <v>702000</v>
      </c>
      <c r="K40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0" spans="1:11" hidden="1" x14ac:dyDescent="0.25">
      <c r="A4100" s="11"/>
      <c r="B4100" s="11"/>
      <c r="C4100" s="5"/>
      <c r="G4100" s="11"/>
      <c r="H4100" s="5"/>
      <c r="I4100" s="11"/>
      <c r="J4100" s="20"/>
      <c r="K41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1" spans="1:11" hidden="1" x14ac:dyDescent="0.25">
      <c r="A4101" s="11"/>
      <c r="B4101" s="11"/>
      <c r="C4101" s="5"/>
      <c r="G4101" s="11"/>
      <c r="H4101" s="5"/>
      <c r="I4101" s="11"/>
      <c r="J4101" s="20"/>
      <c r="K41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2" spans="1:11" x14ac:dyDescent="0.25">
      <c r="A4102" s="11" t="s">
        <v>393</v>
      </c>
      <c r="B4102" s="11" t="s">
        <v>587</v>
      </c>
      <c r="C4102" s="5" t="s">
        <v>327</v>
      </c>
      <c r="D4102">
        <v>450</v>
      </c>
      <c r="E4102">
        <v>6</v>
      </c>
      <c r="F4102">
        <v>15</v>
      </c>
      <c r="G4102" s="11">
        <v>1</v>
      </c>
      <c r="H4102" s="5">
        <v>4.0500000000000001E-2</v>
      </c>
      <c r="I4102" s="11">
        <v>834300</v>
      </c>
      <c r="J4102" s="20">
        <v>834300</v>
      </c>
      <c r="K41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03" spans="1:11" hidden="1" x14ac:dyDescent="0.25">
      <c r="A4103" s="11"/>
      <c r="B4103" s="11"/>
      <c r="C4103" s="5"/>
      <c r="G4103" s="11"/>
      <c r="H4103" s="5"/>
      <c r="I4103" s="11"/>
      <c r="J4103" s="20"/>
      <c r="K41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4" spans="1:11" x14ac:dyDescent="0.25">
      <c r="A4104" s="11"/>
      <c r="B4104" s="11" t="s">
        <v>438</v>
      </c>
      <c r="C4104" s="5" t="s">
        <v>15</v>
      </c>
      <c r="D4104">
        <v>400</v>
      </c>
      <c r="E4104">
        <v>3</v>
      </c>
      <c r="F4104">
        <v>25</v>
      </c>
      <c r="G4104" s="11">
        <v>1</v>
      </c>
      <c r="H4104" s="5">
        <v>0.03</v>
      </c>
      <c r="I4104" s="11">
        <v>330000</v>
      </c>
      <c r="J4104" s="20">
        <v>330000</v>
      </c>
      <c r="K41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5" spans="1:11" hidden="1" x14ac:dyDescent="0.25">
      <c r="A4105" s="11"/>
      <c r="B4105" s="11"/>
      <c r="C4105" s="5"/>
      <c r="G4105" s="11"/>
      <c r="H4105" s="5"/>
      <c r="I4105" s="11"/>
      <c r="J4105" s="20"/>
      <c r="K41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6" spans="1:11" x14ac:dyDescent="0.25">
      <c r="A4106" s="11"/>
      <c r="B4106" s="11" t="s">
        <v>439</v>
      </c>
      <c r="C4106" s="5" t="s">
        <v>16</v>
      </c>
      <c r="D4106">
        <v>400</v>
      </c>
      <c r="E4106">
        <v>3</v>
      </c>
      <c r="F4106">
        <v>30</v>
      </c>
      <c r="G4106" s="11">
        <v>1</v>
      </c>
      <c r="H4106" s="5">
        <v>3.5999999999999997E-2</v>
      </c>
      <c r="I4106" s="11">
        <v>403200</v>
      </c>
      <c r="J4106" s="20">
        <v>403200</v>
      </c>
      <c r="K41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7" spans="1:11" hidden="1" x14ac:dyDescent="0.25">
      <c r="A4107" s="11"/>
      <c r="B4107" s="11"/>
      <c r="C4107" s="5"/>
      <c r="G4107" s="11"/>
      <c r="H4107" s="5"/>
      <c r="I4107" s="11"/>
      <c r="J4107" s="20"/>
      <c r="K41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8" spans="1:11" x14ac:dyDescent="0.25">
      <c r="A4108" s="11"/>
      <c r="B4108" s="11" t="s">
        <v>443</v>
      </c>
      <c r="C4108" s="5" t="s">
        <v>21</v>
      </c>
      <c r="D4108">
        <v>400</v>
      </c>
      <c r="E4108">
        <v>4</v>
      </c>
      <c r="F4108">
        <v>25</v>
      </c>
      <c r="G4108" s="11">
        <v>2</v>
      </c>
      <c r="H4108" s="5">
        <v>0.08</v>
      </c>
      <c r="I4108" s="11">
        <v>440000</v>
      </c>
      <c r="J4108" s="20">
        <v>880000</v>
      </c>
      <c r="K41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09" spans="1:11" hidden="1" x14ac:dyDescent="0.25">
      <c r="A4109" s="11"/>
      <c r="B4109" s="11"/>
      <c r="C4109" s="5"/>
      <c r="G4109" s="11"/>
      <c r="H4109" s="5"/>
      <c r="I4109" s="11"/>
      <c r="J4109" s="20"/>
      <c r="K41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0" spans="1:11" hidden="1" x14ac:dyDescent="0.25">
      <c r="A4110" s="11"/>
      <c r="B4110" s="11"/>
      <c r="C4110" s="5"/>
      <c r="G4110" s="11"/>
      <c r="H4110" s="5"/>
      <c r="I4110" s="11"/>
      <c r="J4110" s="20"/>
      <c r="K41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1" spans="1:11" x14ac:dyDescent="0.25">
      <c r="A4111" s="11" t="s">
        <v>393</v>
      </c>
      <c r="B4111" s="11" t="s">
        <v>506</v>
      </c>
      <c r="C4111" s="5" t="s">
        <v>103</v>
      </c>
      <c r="D4111">
        <v>400</v>
      </c>
      <c r="E4111">
        <v>3</v>
      </c>
      <c r="F4111">
        <v>30</v>
      </c>
      <c r="G4111" s="11">
        <v>1</v>
      </c>
      <c r="H4111" s="5">
        <v>3.5999999999999997E-2</v>
      </c>
      <c r="I4111" s="11">
        <v>806400</v>
      </c>
      <c r="J4111" s="20">
        <v>806400</v>
      </c>
      <c r="K41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2" spans="1:11" hidden="1" x14ac:dyDescent="0.25">
      <c r="A4112" s="11"/>
      <c r="B4112" s="11"/>
      <c r="C4112" s="5"/>
      <c r="G4112" s="11"/>
      <c r="H4112" s="5"/>
      <c r="I4112" s="11"/>
      <c r="J4112" s="20"/>
      <c r="K41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3" spans="1:11" x14ac:dyDescent="0.25">
      <c r="A4113" s="11"/>
      <c r="B4113" s="11" t="s">
        <v>444</v>
      </c>
      <c r="C4113" s="5" t="s">
        <v>23</v>
      </c>
      <c r="D4113">
        <v>400</v>
      </c>
      <c r="E4113">
        <v>5</v>
      </c>
      <c r="F4113">
        <v>15</v>
      </c>
      <c r="G4113" s="11">
        <v>4</v>
      </c>
      <c r="H4113" s="5">
        <v>0.12</v>
      </c>
      <c r="I4113" s="11">
        <v>618000</v>
      </c>
      <c r="J4113" s="20">
        <v>2472000</v>
      </c>
      <c r="K41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14" spans="1:11" hidden="1" x14ac:dyDescent="0.25">
      <c r="A4114" s="11"/>
      <c r="B4114" s="11"/>
      <c r="C4114" s="5"/>
      <c r="G4114" s="11"/>
      <c r="H4114" s="5"/>
      <c r="I4114" s="11"/>
      <c r="J4114" s="20"/>
      <c r="K41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5" spans="1:11" x14ac:dyDescent="0.25">
      <c r="A4115" s="11"/>
      <c r="B4115" s="11" t="s">
        <v>445</v>
      </c>
      <c r="C4115" s="5" t="s">
        <v>24</v>
      </c>
      <c r="D4115">
        <v>500</v>
      </c>
      <c r="E4115">
        <v>5</v>
      </c>
      <c r="F4115">
        <v>15</v>
      </c>
      <c r="G4115" s="11">
        <v>2</v>
      </c>
      <c r="H4115" s="5">
        <v>7.4999999999999997E-2</v>
      </c>
      <c r="I4115" s="11">
        <v>791250</v>
      </c>
      <c r="J4115" s="20">
        <v>1582500</v>
      </c>
      <c r="K41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16" spans="1:11" hidden="1" x14ac:dyDescent="0.25">
      <c r="A4116" s="11"/>
      <c r="B4116" s="11"/>
      <c r="C4116" s="5"/>
      <c r="G4116" s="11"/>
      <c r="H4116" s="5"/>
      <c r="I4116" s="11"/>
      <c r="J4116" s="20"/>
      <c r="K41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7" spans="1:11" x14ac:dyDescent="0.25">
      <c r="A4117" s="11"/>
      <c r="B4117" s="11" t="s">
        <v>540</v>
      </c>
      <c r="C4117" s="5" t="s">
        <v>166</v>
      </c>
      <c r="D4117">
        <v>250</v>
      </c>
      <c r="E4117">
        <v>4</v>
      </c>
      <c r="F4117">
        <v>20</v>
      </c>
      <c r="G4117" s="11">
        <v>3</v>
      </c>
      <c r="H4117" s="5">
        <v>0.06</v>
      </c>
      <c r="I4117" s="11">
        <v>436000</v>
      </c>
      <c r="J4117" s="20">
        <v>1308000</v>
      </c>
      <c r="K41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8" spans="1:11" hidden="1" x14ac:dyDescent="0.25">
      <c r="A4118" s="11"/>
      <c r="B4118" s="11"/>
      <c r="C4118" s="5"/>
      <c r="G4118" s="11"/>
      <c r="H4118" s="5"/>
      <c r="I4118" s="11"/>
      <c r="J4118" s="20"/>
      <c r="K41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19" spans="1:11" x14ac:dyDescent="0.25">
      <c r="A4119" s="11"/>
      <c r="B4119" s="11" t="s">
        <v>487</v>
      </c>
      <c r="C4119" s="5" t="s">
        <v>77</v>
      </c>
      <c r="D4119">
        <v>250</v>
      </c>
      <c r="E4119">
        <v>4</v>
      </c>
      <c r="F4119">
        <v>30</v>
      </c>
      <c r="G4119" s="11">
        <v>1</v>
      </c>
      <c r="H4119" s="5">
        <v>0.03</v>
      </c>
      <c r="I4119" s="11">
        <v>672000</v>
      </c>
      <c r="J4119" s="20">
        <v>672000</v>
      </c>
      <c r="K41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0" spans="1:11" hidden="1" x14ac:dyDescent="0.25">
      <c r="A4120" s="11"/>
      <c r="B4120" s="11"/>
      <c r="C4120" s="5"/>
      <c r="G4120" s="11"/>
      <c r="H4120" s="5"/>
      <c r="I4120" s="11"/>
      <c r="J4120" s="20"/>
      <c r="K41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1" spans="1:11" hidden="1" x14ac:dyDescent="0.25">
      <c r="A4121" s="11"/>
      <c r="B4121" s="11"/>
      <c r="C4121" s="5"/>
      <c r="G4121" s="11"/>
      <c r="H4121" s="5"/>
      <c r="I4121" s="11"/>
      <c r="J4121" s="20"/>
      <c r="K41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2" spans="1:11" x14ac:dyDescent="0.25">
      <c r="A4122" s="11" t="s">
        <v>393</v>
      </c>
      <c r="B4122" s="11" t="s">
        <v>485</v>
      </c>
      <c r="C4122" s="5" t="s">
        <v>74</v>
      </c>
      <c r="D4122">
        <v>150</v>
      </c>
      <c r="E4122">
        <v>6</v>
      </c>
      <c r="F4122">
        <v>15</v>
      </c>
      <c r="G4122" s="11">
        <v>1</v>
      </c>
      <c r="H4122" s="5">
        <v>1.35E-2</v>
      </c>
      <c r="I4122" s="11">
        <v>245700</v>
      </c>
      <c r="J4122" s="20">
        <v>245700</v>
      </c>
      <c r="K41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23" spans="1:11" hidden="1" x14ac:dyDescent="0.25">
      <c r="A4123" s="11"/>
      <c r="B4123" s="11"/>
      <c r="C4123" s="5"/>
      <c r="G4123" s="11"/>
      <c r="H4123" s="5"/>
      <c r="I4123" s="11"/>
      <c r="J4123" s="20"/>
      <c r="K41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4" spans="1:11" x14ac:dyDescent="0.25">
      <c r="A4124" s="11"/>
      <c r="B4124" s="11" t="s">
        <v>522</v>
      </c>
      <c r="C4124" s="5" t="s">
        <v>131</v>
      </c>
      <c r="D4124">
        <v>200</v>
      </c>
      <c r="E4124">
        <v>6</v>
      </c>
      <c r="F4124">
        <v>15</v>
      </c>
      <c r="G4124" s="11">
        <v>2</v>
      </c>
      <c r="H4124" s="5">
        <v>3.5999999999999997E-2</v>
      </c>
      <c r="I4124" s="11">
        <v>352800</v>
      </c>
      <c r="J4124" s="20">
        <v>705600</v>
      </c>
      <c r="K41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25" spans="1:11" hidden="1" x14ac:dyDescent="0.25">
      <c r="A4125" s="11"/>
      <c r="B4125" s="11"/>
      <c r="C4125" s="5"/>
      <c r="G4125" s="11"/>
      <c r="H4125" s="5"/>
      <c r="I4125" s="11"/>
      <c r="J4125" s="20"/>
      <c r="K41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6" spans="1:11" hidden="1" x14ac:dyDescent="0.25">
      <c r="A4126" s="11"/>
      <c r="B4126" s="11"/>
      <c r="C4126" s="5"/>
      <c r="G4126" s="11"/>
      <c r="H4126" s="5"/>
      <c r="I4126" s="11"/>
      <c r="J4126" s="20"/>
      <c r="K41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7" spans="1:11" x14ac:dyDescent="0.25">
      <c r="A4127" s="11" t="s">
        <v>394</v>
      </c>
      <c r="B4127" s="11" t="s">
        <v>504</v>
      </c>
      <c r="C4127" s="5" t="s">
        <v>100</v>
      </c>
      <c r="D4127">
        <v>250</v>
      </c>
      <c r="E4127">
        <v>6</v>
      </c>
      <c r="F4127">
        <v>15</v>
      </c>
      <c r="G4127" s="11">
        <v>2</v>
      </c>
      <c r="H4127" s="5">
        <v>4.4999999999999998E-2</v>
      </c>
      <c r="I4127" s="11">
        <v>463500</v>
      </c>
      <c r="J4127" s="20">
        <v>927000</v>
      </c>
      <c r="K41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28" spans="1:11" hidden="1" x14ac:dyDescent="0.25">
      <c r="A4128" s="11"/>
      <c r="B4128" s="11"/>
      <c r="C4128" s="5"/>
      <c r="G4128" s="11"/>
      <c r="H4128" s="5"/>
      <c r="I4128" s="11"/>
      <c r="J4128" s="20"/>
      <c r="K41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29" spans="1:11" hidden="1" x14ac:dyDescent="0.25">
      <c r="A4129" s="11"/>
      <c r="B4129" s="11"/>
      <c r="C4129" s="5"/>
      <c r="G4129" s="11"/>
      <c r="H4129" s="5"/>
      <c r="I4129" s="11"/>
      <c r="J4129" s="20"/>
      <c r="K41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0" spans="1:11" x14ac:dyDescent="0.25">
      <c r="A4130" s="11" t="s">
        <v>395</v>
      </c>
      <c r="B4130" s="11" t="s">
        <v>439</v>
      </c>
      <c r="C4130" s="5" t="s">
        <v>16</v>
      </c>
      <c r="D4130">
        <v>400</v>
      </c>
      <c r="E4130">
        <v>3</v>
      </c>
      <c r="F4130">
        <v>30</v>
      </c>
      <c r="G4130" s="11">
        <v>3</v>
      </c>
      <c r="H4130" s="5">
        <v>0.108</v>
      </c>
      <c r="I4130" s="11">
        <v>403200</v>
      </c>
      <c r="J4130" s="20">
        <v>1209600</v>
      </c>
      <c r="K41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1" spans="1:11" hidden="1" x14ac:dyDescent="0.25">
      <c r="A4131" s="11"/>
      <c r="B4131" s="11"/>
      <c r="C4131" s="5"/>
      <c r="G4131" s="11"/>
      <c r="H4131" s="5"/>
      <c r="I4131" s="11"/>
      <c r="J4131" s="20"/>
      <c r="K41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2" spans="1:11" x14ac:dyDescent="0.25">
      <c r="A4132" s="11"/>
      <c r="B4132" s="11" t="s">
        <v>440</v>
      </c>
      <c r="C4132" s="5" t="s">
        <v>17</v>
      </c>
      <c r="D4132">
        <v>500</v>
      </c>
      <c r="E4132">
        <v>4</v>
      </c>
      <c r="F4132">
        <v>25</v>
      </c>
      <c r="G4132" s="11">
        <v>2</v>
      </c>
      <c r="H4132" s="5">
        <v>0.1</v>
      </c>
      <c r="I4132" s="11">
        <v>550000</v>
      </c>
      <c r="J4132" s="20">
        <v>1100000</v>
      </c>
      <c r="K41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3" spans="1:11" hidden="1" x14ac:dyDescent="0.25">
      <c r="A4133" s="11"/>
      <c r="B4133" s="11"/>
      <c r="C4133" s="5"/>
      <c r="G4133" s="11"/>
      <c r="H4133" s="5"/>
      <c r="I4133" s="11"/>
      <c r="J4133" s="20"/>
      <c r="K41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4" spans="1:11" hidden="1" x14ac:dyDescent="0.25">
      <c r="A4134" s="11"/>
      <c r="B4134" s="11"/>
      <c r="C4134" s="5"/>
      <c r="G4134" s="11"/>
      <c r="H4134" s="5"/>
      <c r="I4134" s="11"/>
      <c r="J4134" s="20"/>
      <c r="K41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5" spans="1:11" x14ac:dyDescent="0.25">
      <c r="A4135" s="11" t="s">
        <v>395</v>
      </c>
      <c r="B4135" s="11" t="s">
        <v>502</v>
      </c>
      <c r="C4135" s="5" t="s">
        <v>98</v>
      </c>
      <c r="D4135">
        <v>400</v>
      </c>
      <c r="E4135">
        <v>5</v>
      </c>
      <c r="F4135">
        <v>15</v>
      </c>
      <c r="G4135" s="11">
        <v>10</v>
      </c>
      <c r="H4135" s="5">
        <v>0.3</v>
      </c>
      <c r="I4135" s="11">
        <v>315000</v>
      </c>
      <c r="J4135" s="20">
        <v>3150000</v>
      </c>
      <c r="K41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36" spans="1:11" hidden="1" x14ac:dyDescent="0.25">
      <c r="A4136" s="11"/>
      <c r="B4136" s="11"/>
      <c r="C4136" s="5"/>
      <c r="G4136" s="11"/>
      <c r="H4136" s="5"/>
      <c r="I4136" s="11"/>
      <c r="J4136" s="20"/>
      <c r="K41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7" spans="1:11" hidden="1" x14ac:dyDescent="0.25">
      <c r="A4137" s="11"/>
      <c r="B4137" s="11"/>
      <c r="C4137" s="5"/>
      <c r="G4137" s="11"/>
      <c r="H4137" s="5"/>
      <c r="I4137" s="11"/>
      <c r="J4137" s="20"/>
      <c r="K41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8" spans="1:11" x14ac:dyDescent="0.25">
      <c r="A4138" s="11" t="s">
        <v>396</v>
      </c>
      <c r="B4138" s="11" t="s">
        <v>506</v>
      </c>
      <c r="C4138" s="5" t="s">
        <v>103</v>
      </c>
      <c r="D4138">
        <v>400</v>
      </c>
      <c r="E4138">
        <v>3</v>
      </c>
      <c r="F4138">
        <v>30</v>
      </c>
      <c r="G4138" s="11">
        <v>10</v>
      </c>
      <c r="H4138" s="5">
        <v>0.36</v>
      </c>
      <c r="I4138" s="11">
        <v>806400</v>
      </c>
      <c r="J4138" s="20">
        <v>8064000</v>
      </c>
      <c r="K41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39" spans="1:11" hidden="1" x14ac:dyDescent="0.25">
      <c r="A4139" s="11"/>
      <c r="B4139" s="11"/>
      <c r="C4139" s="5"/>
      <c r="G4139" s="11"/>
      <c r="H4139" s="5"/>
      <c r="I4139" s="11"/>
      <c r="J4139" s="20"/>
      <c r="K41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0" spans="1:11" x14ac:dyDescent="0.25">
      <c r="A4140" s="11"/>
      <c r="B4140" s="11" t="s">
        <v>496</v>
      </c>
      <c r="C4140" s="5" t="s">
        <v>89</v>
      </c>
      <c r="D4140">
        <v>400</v>
      </c>
      <c r="E4140">
        <v>5</v>
      </c>
      <c r="F4140">
        <v>30</v>
      </c>
      <c r="G4140" s="11">
        <v>10</v>
      </c>
      <c r="H4140" s="5">
        <v>0.6</v>
      </c>
      <c r="I4140" s="11">
        <v>1344000</v>
      </c>
      <c r="J4140" s="20">
        <v>13440000</v>
      </c>
      <c r="K41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141" spans="1:11" hidden="1" x14ac:dyDescent="0.25">
      <c r="A4141" s="11"/>
      <c r="B4141" s="11"/>
      <c r="C4141" s="5"/>
      <c r="G4141" s="11"/>
      <c r="H4141" s="5"/>
      <c r="I4141" s="11"/>
      <c r="J4141" s="20"/>
      <c r="K41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2" spans="1:11" hidden="1" x14ac:dyDescent="0.25">
      <c r="A4142" s="11"/>
      <c r="B4142" s="11"/>
      <c r="C4142" s="5"/>
      <c r="G4142" s="11"/>
      <c r="H4142" s="5"/>
      <c r="I4142" s="11"/>
      <c r="J4142" s="20"/>
      <c r="K41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3" spans="1:11" x14ac:dyDescent="0.25">
      <c r="A4143" s="11" t="s">
        <v>396</v>
      </c>
      <c r="B4143" s="11" t="s">
        <v>534</v>
      </c>
      <c r="C4143" s="5" t="s">
        <v>153</v>
      </c>
      <c r="D4143">
        <v>500</v>
      </c>
      <c r="E4143">
        <v>4</v>
      </c>
      <c r="F4143">
        <v>25</v>
      </c>
      <c r="G4143" s="11">
        <v>1</v>
      </c>
      <c r="H4143" s="5">
        <v>0.05</v>
      </c>
      <c r="I4143" s="11">
        <v>1120000</v>
      </c>
      <c r="J4143" s="20">
        <v>1120000</v>
      </c>
      <c r="K41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4" spans="1:11" hidden="1" x14ac:dyDescent="0.25">
      <c r="A4144" s="11"/>
      <c r="B4144" s="11"/>
      <c r="C4144" s="5"/>
      <c r="G4144" s="11"/>
      <c r="H4144" s="5"/>
      <c r="I4144" s="11"/>
      <c r="J4144" s="20"/>
      <c r="K41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5" spans="1:11" x14ac:dyDescent="0.25">
      <c r="A4145" s="11"/>
      <c r="B4145" s="11" t="s">
        <v>568</v>
      </c>
      <c r="C4145" s="5" t="s">
        <v>257</v>
      </c>
      <c r="D4145">
        <v>190</v>
      </c>
      <c r="E4145">
        <v>6</v>
      </c>
      <c r="F4145">
        <v>15</v>
      </c>
      <c r="G4145" s="11">
        <v>1</v>
      </c>
      <c r="H4145" s="5">
        <v>1.7100000000000001E-2</v>
      </c>
      <c r="I4145" s="11">
        <v>335160</v>
      </c>
      <c r="J4145" s="20">
        <v>335160</v>
      </c>
      <c r="K41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46" spans="1:11" hidden="1" x14ac:dyDescent="0.25">
      <c r="A4146" s="11"/>
      <c r="B4146" s="11"/>
      <c r="C4146" s="5"/>
      <c r="G4146" s="11"/>
      <c r="H4146" s="5"/>
      <c r="I4146" s="11"/>
      <c r="J4146" s="20"/>
      <c r="K41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7" spans="1:11" x14ac:dyDescent="0.25">
      <c r="A4147" s="11"/>
      <c r="B4147" s="11" t="s">
        <v>449</v>
      </c>
      <c r="C4147" s="5" t="s">
        <v>28</v>
      </c>
      <c r="D4147">
        <v>260</v>
      </c>
      <c r="E4147">
        <v>6</v>
      </c>
      <c r="F4147">
        <v>15</v>
      </c>
      <c r="G4147" s="11">
        <v>2</v>
      </c>
      <c r="H4147" s="5">
        <v>4.6800000000000001E-2</v>
      </c>
      <c r="I4147" s="11">
        <v>458640</v>
      </c>
      <c r="J4147" s="20">
        <v>917280</v>
      </c>
      <c r="K41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48" spans="1:11" hidden="1" x14ac:dyDescent="0.25">
      <c r="A4148" s="11"/>
      <c r="B4148" s="11"/>
      <c r="C4148" s="5"/>
      <c r="G4148" s="11"/>
      <c r="H4148" s="5"/>
      <c r="I4148" s="11"/>
      <c r="J4148" s="20"/>
      <c r="K41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49" spans="1:11" x14ac:dyDescent="0.25">
      <c r="A4149" s="11"/>
      <c r="B4149" s="11" t="s">
        <v>574</v>
      </c>
      <c r="C4149" s="5" t="s">
        <v>270</v>
      </c>
      <c r="D4149">
        <v>400</v>
      </c>
      <c r="E4149">
        <v>4</v>
      </c>
      <c r="F4149">
        <v>25</v>
      </c>
      <c r="G4149" s="11">
        <v>1</v>
      </c>
      <c r="H4149" s="5">
        <v>0.04</v>
      </c>
      <c r="I4149" s="11">
        <v>860000</v>
      </c>
      <c r="J4149" s="20">
        <v>860000</v>
      </c>
      <c r="K41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0" spans="1:11" hidden="1" x14ac:dyDescent="0.25">
      <c r="A4150" s="11"/>
      <c r="B4150" s="11"/>
      <c r="C4150" s="5"/>
      <c r="G4150" s="11"/>
      <c r="H4150" s="5"/>
      <c r="I4150" s="11"/>
      <c r="J4150" s="20"/>
      <c r="K41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1" spans="1:11" hidden="1" x14ac:dyDescent="0.25">
      <c r="A4151" s="11"/>
      <c r="B4151" s="11"/>
      <c r="C4151" s="5"/>
      <c r="G4151" s="11"/>
      <c r="H4151" s="5"/>
      <c r="I4151" s="11"/>
      <c r="J4151" s="20"/>
      <c r="K41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2" spans="1:11" x14ac:dyDescent="0.25">
      <c r="A4152" s="11" t="s">
        <v>397</v>
      </c>
      <c r="B4152" s="11" t="s">
        <v>496</v>
      </c>
      <c r="C4152" s="5" t="s">
        <v>89</v>
      </c>
      <c r="D4152">
        <v>400</v>
      </c>
      <c r="E4152">
        <v>5</v>
      </c>
      <c r="F4152">
        <v>30</v>
      </c>
      <c r="G4152" s="11">
        <v>2</v>
      </c>
      <c r="H4152" s="5">
        <v>0.12</v>
      </c>
      <c r="I4152" s="11">
        <v>1359000</v>
      </c>
      <c r="J4152" s="20">
        <v>2718000</v>
      </c>
      <c r="K41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153" spans="1:11" hidden="1" x14ac:dyDescent="0.25">
      <c r="A4153" s="11"/>
      <c r="B4153" s="11"/>
      <c r="C4153" s="5"/>
      <c r="G4153" s="11"/>
      <c r="H4153" s="5"/>
      <c r="I4153" s="11"/>
      <c r="J4153" s="20"/>
      <c r="K41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4" spans="1:11" x14ac:dyDescent="0.25">
      <c r="A4154" s="11"/>
      <c r="B4154" s="11" t="s">
        <v>517</v>
      </c>
      <c r="C4154" s="5" t="s">
        <v>122</v>
      </c>
      <c r="D4154">
        <v>400</v>
      </c>
      <c r="E4154">
        <v>6</v>
      </c>
      <c r="F4154">
        <v>15</v>
      </c>
      <c r="G4154" s="11">
        <v>2</v>
      </c>
      <c r="H4154" s="5">
        <v>7.1999999999999995E-2</v>
      </c>
      <c r="I4154" s="11">
        <v>732600</v>
      </c>
      <c r="J4154" s="20">
        <v>1465200</v>
      </c>
      <c r="K41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55" spans="1:11" hidden="1" x14ac:dyDescent="0.25">
      <c r="A4155" s="11"/>
      <c r="B4155" s="11"/>
      <c r="C4155" s="5"/>
      <c r="G4155" s="11"/>
      <c r="H4155" s="5"/>
      <c r="I4155" s="11"/>
      <c r="J4155" s="20"/>
      <c r="K41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6" spans="1:11" x14ac:dyDescent="0.25">
      <c r="A4156" s="11"/>
      <c r="B4156" s="11" t="s">
        <v>582</v>
      </c>
      <c r="C4156" s="5" t="s">
        <v>304</v>
      </c>
      <c r="D4156">
        <v>400</v>
      </c>
      <c r="E4156">
        <v>2</v>
      </c>
      <c r="F4156">
        <v>30</v>
      </c>
      <c r="G4156" s="11">
        <v>4</v>
      </c>
      <c r="H4156" s="5">
        <v>9.6000000000000002E-2</v>
      </c>
      <c r="I4156" s="11">
        <v>594000</v>
      </c>
      <c r="J4156" s="20">
        <v>2376000</v>
      </c>
      <c r="K41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7" spans="1:11" hidden="1" x14ac:dyDescent="0.25">
      <c r="A4157" s="11"/>
      <c r="B4157" s="11"/>
      <c r="C4157" s="5"/>
      <c r="G4157" s="11"/>
      <c r="H4157" s="5"/>
      <c r="I4157" s="11"/>
      <c r="J4157" s="20"/>
      <c r="K41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58" spans="1:11" x14ac:dyDescent="0.25">
      <c r="A4158" s="11"/>
      <c r="B4158" s="11" t="s">
        <v>490</v>
      </c>
      <c r="C4158" s="5" t="s">
        <v>82</v>
      </c>
      <c r="D4158">
        <v>250</v>
      </c>
      <c r="E4158">
        <v>6</v>
      </c>
      <c r="F4158">
        <v>15</v>
      </c>
      <c r="G4158" s="11">
        <v>1</v>
      </c>
      <c r="H4158" s="5">
        <v>2.2499999999999999E-2</v>
      </c>
      <c r="I4158" s="11">
        <v>245250</v>
      </c>
      <c r="J4158" s="20">
        <v>245250</v>
      </c>
      <c r="K41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59" spans="1:11" hidden="1" x14ac:dyDescent="0.25">
      <c r="A4159" s="11"/>
      <c r="B4159" s="11"/>
      <c r="C4159" s="5"/>
      <c r="G4159" s="11"/>
      <c r="H4159" s="5"/>
      <c r="I4159" s="11"/>
      <c r="J4159" s="20"/>
      <c r="K41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0" spans="1:11" x14ac:dyDescent="0.25">
      <c r="A4160" s="11"/>
      <c r="B4160" s="11" t="s">
        <v>503</v>
      </c>
      <c r="C4160" s="5" t="s">
        <v>99</v>
      </c>
      <c r="D4160">
        <v>300</v>
      </c>
      <c r="E4160">
        <v>6</v>
      </c>
      <c r="F4160">
        <v>15</v>
      </c>
      <c r="G4160" s="11">
        <v>1</v>
      </c>
      <c r="H4160" s="5">
        <v>2.7E-2</v>
      </c>
      <c r="I4160" s="11">
        <v>279450</v>
      </c>
      <c r="J4160" s="20">
        <v>279450</v>
      </c>
      <c r="K41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61" spans="1:11" hidden="1" x14ac:dyDescent="0.25">
      <c r="A4161" s="11"/>
      <c r="B4161" s="11"/>
      <c r="C4161" s="5"/>
      <c r="G4161" s="11"/>
      <c r="H4161" s="5"/>
      <c r="I4161" s="11"/>
      <c r="J4161" s="20"/>
      <c r="K41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2" spans="1:11" x14ac:dyDescent="0.25">
      <c r="A4162" s="11"/>
      <c r="B4162" s="11" t="s">
        <v>454</v>
      </c>
      <c r="C4162" s="5" t="s">
        <v>35</v>
      </c>
      <c r="D4162">
        <v>400</v>
      </c>
      <c r="E4162">
        <v>5</v>
      </c>
      <c r="F4162">
        <v>30</v>
      </c>
      <c r="G4162" s="11">
        <v>5</v>
      </c>
      <c r="H4162" s="5">
        <v>0.3</v>
      </c>
      <c r="I4162" s="11">
        <v>699000</v>
      </c>
      <c r="J4162" s="20">
        <v>3495000</v>
      </c>
      <c r="K41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163" spans="1:11" hidden="1" x14ac:dyDescent="0.25">
      <c r="A4163" s="11"/>
      <c r="B4163" s="11"/>
      <c r="C4163" s="5"/>
      <c r="G4163" s="11"/>
      <c r="H4163" s="5"/>
      <c r="I4163" s="11"/>
      <c r="J4163" s="20"/>
      <c r="K41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4" spans="1:11" x14ac:dyDescent="0.25">
      <c r="A4164" s="11"/>
      <c r="B4164" s="11" t="s">
        <v>595</v>
      </c>
      <c r="C4164" s="5" t="s">
        <v>378</v>
      </c>
      <c r="D4164">
        <v>300</v>
      </c>
      <c r="E4164">
        <v>4</v>
      </c>
      <c r="F4164">
        <v>30</v>
      </c>
      <c r="G4164" s="11">
        <v>3</v>
      </c>
      <c r="H4164" s="5">
        <v>0.108</v>
      </c>
      <c r="I4164" s="11">
        <v>412200</v>
      </c>
      <c r="J4164" s="20">
        <v>1236600</v>
      </c>
      <c r="K41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5" spans="1:11" hidden="1" x14ac:dyDescent="0.25">
      <c r="A4165" s="11"/>
      <c r="B4165" s="11"/>
      <c r="C4165" s="5"/>
      <c r="G4165" s="11"/>
      <c r="H4165" s="5"/>
      <c r="I4165" s="11"/>
      <c r="J4165" s="20"/>
      <c r="K41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6" spans="1:11" hidden="1" x14ac:dyDescent="0.25">
      <c r="A4166" s="11"/>
      <c r="B4166" s="11"/>
      <c r="C4166" s="5"/>
      <c r="G4166" s="11"/>
      <c r="H4166" s="5"/>
      <c r="I4166" s="11"/>
      <c r="J4166" s="20"/>
      <c r="K41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7" spans="1:11" x14ac:dyDescent="0.25">
      <c r="A4167" s="11" t="s">
        <v>398</v>
      </c>
      <c r="B4167" s="11" t="s">
        <v>455</v>
      </c>
      <c r="C4167" s="5" t="s">
        <v>36</v>
      </c>
      <c r="D4167">
        <v>400</v>
      </c>
      <c r="E4167">
        <v>3</v>
      </c>
      <c r="F4167">
        <v>20</v>
      </c>
      <c r="G4167" s="11">
        <v>1</v>
      </c>
      <c r="H4167" s="5">
        <v>2.4E-2</v>
      </c>
      <c r="I4167" s="11">
        <v>254400</v>
      </c>
      <c r="J4167" s="20">
        <v>254400</v>
      </c>
      <c r="K41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8" spans="1:11" hidden="1" x14ac:dyDescent="0.25">
      <c r="A4168" s="11"/>
      <c r="B4168" s="11"/>
      <c r="C4168" s="5"/>
      <c r="G4168" s="11"/>
      <c r="H4168" s="5"/>
      <c r="I4168" s="11"/>
      <c r="J4168" s="20"/>
      <c r="K41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69" spans="1:11" hidden="1" x14ac:dyDescent="0.25">
      <c r="A4169" s="11"/>
      <c r="B4169" s="11"/>
      <c r="C4169" s="5"/>
      <c r="G4169" s="11"/>
      <c r="H4169" s="5"/>
      <c r="I4169" s="11"/>
      <c r="J4169" s="20"/>
      <c r="K41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0" spans="1:11" x14ac:dyDescent="0.25">
      <c r="A4170" s="11" t="s">
        <v>398</v>
      </c>
      <c r="B4170" s="11" t="s">
        <v>438</v>
      </c>
      <c r="C4170" s="5" t="s">
        <v>15</v>
      </c>
      <c r="D4170">
        <v>400</v>
      </c>
      <c r="E4170">
        <v>3</v>
      </c>
      <c r="F4170">
        <v>25</v>
      </c>
      <c r="G4170" s="11">
        <v>5</v>
      </c>
      <c r="H4170" s="5">
        <v>0.15</v>
      </c>
      <c r="I4170" s="11">
        <v>330000</v>
      </c>
      <c r="J4170" s="20">
        <v>1650000</v>
      </c>
      <c r="K41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1" spans="1:11" hidden="1" x14ac:dyDescent="0.25">
      <c r="A4171" s="11"/>
      <c r="B4171" s="11"/>
      <c r="C4171" s="5"/>
      <c r="G4171" s="11"/>
      <c r="H4171" s="5"/>
      <c r="I4171" s="11"/>
      <c r="J4171" s="20"/>
      <c r="K41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2" spans="1:11" hidden="1" x14ac:dyDescent="0.25">
      <c r="A4172" s="11"/>
      <c r="B4172" s="11"/>
      <c r="C4172" s="5"/>
      <c r="G4172" s="11"/>
      <c r="H4172" s="5"/>
      <c r="I4172" s="11"/>
      <c r="J4172" s="20"/>
      <c r="K41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3" spans="1:11" x14ac:dyDescent="0.25">
      <c r="A4173" s="11" t="s">
        <v>398</v>
      </c>
      <c r="B4173" s="11" t="s">
        <v>513</v>
      </c>
      <c r="C4173" s="5" t="s">
        <v>114</v>
      </c>
      <c r="D4173">
        <v>500</v>
      </c>
      <c r="E4173">
        <v>3</v>
      </c>
      <c r="F4173">
        <v>20</v>
      </c>
      <c r="G4173" s="11">
        <v>2</v>
      </c>
      <c r="H4173" s="5">
        <v>0.06</v>
      </c>
      <c r="I4173" s="11">
        <v>669000</v>
      </c>
      <c r="J4173" s="20">
        <v>1338000</v>
      </c>
      <c r="K41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4" spans="1:11" hidden="1" x14ac:dyDescent="0.25">
      <c r="A4174" s="11"/>
      <c r="B4174" s="11"/>
      <c r="C4174" s="5"/>
      <c r="G4174" s="11"/>
      <c r="H4174" s="5"/>
      <c r="I4174" s="11"/>
      <c r="J4174" s="20"/>
      <c r="K41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5" spans="1:11" hidden="1" x14ac:dyDescent="0.25">
      <c r="A4175" s="11"/>
      <c r="B4175" s="11"/>
      <c r="C4175" s="5"/>
      <c r="G4175" s="11"/>
      <c r="H4175" s="5"/>
      <c r="I4175" s="11"/>
      <c r="J4175" s="20"/>
      <c r="K41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6" spans="1:11" x14ac:dyDescent="0.25">
      <c r="A4176" s="11" t="s">
        <v>398</v>
      </c>
      <c r="B4176" s="11" t="s">
        <v>593</v>
      </c>
      <c r="C4176" s="5" t="s">
        <v>367</v>
      </c>
      <c r="D4176">
        <v>400</v>
      </c>
      <c r="E4176">
        <v>4</v>
      </c>
      <c r="F4176">
        <v>30</v>
      </c>
      <c r="G4176" s="11">
        <v>2</v>
      </c>
      <c r="H4176" s="5">
        <v>9.6000000000000002E-2</v>
      </c>
      <c r="I4176" s="11">
        <v>398400</v>
      </c>
      <c r="J4176" s="20">
        <v>796800</v>
      </c>
      <c r="K41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7" spans="1:11" hidden="1" x14ac:dyDescent="0.25">
      <c r="A4177" s="11"/>
      <c r="B4177" s="11"/>
      <c r="C4177" s="5"/>
      <c r="G4177" s="11"/>
      <c r="H4177" s="5"/>
      <c r="I4177" s="11"/>
      <c r="J4177" s="20"/>
      <c r="K41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78" spans="1:11" x14ac:dyDescent="0.25">
      <c r="A4178" s="11"/>
      <c r="B4178" s="11" t="s">
        <v>490</v>
      </c>
      <c r="C4178" s="5" t="s">
        <v>82</v>
      </c>
      <c r="D4178">
        <v>250</v>
      </c>
      <c r="E4178">
        <v>6</v>
      </c>
      <c r="F4178">
        <v>15</v>
      </c>
      <c r="G4178" s="11">
        <v>5</v>
      </c>
      <c r="H4178" s="5">
        <v>0.1125</v>
      </c>
      <c r="I4178" s="11">
        <v>238500</v>
      </c>
      <c r="J4178" s="20">
        <v>1192500</v>
      </c>
      <c r="K41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79" spans="1:11" hidden="1" x14ac:dyDescent="0.25">
      <c r="A4179" s="11"/>
      <c r="B4179" s="11"/>
      <c r="C4179" s="5"/>
      <c r="G4179" s="11"/>
      <c r="H4179" s="5"/>
      <c r="I4179" s="11"/>
      <c r="J4179" s="20"/>
      <c r="K41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0" spans="1:11" x14ac:dyDescent="0.25">
      <c r="A4180" s="11"/>
      <c r="B4180" s="11" t="s">
        <v>443</v>
      </c>
      <c r="C4180" s="5" t="s">
        <v>21</v>
      </c>
      <c r="D4180">
        <v>400</v>
      </c>
      <c r="E4180">
        <v>4</v>
      </c>
      <c r="F4180">
        <v>25</v>
      </c>
      <c r="G4180" s="11">
        <v>1</v>
      </c>
      <c r="H4180" s="5">
        <v>0.04</v>
      </c>
      <c r="I4180" s="11">
        <v>440000</v>
      </c>
      <c r="J4180" s="20">
        <v>440000</v>
      </c>
      <c r="K41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1" spans="1:11" hidden="1" x14ac:dyDescent="0.25">
      <c r="A4181" s="11"/>
      <c r="B4181" s="11"/>
      <c r="C4181" s="5"/>
      <c r="G4181" s="11"/>
      <c r="H4181" s="5"/>
      <c r="I4181" s="11"/>
      <c r="J4181" s="20"/>
      <c r="K41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2" spans="1:11" x14ac:dyDescent="0.25">
      <c r="A4182" s="11"/>
      <c r="B4182" s="11" t="s">
        <v>434</v>
      </c>
      <c r="C4182" s="5" t="s">
        <v>10</v>
      </c>
      <c r="D4182">
        <v>400</v>
      </c>
      <c r="E4182">
        <v>4</v>
      </c>
      <c r="F4182">
        <v>30</v>
      </c>
      <c r="G4182" s="11">
        <v>4</v>
      </c>
      <c r="H4182" s="5">
        <v>0.192</v>
      </c>
      <c r="I4182" s="11">
        <v>537600</v>
      </c>
      <c r="J4182" s="20">
        <v>2150400</v>
      </c>
      <c r="K41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3" spans="1:11" hidden="1" x14ac:dyDescent="0.25">
      <c r="A4183" s="11"/>
      <c r="B4183" s="11"/>
      <c r="C4183" s="5"/>
      <c r="G4183" s="11"/>
      <c r="H4183" s="5"/>
      <c r="I4183" s="11"/>
      <c r="J4183" s="20"/>
      <c r="K41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4" spans="1:11" x14ac:dyDescent="0.25">
      <c r="A4184" s="11"/>
      <c r="B4184" s="11" t="s">
        <v>502</v>
      </c>
      <c r="C4184" s="5" t="s">
        <v>98</v>
      </c>
      <c r="D4184">
        <v>400</v>
      </c>
      <c r="E4184">
        <v>5</v>
      </c>
      <c r="F4184">
        <v>15</v>
      </c>
      <c r="G4184" s="11">
        <v>2</v>
      </c>
      <c r="H4184" s="5">
        <v>0.06</v>
      </c>
      <c r="I4184" s="11">
        <v>315000</v>
      </c>
      <c r="J4184" s="20">
        <v>630000</v>
      </c>
      <c r="K41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85" spans="1:11" hidden="1" x14ac:dyDescent="0.25">
      <c r="A4185" s="11"/>
      <c r="B4185" s="11"/>
      <c r="C4185" s="5"/>
      <c r="G4185" s="11"/>
      <c r="H4185" s="5"/>
      <c r="I4185" s="11"/>
      <c r="J4185" s="20"/>
      <c r="K41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6" spans="1:11" x14ac:dyDescent="0.25">
      <c r="A4186" s="11"/>
      <c r="B4186" s="11" t="s">
        <v>454</v>
      </c>
      <c r="C4186" s="5" t="s">
        <v>35</v>
      </c>
      <c r="D4186">
        <v>400</v>
      </c>
      <c r="E4186">
        <v>5</v>
      </c>
      <c r="F4186">
        <v>30</v>
      </c>
      <c r="G4186" s="11">
        <v>4</v>
      </c>
      <c r="H4186" s="5">
        <v>0.24</v>
      </c>
      <c r="I4186" s="11">
        <v>684000</v>
      </c>
      <c r="J4186" s="20">
        <v>2736000</v>
      </c>
      <c r="K41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187" spans="1:11" hidden="1" x14ac:dyDescent="0.25">
      <c r="A4187" s="11"/>
      <c r="B4187" s="11"/>
      <c r="C4187" s="5"/>
      <c r="G4187" s="11"/>
      <c r="H4187" s="5"/>
      <c r="I4187" s="11"/>
      <c r="J4187" s="20"/>
      <c r="K41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88" spans="1:11" x14ac:dyDescent="0.25">
      <c r="A4188" s="11"/>
      <c r="B4188" s="11" t="s">
        <v>550</v>
      </c>
      <c r="C4188" s="5" t="s">
        <v>186</v>
      </c>
      <c r="D4188">
        <v>500</v>
      </c>
      <c r="E4188">
        <v>5</v>
      </c>
      <c r="F4188">
        <v>25</v>
      </c>
      <c r="G4188" s="11">
        <v>3</v>
      </c>
      <c r="H4188" s="5">
        <v>0.1875</v>
      </c>
      <c r="I4188" s="11">
        <v>700000</v>
      </c>
      <c r="J4188" s="20">
        <v>2100000</v>
      </c>
      <c r="K41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189" spans="1:11" hidden="1" x14ac:dyDescent="0.25">
      <c r="A4189" s="11"/>
      <c r="B4189" s="11"/>
      <c r="C4189" s="5"/>
      <c r="G4189" s="11"/>
      <c r="H4189" s="5"/>
      <c r="I4189" s="11"/>
      <c r="J4189" s="20"/>
      <c r="K41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0" spans="1:11" hidden="1" x14ac:dyDescent="0.25">
      <c r="A4190" s="11"/>
      <c r="B4190" s="11"/>
      <c r="C4190" s="5"/>
      <c r="G4190" s="11"/>
      <c r="H4190" s="5"/>
      <c r="I4190" s="11"/>
      <c r="J4190" s="20"/>
      <c r="K41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1" spans="1:11" x14ac:dyDescent="0.25">
      <c r="A4191" s="11" t="s">
        <v>398</v>
      </c>
      <c r="B4191" s="11" t="s">
        <v>504</v>
      </c>
      <c r="C4191" s="5" t="s">
        <v>100</v>
      </c>
      <c r="D4191">
        <v>250</v>
      </c>
      <c r="E4191">
        <v>6</v>
      </c>
      <c r="F4191">
        <v>15</v>
      </c>
      <c r="G4191" s="11">
        <v>15</v>
      </c>
      <c r="H4191" s="5">
        <v>0.33750000000000002</v>
      </c>
      <c r="I4191" s="11">
        <v>463500</v>
      </c>
      <c r="J4191" s="20">
        <v>6952500</v>
      </c>
      <c r="K41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92" spans="1:11" hidden="1" x14ac:dyDescent="0.25">
      <c r="A4192" s="11"/>
      <c r="B4192" s="11"/>
      <c r="C4192" s="5"/>
      <c r="G4192" s="11"/>
      <c r="H4192" s="5"/>
      <c r="I4192" s="11"/>
      <c r="J4192" s="20"/>
      <c r="K41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3" spans="1:11" x14ac:dyDescent="0.25">
      <c r="A4193" s="11"/>
      <c r="B4193" s="11" t="s">
        <v>526</v>
      </c>
      <c r="C4193" s="5" t="s">
        <v>139</v>
      </c>
      <c r="D4193">
        <v>300</v>
      </c>
      <c r="E4193">
        <v>6</v>
      </c>
      <c r="F4193">
        <v>15</v>
      </c>
      <c r="G4193" s="11">
        <v>2</v>
      </c>
      <c r="H4193" s="5">
        <v>5.3999999999999999E-2</v>
      </c>
      <c r="I4193" s="11">
        <v>540000</v>
      </c>
      <c r="J4193" s="20">
        <v>1080000</v>
      </c>
      <c r="K41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94" spans="1:11" hidden="1" x14ac:dyDescent="0.25">
      <c r="A4194" s="11"/>
      <c r="B4194" s="11"/>
      <c r="C4194" s="5"/>
      <c r="G4194" s="11"/>
      <c r="H4194" s="5"/>
      <c r="I4194" s="11"/>
      <c r="J4194" s="20"/>
      <c r="K41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5" spans="1:11" x14ac:dyDescent="0.25">
      <c r="A4195" s="11"/>
      <c r="B4195" s="11" t="s">
        <v>517</v>
      </c>
      <c r="C4195" s="5" t="s">
        <v>122</v>
      </c>
      <c r="D4195">
        <v>400</v>
      </c>
      <c r="E4195">
        <v>6</v>
      </c>
      <c r="F4195">
        <v>15</v>
      </c>
      <c r="G4195" s="11">
        <v>4</v>
      </c>
      <c r="H4195" s="5">
        <v>0.14399999999999999</v>
      </c>
      <c r="I4195" s="11">
        <v>723600</v>
      </c>
      <c r="J4195" s="20">
        <v>2894400</v>
      </c>
      <c r="K41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196" spans="1:11" hidden="1" x14ac:dyDescent="0.25">
      <c r="A4196" s="11"/>
      <c r="B4196" s="11"/>
      <c r="C4196" s="5"/>
      <c r="G4196" s="11"/>
      <c r="H4196" s="5"/>
      <c r="I4196" s="11"/>
      <c r="J4196" s="20"/>
      <c r="K41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7" spans="1:11" hidden="1" x14ac:dyDescent="0.25">
      <c r="A4197" s="11"/>
      <c r="B4197" s="11"/>
      <c r="C4197" s="5"/>
      <c r="G4197" s="11"/>
      <c r="H4197" s="5"/>
      <c r="I4197" s="11"/>
      <c r="J4197" s="20"/>
      <c r="K41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8" spans="1:11" x14ac:dyDescent="0.25">
      <c r="A4198" s="11" t="s">
        <v>398</v>
      </c>
      <c r="B4198" s="11" t="s">
        <v>439</v>
      </c>
      <c r="C4198" s="5" t="s">
        <v>16</v>
      </c>
      <c r="D4198">
        <v>400</v>
      </c>
      <c r="E4198">
        <v>3</v>
      </c>
      <c r="F4198">
        <v>30</v>
      </c>
      <c r="G4198" s="11">
        <v>4</v>
      </c>
      <c r="H4198" s="5">
        <v>0.14399999999999999</v>
      </c>
      <c r="I4198" s="11">
        <v>403200</v>
      </c>
      <c r="J4198" s="20">
        <v>1612800</v>
      </c>
      <c r="K41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199" spans="1:11" hidden="1" x14ac:dyDescent="0.25">
      <c r="A4199" s="11"/>
      <c r="B4199" s="11"/>
      <c r="C4199" s="5"/>
      <c r="G4199" s="11"/>
      <c r="H4199" s="5"/>
      <c r="I4199" s="11"/>
      <c r="J4199" s="20"/>
      <c r="K41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0" spans="1:11" x14ac:dyDescent="0.25">
      <c r="A4200" s="11"/>
      <c r="B4200" s="11" t="s">
        <v>519</v>
      </c>
      <c r="C4200" s="5" t="s">
        <v>125</v>
      </c>
      <c r="D4200">
        <v>400</v>
      </c>
      <c r="E4200">
        <v>5</v>
      </c>
      <c r="F4200">
        <v>25</v>
      </c>
      <c r="G4200" s="11">
        <v>2</v>
      </c>
      <c r="H4200" s="5">
        <v>0.1</v>
      </c>
      <c r="I4200" s="11">
        <v>560000</v>
      </c>
      <c r="J4200" s="20">
        <v>1120000</v>
      </c>
      <c r="K42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01" spans="1:11" hidden="1" x14ac:dyDescent="0.25">
      <c r="A4201" s="11"/>
      <c r="B4201" s="11"/>
      <c r="C4201" s="5"/>
      <c r="G4201" s="11"/>
      <c r="H4201" s="5"/>
      <c r="I4201" s="11"/>
      <c r="J4201" s="20"/>
      <c r="K42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2" spans="1:11" hidden="1" x14ac:dyDescent="0.25">
      <c r="A4202" s="11"/>
      <c r="B4202" s="11"/>
      <c r="C4202" s="5"/>
      <c r="G4202" s="11"/>
      <c r="H4202" s="5"/>
      <c r="I4202" s="11"/>
      <c r="J4202" s="20"/>
      <c r="K42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3" spans="1:11" x14ac:dyDescent="0.25">
      <c r="A4203" s="11" t="s">
        <v>398</v>
      </c>
      <c r="B4203" s="11" t="s">
        <v>506</v>
      </c>
      <c r="C4203" s="5" t="s">
        <v>103</v>
      </c>
      <c r="D4203">
        <v>400</v>
      </c>
      <c r="E4203">
        <v>3</v>
      </c>
      <c r="F4203">
        <v>30</v>
      </c>
      <c r="G4203" s="11">
        <v>2</v>
      </c>
      <c r="H4203" s="5">
        <v>7.1999999999999995E-2</v>
      </c>
      <c r="I4203" s="11">
        <v>815400</v>
      </c>
      <c r="J4203" s="20">
        <v>1630800</v>
      </c>
      <c r="K42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4" spans="1:11" hidden="1" x14ac:dyDescent="0.25">
      <c r="A4204" s="11"/>
      <c r="B4204" s="11"/>
      <c r="C4204" s="5"/>
      <c r="G4204" s="11"/>
      <c r="H4204" s="5"/>
      <c r="I4204" s="11"/>
      <c r="J4204" s="20"/>
      <c r="K42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5" spans="1:11" x14ac:dyDescent="0.25">
      <c r="A4205" s="11"/>
      <c r="B4205" s="11" t="s">
        <v>527</v>
      </c>
      <c r="C4205" s="5" t="s">
        <v>143</v>
      </c>
      <c r="D4205">
        <v>400</v>
      </c>
      <c r="E4205">
        <v>4</v>
      </c>
      <c r="F4205">
        <v>20</v>
      </c>
      <c r="G4205" s="11">
        <v>1</v>
      </c>
      <c r="H4205" s="5">
        <v>3.2000000000000001E-2</v>
      </c>
      <c r="I4205" s="11">
        <v>705600</v>
      </c>
      <c r="J4205" s="20">
        <v>705600</v>
      </c>
      <c r="K42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6" spans="1:11" hidden="1" x14ac:dyDescent="0.25">
      <c r="A4206" s="11"/>
      <c r="B4206" s="11"/>
      <c r="C4206" s="5"/>
      <c r="G4206" s="11"/>
      <c r="H4206" s="5"/>
      <c r="I4206" s="11"/>
      <c r="J4206" s="20"/>
      <c r="K42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7" spans="1:11" x14ac:dyDescent="0.25">
      <c r="A4207" s="11"/>
      <c r="B4207" s="11" t="s">
        <v>501</v>
      </c>
      <c r="C4207" s="5" t="s">
        <v>96</v>
      </c>
      <c r="D4207">
        <v>250</v>
      </c>
      <c r="E4207">
        <v>6</v>
      </c>
      <c r="F4207">
        <v>15</v>
      </c>
      <c r="G4207" s="11">
        <v>20</v>
      </c>
      <c r="H4207" s="5">
        <v>0.45</v>
      </c>
      <c r="I4207" s="11">
        <v>461250</v>
      </c>
      <c r="J4207" s="20">
        <v>9225000</v>
      </c>
      <c r="K42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08" spans="1:11" hidden="1" x14ac:dyDescent="0.25">
      <c r="A4208" s="11"/>
      <c r="B4208" s="11"/>
      <c r="C4208" s="5"/>
      <c r="G4208" s="11"/>
      <c r="H4208" s="5"/>
      <c r="I4208" s="11"/>
      <c r="J4208" s="20"/>
      <c r="K42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09" spans="1:11" x14ac:dyDescent="0.25">
      <c r="A4209" s="11"/>
      <c r="B4209" s="11" t="s">
        <v>459</v>
      </c>
      <c r="C4209" s="5" t="s">
        <v>40</v>
      </c>
      <c r="D4209">
        <v>270</v>
      </c>
      <c r="E4209">
        <v>6</v>
      </c>
      <c r="F4209">
        <v>15</v>
      </c>
      <c r="G4209" s="11">
        <v>8</v>
      </c>
      <c r="H4209" s="5">
        <v>0.19439999999999999</v>
      </c>
      <c r="I4209" s="11">
        <v>482355</v>
      </c>
      <c r="J4209" s="20">
        <v>3858840</v>
      </c>
      <c r="K42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10" spans="1:11" hidden="1" x14ac:dyDescent="0.25">
      <c r="A4210" s="11"/>
      <c r="B4210" s="11"/>
      <c r="C4210" s="5"/>
      <c r="G4210" s="11"/>
      <c r="H4210" s="5"/>
      <c r="I4210" s="11"/>
      <c r="J4210" s="20"/>
      <c r="K42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11" spans="1:11" x14ac:dyDescent="0.25">
      <c r="A4211" s="11"/>
      <c r="B4211" s="11" t="s">
        <v>532</v>
      </c>
      <c r="C4211" s="5" t="s">
        <v>150</v>
      </c>
      <c r="D4211">
        <v>280</v>
      </c>
      <c r="E4211">
        <v>6</v>
      </c>
      <c r="F4211">
        <v>15</v>
      </c>
      <c r="G4211" s="11">
        <v>4</v>
      </c>
      <c r="H4211" s="5">
        <v>0.1008</v>
      </c>
      <c r="I4211" s="11">
        <v>500220</v>
      </c>
      <c r="J4211" s="20">
        <v>2000880</v>
      </c>
      <c r="K42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12" spans="1:11" hidden="1" x14ac:dyDescent="0.25">
      <c r="A4212" s="11"/>
      <c r="B4212" s="11"/>
      <c r="C4212" s="5"/>
      <c r="G4212" s="11"/>
      <c r="H4212" s="5"/>
      <c r="I4212" s="11"/>
      <c r="J4212" s="20"/>
      <c r="K42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13" spans="1:11" x14ac:dyDescent="0.25">
      <c r="A4213" s="11"/>
      <c r="B4213" s="11" t="s">
        <v>585</v>
      </c>
      <c r="C4213" s="5" t="s">
        <v>318</v>
      </c>
      <c r="D4213">
        <v>350</v>
      </c>
      <c r="E4213">
        <v>6</v>
      </c>
      <c r="F4213">
        <v>15</v>
      </c>
      <c r="G4213" s="11">
        <v>2</v>
      </c>
      <c r="H4213" s="5">
        <v>6.3E-2</v>
      </c>
      <c r="I4213" s="11">
        <v>628425</v>
      </c>
      <c r="J4213" s="20">
        <v>1256850</v>
      </c>
      <c r="K42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14" spans="1:11" hidden="1" x14ac:dyDescent="0.25">
      <c r="A4214" s="11"/>
      <c r="B4214" s="11"/>
      <c r="C4214" s="5"/>
      <c r="G4214" s="11"/>
      <c r="H4214" s="5"/>
      <c r="I4214" s="11"/>
      <c r="J4214" s="20"/>
      <c r="K42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15" spans="1:11" hidden="1" x14ac:dyDescent="0.25">
      <c r="A4215" s="11"/>
      <c r="B4215" s="11"/>
      <c r="C4215" s="5"/>
      <c r="G4215" s="11"/>
      <c r="H4215" s="5"/>
      <c r="I4215" s="11"/>
      <c r="J4215" s="20"/>
      <c r="K42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16" spans="1:11" x14ac:dyDescent="0.25">
      <c r="A4216" s="11" t="s">
        <v>399</v>
      </c>
      <c r="B4216" s="11" t="s">
        <v>468</v>
      </c>
      <c r="C4216" s="5" t="s">
        <v>51</v>
      </c>
      <c r="D4216">
        <v>500</v>
      </c>
      <c r="E4216">
        <v>6</v>
      </c>
      <c r="F4216">
        <v>15</v>
      </c>
      <c r="G4216" s="11">
        <v>20</v>
      </c>
      <c r="H4216" s="5">
        <v>0.9</v>
      </c>
      <c r="I4216" s="11">
        <v>940500</v>
      </c>
      <c r="J4216" s="20">
        <v>18810000</v>
      </c>
      <c r="K42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17" spans="1:11" hidden="1" x14ac:dyDescent="0.25">
      <c r="A4217" s="11"/>
      <c r="B4217" s="11"/>
      <c r="C4217" s="5"/>
      <c r="G4217" s="11"/>
      <c r="H4217" s="5"/>
      <c r="I4217" s="11"/>
      <c r="J4217" s="20"/>
      <c r="K42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18" spans="1:11" hidden="1" x14ac:dyDescent="0.25">
      <c r="A4218" s="11"/>
      <c r="B4218" s="11"/>
      <c r="C4218" s="5"/>
      <c r="G4218" s="11"/>
      <c r="H4218" s="5"/>
      <c r="I4218" s="11"/>
      <c r="J4218" s="20"/>
      <c r="K42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19" spans="1:11" x14ac:dyDescent="0.25">
      <c r="A4219" s="11" t="s">
        <v>400</v>
      </c>
      <c r="B4219" s="11" t="s">
        <v>560</v>
      </c>
      <c r="C4219" s="5" t="s">
        <v>214</v>
      </c>
      <c r="D4219">
        <v>400</v>
      </c>
      <c r="E4219">
        <v>3</v>
      </c>
      <c r="F4219">
        <v>25</v>
      </c>
      <c r="G4219" s="11">
        <v>2</v>
      </c>
      <c r="H4219" s="5">
        <v>0.06</v>
      </c>
      <c r="I4219" s="11">
        <v>234000</v>
      </c>
      <c r="J4219" s="20">
        <v>468000</v>
      </c>
      <c r="K42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0" spans="1:11" hidden="1" x14ac:dyDescent="0.25">
      <c r="A4220" s="11"/>
      <c r="B4220" s="11"/>
      <c r="C4220" s="5"/>
      <c r="G4220" s="11"/>
      <c r="H4220" s="5"/>
      <c r="I4220" s="11"/>
      <c r="J4220" s="20"/>
      <c r="K42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1" spans="1:11" hidden="1" x14ac:dyDescent="0.25">
      <c r="A4221" s="11"/>
      <c r="B4221" s="11"/>
      <c r="C4221" s="5"/>
      <c r="G4221" s="11"/>
      <c r="H4221" s="5"/>
      <c r="I4221" s="11"/>
      <c r="J4221" s="20"/>
      <c r="K42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2" spans="1:11" x14ac:dyDescent="0.25">
      <c r="A4222" s="11" t="s">
        <v>400</v>
      </c>
      <c r="B4222" s="11" t="s">
        <v>482</v>
      </c>
      <c r="C4222" s="5" t="s">
        <v>69</v>
      </c>
      <c r="D4222">
        <v>400</v>
      </c>
      <c r="E4222">
        <v>2</v>
      </c>
      <c r="F4222">
        <v>20</v>
      </c>
      <c r="G4222" s="11">
        <v>5</v>
      </c>
      <c r="H4222" s="5">
        <v>0.08</v>
      </c>
      <c r="I4222" s="11">
        <v>382400</v>
      </c>
      <c r="J4222" s="20">
        <v>1912000</v>
      </c>
      <c r="K42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3" spans="1:11" hidden="1" x14ac:dyDescent="0.25">
      <c r="A4223" s="11"/>
      <c r="B4223" s="11"/>
      <c r="C4223" s="5"/>
      <c r="G4223" s="11"/>
      <c r="H4223" s="5"/>
      <c r="I4223" s="11"/>
      <c r="J4223" s="20"/>
      <c r="K42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4" spans="1:11" hidden="1" x14ac:dyDescent="0.25">
      <c r="A4224" s="11"/>
      <c r="B4224" s="11"/>
      <c r="C4224" s="5"/>
      <c r="G4224" s="11"/>
      <c r="H4224" s="5"/>
      <c r="I4224" s="11"/>
      <c r="J4224" s="20"/>
      <c r="K42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5" spans="1:11" x14ac:dyDescent="0.25">
      <c r="A4225" s="11" t="s">
        <v>401</v>
      </c>
      <c r="B4225" s="11" t="s">
        <v>477</v>
      </c>
      <c r="C4225" s="5" t="s">
        <v>63</v>
      </c>
      <c r="D4225">
        <v>100</v>
      </c>
      <c r="E4225">
        <v>6</v>
      </c>
      <c r="F4225">
        <v>15</v>
      </c>
      <c r="G4225" s="11">
        <v>1</v>
      </c>
      <c r="H4225" s="5">
        <v>8.9999999999999993E-3</v>
      </c>
      <c r="I4225" s="11">
        <v>166050</v>
      </c>
      <c r="J4225" s="20">
        <v>166050</v>
      </c>
      <c r="K42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26" spans="1:11" hidden="1" x14ac:dyDescent="0.25">
      <c r="A4226" s="11"/>
      <c r="B4226" s="11"/>
      <c r="C4226" s="5"/>
      <c r="G4226" s="11"/>
      <c r="H4226" s="5"/>
      <c r="I4226" s="11"/>
      <c r="J4226" s="20"/>
      <c r="K42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7" spans="1:11" x14ac:dyDescent="0.25">
      <c r="A4227" s="11"/>
      <c r="B4227" s="11" t="s">
        <v>553</v>
      </c>
      <c r="C4227" s="5" t="s">
        <v>194</v>
      </c>
      <c r="D4227">
        <v>400</v>
      </c>
      <c r="E4227">
        <v>3</v>
      </c>
      <c r="F4227">
        <v>30</v>
      </c>
      <c r="G4227" s="11">
        <v>5</v>
      </c>
      <c r="H4227" s="5">
        <v>0.18</v>
      </c>
      <c r="I4227" s="11">
        <v>307800</v>
      </c>
      <c r="J4227" s="20">
        <v>1539000</v>
      </c>
      <c r="K42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8" spans="1:11" hidden="1" x14ac:dyDescent="0.25">
      <c r="A4228" s="11"/>
      <c r="B4228" s="11"/>
      <c r="C4228" s="5"/>
      <c r="G4228" s="11"/>
      <c r="H4228" s="5"/>
      <c r="I4228" s="11"/>
      <c r="J4228" s="20"/>
      <c r="K42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29" spans="1:11" x14ac:dyDescent="0.25">
      <c r="A4229" s="11"/>
      <c r="B4229" s="11" t="s">
        <v>560</v>
      </c>
      <c r="C4229" s="5" t="s">
        <v>214</v>
      </c>
      <c r="D4229">
        <v>400</v>
      </c>
      <c r="E4229">
        <v>3</v>
      </c>
      <c r="F4229">
        <v>25</v>
      </c>
      <c r="G4229" s="11">
        <v>9</v>
      </c>
      <c r="H4229" s="5">
        <v>0.27</v>
      </c>
      <c r="I4229" s="11">
        <v>241500</v>
      </c>
      <c r="J4229" s="20">
        <v>2173500</v>
      </c>
      <c r="K42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0" spans="1:11" hidden="1" x14ac:dyDescent="0.25">
      <c r="A4230" s="11"/>
      <c r="B4230" s="11"/>
      <c r="C4230" s="5"/>
      <c r="G4230" s="11"/>
      <c r="H4230" s="5"/>
      <c r="I4230" s="11"/>
      <c r="J4230" s="20"/>
      <c r="K42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1" spans="1:11" hidden="1" x14ac:dyDescent="0.25">
      <c r="A4231" s="11"/>
      <c r="B4231" s="11"/>
      <c r="C4231" s="5"/>
      <c r="G4231" s="11"/>
      <c r="H4231" s="5"/>
      <c r="I4231" s="11"/>
      <c r="J4231" s="20"/>
      <c r="K42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2" spans="1:11" x14ac:dyDescent="0.25">
      <c r="A4232" s="11" t="s">
        <v>401</v>
      </c>
      <c r="B4232" s="11" t="s">
        <v>546</v>
      </c>
      <c r="C4232" s="5" t="s">
        <v>180</v>
      </c>
      <c r="D4232">
        <v>130</v>
      </c>
      <c r="E4232">
        <v>6</v>
      </c>
      <c r="F4232">
        <v>15</v>
      </c>
      <c r="G4232" s="11">
        <v>1</v>
      </c>
      <c r="H4232" s="5">
        <v>1.17E-2</v>
      </c>
      <c r="I4232" s="11">
        <v>212940</v>
      </c>
      <c r="J4232" s="20">
        <v>212940</v>
      </c>
      <c r="K42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33" spans="1:11" hidden="1" x14ac:dyDescent="0.25">
      <c r="A4233" s="11"/>
      <c r="B4233" s="11"/>
      <c r="C4233" s="5"/>
      <c r="G4233" s="11"/>
      <c r="H4233" s="5"/>
      <c r="I4233" s="11"/>
      <c r="J4233" s="20"/>
      <c r="K42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4" spans="1:11" x14ac:dyDescent="0.25">
      <c r="A4234" s="11"/>
      <c r="B4234" s="11" t="s">
        <v>548</v>
      </c>
      <c r="C4234" s="5" t="s">
        <v>183</v>
      </c>
      <c r="D4234">
        <v>290</v>
      </c>
      <c r="E4234">
        <v>6</v>
      </c>
      <c r="F4234">
        <v>15</v>
      </c>
      <c r="G4234" s="11">
        <v>2</v>
      </c>
      <c r="H4234" s="5">
        <v>5.2200000000000003E-2</v>
      </c>
      <c r="I4234" s="11">
        <v>511560</v>
      </c>
      <c r="J4234" s="20">
        <v>1023120</v>
      </c>
      <c r="K42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35" spans="1:11" hidden="1" x14ac:dyDescent="0.25">
      <c r="A4235" s="11"/>
      <c r="B4235" s="11"/>
      <c r="C4235" s="5"/>
      <c r="G4235" s="11"/>
      <c r="H4235" s="5"/>
      <c r="I4235" s="11"/>
      <c r="J4235" s="20"/>
      <c r="K42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6" spans="1:11" x14ac:dyDescent="0.25">
      <c r="A4236" s="11"/>
      <c r="B4236" s="11" t="s">
        <v>575</v>
      </c>
      <c r="C4236" s="5" t="s">
        <v>272</v>
      </c>
      <c r="D4236">
        <v>400</v>
      </c>
      <c r="E4236">
        <v>6</v>
      </c>
      <c r="F4236">
        <v>12</v>
      </c>
      <c r="G4236" s="11">
        <v>2</v>
      </c>
      <c r="H4236" s="5">
        <v>5.7599999999999998E-2</v>
      </c>
      <c r="I4236" s="11">
        <v>195840</v>
      </c>
      <c r="J4236" s="20">
        <v>391680</v>
      </c>
      <c r="K42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37" spans="1:11" hidden="1" x14ac:dyDescent="0.25">
      <c r="A4237" s="11"/>
      <c r="B4237" s="11"/>
      <c r="C4237" s="5"/>
      <c r="G4237" s="11"/>
      <c r="H4237" s="5"/>
      <c r="I4237" s="11"/>
      <c r="J4237" s="20"/>
      <c r="K42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8" spans="1:11" hidden="1" x14ac:dyDescent="0.25">
      <c r="A4238" s="11"/>
      <c r="B4238" s="11"/>
      <c r="C4238" s="5"/>
      <c r="G4238" s="11"/>
      <c r="H4238" s="5"/>
      <c r="I4238" s="11"/>
      <c r="J4238" s="20"/>
      <c r="K42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39" spans="1:11" x14ac:dyDescent="0.25">
      <c r="A4239" s="11" t="s">
        <v>401</v>
      </c>
      <c r="B4239" s="11" t="s">
        <v>439</v>
      </c>
      <c r="C4239" s="5" t="s">
        <v>16</v>
      </c>
      <c r="D4239">
        <v>400</v>
      </c>
      <c r="E4239">
        <v>3</v>
      </c>
      <c r="F4239">
        <v>30</v>
      </c>
      <c r="G4239" s="11">
        <v>1</v>
      </c>
      <c r="H4239" s="5">
        <v>3.5999999999999997E-2</v>
      </c>
      <c r="I4239" s="11">
        <v>403200</v>
      </c>
      <c r="J4239" s="20">
        <v>403200</v>
      </c>
      <c r="K42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0" spans="1:11" hidden="1" x14ac:dyDescent="0.25">
      <c r="A4240" s="11"/>
      <c r="B4240" s="11"/>
      <c r="C4240" s="5"/>
      <c r="G4240" s="11"/>
      <c r="H4240" s="5"/>
      <c r="I4240" s="11"/>
      <c r="J4240" s="20"/>
      <c r="K42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1" spans="1:11" x14ac:dyDescent="0.25">
      <c r="A4241" s="11"/>
      <c r="B4241" s="11" t="s">
        <v>433</v>
      </c>
      <c r="C4241" s="5" t="s">
        <v>9</v>
      </c>
      <c r="D4241">
        <v>400</v>
      </c>
      <c r="E4241">
        <v>4</v>
      </c>
      <c r="F4241">
        <v>20</v>
      </c>
      <c r="G4241" s="11">
        <v>4</v>
      </c>
      <c r="H4241" s="5">
        <v>0.128</v>
      </c>
      <c r="I4241" s="11">
        <v>339200</v>
      </c>
      <c r="J4241" s="20">
        <v>1356800</v>
      </c>
      <c r="K42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2" spans="1:11" hidden="1" x14ac:dyDescent="0.25">
      <c r="A4242" s="11"/>
      <c r="B4242" s="11"/>
      <c r="C4242" s="5"/>
      <c r="G4242" s="11"/>
      <c r="H4242" s="5"/>
      <c r="I4242" s="11"/>
      <c r="J4242" s="20"/>
      <c r="K42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3" spans="1:11" x14ac:dyDescent="0.25">
      <c r="A4243" s="11"/>
      <c r="B4243" s="11" t="s">
        <v>443</v>
      </c>
      <c r="C4243" s="5" t="s">
        <v>21</v>
      </c>
      <c r="D4243">
        <v>400</v>
      </c>
      <c r="E4243">
        <v>4</v>
      </c>
      <c r="F4243">
        <v>25</v>
      </c>
      <c r="G4243" s="11">
        <v>2</v>
      </c>
      <c r="H4243" s="5">
        <v>0.08</v>
      </c>
      <c r="I4243" s="11">
        <v>440000</v>
      </c>
      <c r="J4243" s="20">
        <v>880000</v>
      </c>
      <c r="K42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4" spans="1:11" hidden="1" x14ac:dyDescent="0.25">
      <c r="A4244" s="11"/>
      <c r="B4244" s="11"/>
      <c r="C4244" s="5"/>
      <c r="G4244" s="11"/>
      <c r="H4244" s="5"/>
      <c r="I4244" s="11"/>
      <c r="J4244" s="20"/>
      <c r="K42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5" spans="1:11" hidden="1" x14ac:dyDescent="0.25">
      <c r="A4245" s="11"/>
      <c r="B4245" s="11"/>
      <c r="C4245" s="5"/>
      <c r="G4245" s="11"/>
      <c r="H4245" s="5"/>
      <c r="I4245" s="11"/>
      <c r="J4245" s="20"/>
      <c r="K42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6" spans="1:11" x14ac:dyDescent="0.25">
      <c r="A4246" s="11" t="s">
        <v>402</v>
      </c>
      <c r="B4246" s="11" t="s">
        <v>456</v>
      </c>
      <c r="C4246" s="5" t="s">
        <v>37</v>
      </c>
      <c r="D4246">
        <v>250</v>
      </c>
      <c r="E4246">
        <v>4</v>
      </c>
      <c r="F4246">
        <v>25</v>
      </c>
      <c r="G4246" s="11">
        <v>10</v>
      </c>
      <c r="H4246" s="5">
        <v>0.25</v>
      </c>
      <c r="I4246" s="11">
        <v>547500</v>
      </c>
      <c r="J4246" s="20">
        <v>5475000</v>
      </c>
      <c r="K42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7" spans="1:11" hidden="1" x14ac:dyDescent="0.25">
      <c r="A4247" s="11"/>
      <c r="B4247" s="11"/>
      <c r="C4247" s="5"/>
      <c r="G4247" s="11"/>
      <c r="H4247" s="5"/>
      <c r="I4247" s="11"/>
      <c r="J4247" s="20"/>
      <c r="K42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48" spans="1:11" x14ac:dyDescent="0.25">
      <c r="A4248" s="11"/>
      <c r="B4248" s="11" t="s">
        <v>468</v>
      </c>
      <c r="C4248" s="5" t="s">
        <v>51</v>
      </c>
      <c r="D4248">
        <v>500</v>
      </c>
      <c r="E4248">
        <v>6</v>
      </c>
      <c r="F4248">
        <v>15</v>
      </c>
      <c r="G4248" s="11">
        <v>1</v>
      </c>
      <c r="H4248" s="5">
        <v>4.4999999999999998E-2</v>
      </c>
      <c r="I4248" s="11">
        <v>927000</v>
      </c>
      <c r="J4248" s="20">
        <v>927000</v>
      </c>
      <c r="K42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49" spans="1:11" hidden="1" x14ac:dyDescent="0.25">
      <c r="A4249" s="11"/>
      <c r="B4249" s="11"/>
      <c r="C4249" s="5"/>
      <c r="G4249" s="11"/>
      <c r="H4249" s="5"/>
      <c r="I4249" s="11"/>
      <c r="J4249" s="20"/>
      <c r="K42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0" spans="1:11" x14ac:dyDescent="0.25">
      <c r="A4250" s="11"/>
      <c r="B4250" s="11" t="s">
        <v>477</v>
      </c>
      <c r="C4250" s="5" t="s">
        <v>63</v>
      </c>
      <c r="D4250">
        <v>100</v>
      </c>
      <c r="E4250">
        <v>6</v>
      </c>
      <c r="F4250">
        <v>15</v>
      </c>
      <c r="G4250" s="11">
        <v>1</v>
      </c>
      <c r="H4250" s="5">
        <v>8.9999999999999993E-3</v>
      </c>
      <c r="I4250" s="11">
        <v>163800</v>
      </c>
      <c r="J4250" s="20">
        <v>163800</v>
      </c>
      <c r="K42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51" spans="1:11" hidden="1" x14ac:dyDescent="0.25">
      <c r="A4251" s="11"/>
      <c r="B4251" s="11"/>
      <c r="C4251" s="5"/>
      <c r="G4251" s="11"/>
      <c r="H4251" s="5"/>
      <c r="I4251" s="11"/>
      <c r="J4251" s="20"/>
      <c r="K42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2" spans="1:11" hidden="1" x14ac:dyDescent="0.25">
      <c r="A4252" s="11"/>
      <c r="B4252" s="11"/>
      <c r="C4252" s="5"/>
      <c r="G4252" s="11"/>
      <c r="H4252" s="5"/>
      <c r="I4252" s="11"/>
      <c r="J4252" s="20"/>
      <c r="K42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3" spans="1:11" x14ac:dyDescent="0.25">
      <c r="A4253" s="11" t="s">
        <v>403</v>
      </c>
      <c r="B4253" s="11" t="s">
        <v>550</v>
      </c>
      <c r="C4253" s="5" t="s">
        <v>186</v>
      </c>
      <c r="D4253">
        <v>500</v>
      </c>
      <c r="E4253">
        <v>5</v>
      </c>
      <c r="F4253">
        <v>25</v>
      </c>
      <c r="G4253" s="11">
        <v>8</v>
      </c>
      <c r="H4253" s="5">
        <v>0.5</v>
      </c>
      <c r="I4253" s="11">
        <v>700000</v>
      </c>
      <c r="J4253" s="20">
        <v>5600000</v>
      </c>
      <c r="K42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54" spans="1:11" hidden="1" x14ac:dyDescent="0.25">
      <c r="A4254" s="11"/>
      <c r="B4254" s="11"/>
      <c r="C4254" s="5"/>
      <c r="G4254" s="11"/>
      <c r="H4254" s="5"/>
      <c r="I4254" s="11"/>
      <c r="J4254" s="20"/>
      <c r="K42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5" spans="1:11" hidden="1" x14ac:dyDescent="0.25">
      <c r="A4255" s="11"/>
      <c r="B4255" s="11"/>
      <c r="C4255" s="5"/>
      <c r="G4255" s="11"/>
      <c r="H4255" s="5"/>
      <c r="I4255" s="11"/>
      <c r="J4255" s="20"/>
      <c r="K42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6" spans="1:11" x14ac:dyDescent="0.25">
      <c r="A4256" s="11" t="s">
        <v>404</v>
      </c>
      <c r="B4256" s="11" t="s">
        <v>458</v>
      </c>
      <c r="C4256" s="5" t="s">
        <v>39</v>
      </c>
      <c r="D4256">
        <v>220</v>
      </c>
      <c r="E4256">
        <v>6</v>
      </c>
      <c r="F4256">
        <v>15</v>
      </c>
      <c r="G4256" s="11">
        <v>12</v>
      </c>
      <c r="H4256" s="5">
        <v>0.23760000000000001</v>
      </c>
      <c r="I4256" s="11">
        <v>388080</v>
      </c>
      <c r="J4256" s="20">
        <v>4656960</v>
      </c>
      <c r="K42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57" spans="1:11" hidden="1" x14ac:dyDescent="0.25">
      <c r="A4257" s="11"/>
      <c r="B4257" s="11"/>
      <c r="C4257" s="5"/>
      <c r="G4257" s="11"/>
      <c r="H4257" s="5"/>
      <c r="I4257" s="11"/>
      <c r="J4257" s="20"/>
      <c r="K42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58" spans="1:11" x14ac:dyDescent="0.25">
      <c r="A4258" s="11"/>
      <c r="B4258" s="11" t="s">
        <v>441</v>
      </c>
      <c r="C4258" s="5" t="s">
        <v>19</v>
      </c>
      <c r="D4258">
        <v>230</v>
      </c>
      <c r="E4258">
        <v>6</v>
      </c>
      <c r="F4258">
        <v>15</v>
      </c>
      <c r="G4258" s="11">
        <v>2</v>
      </c>
      <c r="H4258" s="5">
        <v>4.1399999999999999E-2</v>
      </c>
      <c r="I4258" s="11">
        <v>405720</v>
      </c>
      <c r="J4258" s="20">
        <v>811440</v>
      </c>
      <c r="K42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59" spans="1:11" hidden="1" x14ac:dyDescent="0.25">
      <c r="A4259" s="11"/>
      <c r="B4259" s="11"/>
      <c r="C4259" s="5"/>
      <c r="G4259" s="11"/>
      <c r="H4259" s="5"/>
      <c r="I4259" s="11"/>
      <c r="J4259" s="20"/>
      <c r="K42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0" spans="1:11" hidden="1" x14ac:dyDescent="0.25">
      <c r="A4260" s="11"/>
      <c r="B4260" s="11"/>
      <c r="C4260" s="5"/>
      <c r="G4260" s="11"/>
      <c r="H4260" s="5"/>
      <c r="I4260" s="11"/>
      <c r="J4260" s="20"/>
      <c r="K42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1" spans="1:11" x14ac:dyDescent="0.25">
      <c r="A4261" s="11" t="s">
        <v>405</v>
      </c>
      <c r="B4261" s="11" t="s">
        <v>511</v>
      </c>
      <c r="C4261" s="5" t="s">
        <v>111</v>
      </c>
      <c r="D4261">
        <v>400</v>
      </c>
      <c r="E4261">
        <v>8</v>
      </c>
      <c r="F4261">
        <v>12</v>
      </c>
      <c r="G4261" s="11">
        <v>2</v>
      </c>
      <c r="H4261" s="5">
        <v>7.6799999999999993E-2</v>
      </c>
      <c r="I4261" s="11">
        <v>403200</v>
      </c>
      <c r="J4261" s="20">
        <v>806400</v>
      </c>
      <c r="K42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62" spans="1:11" hidden="1" x14ac:dyDescent="0.25">
      <c r="A4262" s="11"/>
      <c r="B4262" s="11"/>
      <c r="C4262" s="5"/>
      <c r="G4262" s="11"/>
      <c r="H4262" s="5"/>
      <c r="I4262" s="11"/>
      <c r="J4262" s="20"/>
      <c r="K42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3" spans="1:11" hidden="1" x14ac:dyDescent="0.25">
      <c r="A4263" s="11"/>
      <c r="B4263" s="11"/>
      <c r="C4263" s="5"/>
      <c r="G4263" s="11"/>
      <c r="H4263" s="5"/>
      <c r="I4263" s="11"/>
      <c r="J4263" s="20"/>
      <c r="K42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4" spans="1:11" x14ac:dyDescent="0.25">
      <c r="A4264" s="11" t="s">
        <v>406</v>
      </c>
      <c r="B4264" s="11" t="s">
        <v>504</v>
      </c>
      <c r="C4264" s="5" t="s">
        <v>100</v>
      </c>
      <c r="D4264">
        <v>250</v>
      </c>
      <c r="E4264">
        <v>6</v>
      </c>
      <c r="F4264">
        <v>15</v>
      </c>
      <c r="G4264" s="11">
        <v>40</v>
      </c>
      <c r="H4264" s="5">
        <v>0.9</v>
      </c>
      <c r="I4264" s="11">
        <v>463500</v>
      </c>
      <c r="J4264" s="20">
        <v>18540000</v>
      </c>
      <c r="K42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65" spans="1:11" hidden="1" x14ac:dyDescent="0.25">
      <c r="A4265" s="11"/>
      <c r="B4265" s="11"/>
      <c r="C4265" s="5"/>
      <c r="G4265" s="11"/>
      <c r="H4265" s="5"/>
      <c r="I4265" s="11"/>
      <c r="J4265" s="20"/>
      <c r="K42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6" spans="1:11" x14ac:dyDescent="0.25">
      <c r="A4266" s="11"/>
      <c r="B4266" s="11" t="s">
        <v>526</v>
      </c>
      <c r="C4266" s="5" t="s">
        <v>139</v>
      </c>
      <c r="D4266">
        <v>300</v>
      </c>
      <c r="E4266">
        <v>6</v>
      </c>
      <c r="F4266">
        <v>15</v>
      </c>
      <c r="G4266" s="11">
        <v>26</v>
      </c>
      <c r="H4266" s="5">
        <v>0.70199999999999996</v>
      </c>
      <c r="I4266" s="11">
        <v>540000</v>
      </c>
      <c r="J4266" s="20">
        <v>14040000</v>
      </c>
      <c r="K42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67" spans="1:11" hidden="1" x14ac:dyDescent="0.25">
      <c r="A4267" s="11"/>
      <c r="B4267" s="11"/>
      <c r="C4267" s="5"/>
      <c r="G4267" s="11"/>
      <c r="H4267" s="5"/>
      <c r="I4267" s="11"/>
      <c r="J4267" s="20"/>
      <c r="K42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8" spans="1:11" x14ac:dyDescent="0.25">
      <c r="A4268" s="11"/>
      <c r="B4268" s="11" t="s">
        <v>524</v>
      </c>
      <c r="C4268" s="5" t="s">
        <v>137</v>
      </c>
      <c r="D4268">
        <v>400</v>
      </c>
      <c r="E4268">
        <v>4</v>
      </c>
      <c r="F4268">
        <v>30</v>
      </c>
      <c r="G4268" s="11">
        <v>11</v>
      </c>
      <c r="H4268" s="5">
        <v>0.52800000000000002</v>
      </c>
      <c r="I4268" s="11">
        <v>1075200</v>
      </c>
      <c r="J4268" s="20">
        <v>11827200</v>
      </c>
      <c r="K42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69" spans="1:11" hidden="1" x14ac:dyDescent="0.25">
      <c r="A4269" s="11"/>
      <c r="B4269" s="11"/>
      <c r="C4269" s="5"/>
      <c r="G4269" s="11"/>
      <c r="H4269" s="5"/>
      <c r="I4269" s="11"/>
      <c r="J4269" s="20"/>
      <c r="K42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0" spans="1:11" x14ac:dyDescent="0.25">
      <c r="A4270" s="11"/>
      <c r="B4270" s="11" t="s">
        <v>517</v>
      </c>
      <c r="C4270" s="5" t="s">
        <v>122</v>
      </c>
      <c r="D4270">
        <v>400</v>
      </c>
      <c r="E4270">
        <v>6</v>
      </c>
      <c r="F4270">
        <v>15</v>
      </c>
      <c r="G4270" s="11">
        <v>14</v>
      </c>
      <c r="H4270" s="5">
        <v>0.504</v>
      </c>
      <c r="I4270" s="11">
        <v>723600</v>
      </c>
      <c r="J4270" s="20">
        <v>10130400</v>
      </c>
      <c r="K42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71" spans="1:11" hidden="1" x14ac:dyDescent="0.25">
      <c r="A4271" s="11"/>
      <c r="B4271" s="11"/>
      <c r="C4271" s="5"/>
      <c r="G4271" s="11"/>
      <c r="H4271" s="5"/>
      <c r="I4271" s="11"/>
      <c r="J4271" s="20"/>
      <c r="K42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2" spans="1:11" hidden="1" x14ac:dyDescent="0.25">
      <c r="A4272" s="11"/>
      <c r="B4272" s="11"/>
      <c r="C4272" s="5"/>
      <c r="G4272" s="11"/>
      <c r="H4272" s="5"/>
      <c r="I4272" s="11"/>
      <c r="J4272" s="20"/>
      <c r="K42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3" spans="1:11" x14ac:dyDescent="0.25">
      <c r="A4273" s="11" t="s">
        <v>406</v>
      </c>
      <c r="B4273" s="11" t="s">
        <v>507</v>
      </c>
      <c r="C4273" s="5" t="s">
        <v>104</v>
      </c>
      <c r="D4273">
        <v>400</v>
      </c>
      <c r="E4273">
        <v>4</v>
      </c>
      <c r="F4273">
        <v>25</v>
      </c>
      <c r="G4273" s="11">
        <v>2</v>
      </c>
      <c r="H4273" s="5">
        <v>0.08</v>
      </c>
      <c r="I4273" s="11">
        <v>876000</v>
      </c>
      <c r="J4273" s="20">
        <v>1752000</v>
      </c>
      <c r="K42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4" spans="1:11" hidden="1" x14ac:dyDescent="0.25">
      <c r="A4274" s="11"/>
      <c r="B4274" s="11"/>
      <c r="C4274" s="5"/>
      <c r="G4274" s="11"/>
      <c r="H4274" s="5"/>
      <c r="I4274" s="11"/>
      <c r="J4274" s="20"/>
      <c r="K42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5" spans="1:11" hidden="1" x14ac:dyDescent="0.25">
      <c r="A4275" s="11"/>
      <c r="B4275" s="11"/>
      <c r="C4275" s="5"/>
      <c r="G4275" s="11"/>
      <c r="H4275" s="5"/>
      <c r="I4275" s="11"/>
      <c r="J4275" s="20"/>
      <c r="K42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6" spans="1:11" x14ac:dyDescent="0.25">
      <c r="A4276" s="11" t="s">
        <v>406</v>
      </c>
      <c r="B4276" s="11" t="s">
        <v>553</v>
      </c>
      <c r="C4276" s="5" t="s">
        <v>194</v>
      </c>
      <c r="D4276">
        <v>400</v>
      </c>
      <c r="E4276">
        <v>3</v>
      </c>
      <c r="F4276">
        <v>30</v>
      </c>
      <c r="G4276" s="11">
        <v>2</v>
      </c>
      <c r="H4276" s="5">
        <v>7.1999999999999995E-2</v>
      </c>
      <c r="I4276" s="11">
        <v>307800</v>
      </c>
      <c r="J4276" s="20">
        <v>615600</v>
      </c>
      <c r="K42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7" spans="1:11" hidden="1" x14ac:dyDescent="0.25">
      <c r="A4277" s="11"/>
      <c r="B4277" s="11"/>
      <c r="C4277" s="5"/>
      <c r="G4277" s="11"/>
      <c r="H4277" s="5"/>
      <c r="I4277" s="11"/>
      <c r="J4277" s="20"/>
      <c r="K42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8" spans="1:11" x14ac:dyDescent="0.25">
      <c r="A4278" s="11"/>
      <c r="B4278" s="11" t="s">
        <v>564</v>
      </c>
      <c r="C4278" s="5" t="s">
        <v>233</v>
      </c>
      <c r="D4278">
        <v>400</v>
      </c>
      <c r="E4278">
        <v>4</v>
      </c>
      <c r="F4278">
        <v>25</v>
      </c>
      <c r="G4278" s="11">
        <v>8</v>
      </c>
      <c r="H4278" s="5">
        <v>0.32</v>
      </c>
      <c r="I4278" s="11">
        <v>322000</v>
      </c>
      <c r="J4278" s="20">
        <v>2576000</v>
      </c>
      <c r="K42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79" spans="1:11" hidden="1" x14ac:dyDescent="0.25">
      <c r="A4279" s="11"/>
      <c r="B4279" s="11"/>
      <c r="C4279" s="5"/>
      <c r="G4279" s="11"/>
      <c r="H4279" s="5"/>
      <c r="I4279" s="11"/>
      <c r="J4279" s="20"/>
      <c r="K42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0" spans="1:11" x14ac:dyDescent="0.25">
      <c r="A4280" s="11"/>
      <c r="B4280" s="11" t="s">
        <v>593</v>
      </c>
      <c r="C4280" s="5" t="s">
        <v>367</v>
      </c>
      <c r="D4280">
        <v>400</v>
      </c>
      <c r="E4280">
        <v>4</v>
      </c>
      <c r="F4280">
        <v>30</v>
      </c>
      <c r="G4280" s="11">
        <v>5</v>
      </c>
      <c r="H4280" s="5">
        <v>0.24</v>
      </c>
      <c r="I4280" s="11">
        <v>410400</v>
      </c>
      <c r="J4280" s="20">
        <v>2052000</v>
      </c>
      <c r="K42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1" spans="1:11" hidden="1" x14ac:dyDescent="0.25">
      <c r="A4281" s="11"/>
      <c r="B4281" s="11"/>
      <c r="C4281" s="5"/>
      <c r="G4281" s="11"/>
      <c r="H4281" s="5"/>
      <c r="I4281" s="11"/>
      <c r="J4281" s="20"/>
      <c r="K42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2" spans="1:11" hidden="1" x14ac:dyDescent="0.25">
      <c r="A4282" s="11"/>
      <c r="B4282" s="11"/>
      <c r="C4282" s="5"/>
      <c r="G4282" s="11"/>
      <c r="H4282" s="5"/>
      <c r="I4282" s="11"/>
      <c r="J4282" s="20"/>
      <c r="K42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3" spans="1:11" x14ac:dyDescent="0.25">
      <c r="A4283" s="11" t="s">
        <v>407</v>
      </c>
      <c r="B4283" s="11" t="s">
        <v>490</v>
      </c>
      <c r="C4283" s="5" t="s">
        <v>82</v>
      </c>
      <c r="D4283">
        <v>250</v>
      </c>
      <c r="E4283">
        <v>6</v>
      </c>
      <c r="F4283">
        <v>15</v>
      </c>
      <c r="G4283" s="11">
        <v>1</v>
      </c>
      <c r="H4283" s="5">
        <v>2.2499999999999999E-2</v>
      </c>
      <c r="I4283" s="11">
        <v>238500</v>
      </c>
      <c r="J4283" s="20">
        <v>238500</v>
      </c>
      <c r="K42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84" spans="1:11" hidden="1" x14ac:dyDescent="0.25">
      <c r="A4284" s="11"/>
      <c r="B4284" s="11"/>
      <c r="C4284" s="5"/>
      <c r="G4284" s="11"/>
      <c r="H4284" s="5"/>
      <c r="I4284" s="11"/>
      <c r="J4284" s="20"/>
      <c r="K42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5" spans="1:11" x14ac:dyDescent="0.25">
      <c r="A4285" s="11"/>
      <c r="B4285" s="11" t="s">
        <v>439</v>
      </c>
      <c r="C4285" s="5" t="s">
        <v>16</v>
      </c>
      <c r="D4285">
        <v>400</v>
      </c>
      <c r="E4285">
        <v>3</v>
      </c>
      <c r="F4285">
        <v>30</v>
      </c>
      <c r="G4285" s="11">
        <v>2</v>
      </c>
      <c r="H4285" s="5">
        <v>7.1999999999999995E-2</v>
      </c>
      <c r="I4285" s="11">
        <v>403200</v>
      </c>
      <c r="J4285" s="20">
        <v>806400</v>
      </c>
      <c r="K42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6" spans="1:11" hidden="1" x14ac:dyDescent="0.25">
      <c r="A4286" s="11"/>
      <c r="B4286" s="11"/>
      <c r="C4286" s="5"/>
      <c r="G4286" s="11"/>
      <c r="H4286" s="5"/>
      <c r="I4286" s="11"/>
      <c r="J4286" s="20"/>
      <c r="K42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7" spans="1:11" x14ac:dyDescent="0.25">
      <c r="A4287" s="11"/>
      <c r="B4287" s="11" t="s">
        <v>443</v>
      </c>
      <c r="C4287" s="5" t="s">
        <v>21</v>
      </c>
      <c r="D4287">
        <v>400</v>
      </c>
      <c r="E4287">
        <v>4</v>
      </c>
      <c r="F4287">
        <v>25</v>
      </c>
      <c r="G4287" s="11">
        <v>2</v>
      </c>
      <c r="H4287" s="5">
        <v>0.08</v>
      </c>
      <c r="I4287" s="11">
        <v>440000</v>
      </c>
      <c r="J4287" s="20">
        <v>880000</v>
      </c>
      <c r="K42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8" spans="1:11" hidden="1" x14ac:dyDescent="0.25">
      <c r="A4288" s="11"/>
      <c r="B4288" s="11"/>
      <c r="C4288" s="5"/>
      <c r="G4288" s="11"/>
      <c r="H4288" s="5"/>
      <c r="I4288" s="11"/>
      <c r="J4288" s="20"/>
      <c r="K42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89" spans="1:11" x14ac:dyDescent="0.25">
      <c r="A4289" s="11"/>
      <c r="B4289" s="11" t="s">
        <v>498</v>
      </c>
      <c r="C4289" s="5" t="s">
        <v>92</v>
      </c>
      <c r="D4289">
        <v>500</v>
      </c>
      <c r="E4289">
        <v>6</v>
      </c>
      <c r="F4289">
        <v>15</v>
      </c>
      <c r="G4289" s="11">
        <v>2</v>
      </c>
      <c r="H4289" s="5">
        <v>0.09</v>
      </c>
      <c r="I4289" s="11">
        <v>477000</v>
      </c>
      <c r="J4289" s="20">
        <v>954000</v>
      </c>
      <c r="K42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90" spans="1:11" hidden="1" x14ac:dyDescent="0.25">
      <c r="A4290" s="11"/>
      <c r="B4290" s="11"/>
      <c r="C4290" s="5"/>
      <c r="G4290" s="11"/>
      <c r="H4290" s="5"/>
      <c r="I4290" s="11"/>
      <c r="J4290" s="20"/>
      <c r="K42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1" spans="1:11" hidden="1" x14ac:dyDescent="0.25">
      <c r="A4291" s="11"/>
      <c r="B4291" s="11"/>
      <c r="C4291" s="5"/>
      <c r="G4291" s="11"/>
      <c r="H4291" s="5"/>
      <c r="I4291" s="11"/>
      <c r="J4291" s="20"/>
      <c r="K42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2" spans="1:11" x14ac:dyDescent="0.25">
      <c r="A4292" s="11" t="s">
        <v>407</v>
      </c>
      <c r="B4292" s="11" t="s">
        <v>597</v>
      </c>
      <c r="C4292" s="5" t="s">
        <v>408</v>
      </c>
      <c r="D4292">
        <v>400</v>
      </c>
      <c r="E4292">
        <v>10</v>
      </c>
      <c r="F4292">
        <v>10</v>
      </c>
      <c r="G4292" s="11">
        <v>2</v>
      </c>
      <c r="H4292" s="5">
        <v>0.08</v>
      </c>
      <c r="I4292" s="11">
        <v>536000</v>
      </c>
      <c r="J4292" s="20">
        <v>1072000</v>
      </c>
      <c r="K42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93" spans="1:11" hidden="1" x14ac:dyDescent="0.25">
      <c r="A4293" s="11"/>
      <c r="B4293" s="11"/>
      <c r="C4293" s="5"/>
      <c r="G4293" s="11"/>
      <c r="H4293" s="5"/>
      <c r="I4293" s="11"/>
      <c r="J4293" s="20"/>
      <c r="K42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4" spans="1:11" x14ac:dyDescent="0.25">
      <c r="A4294" s="11"/>
      <c r="B4294" s="11" t="s">
        <v>598</v>
      </c>
      <c r="C4294" s="5" t="s">
        <v>409</v>
      </c>
      <c r="D4294">
        <v>450</v>
      </c>
      <c r="E4294">
        <v>5</v>
      </c>
      <c r="F4294">
        <v>25</v>
      </c>
      <c r="G4294" s="11">
        <v>1</v>
      </c>
      <c r="H4294" s="5">
        <v>5.62E-2</v>
      </c>
      <c r="I4294" s="11">
        <v>630000</v>
      </c>
      <c r="J4294" s="20">
        <v>630000</v>
      </c>
      <c r="K42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295" spans="1:11" hidden="1" x14ac:dyDescent="0.25">
      <c r="A4295" s="11"/>
      <c r="B4295" s="11"/>
      <c r="C4295" s="5"/>
      <c r="G4295" s="11"/>
      <c r="H4295" s="5"/>
      <c r="I4295" s="11"/>
      <c r="J4295" s="20"/>
      <c r="K42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6" spans="1:11" hidden="1" x14ac:dyDescent="0.25">
      <c r="A4296" s="11"/>
      <c r="B4296" s="11"/>
      <c r="C4296" s="5"/>
      <c r="G4296" s="11"/>
      <c r="H4296" s="5"/>
      <c r="I4296" s="11"/>
      <c r="J4296" s="20"/>
      <c r="K42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7" spans="1:11" x14ac:dyDescent="0.25">
      <c r="A4297" s="11" t="s">
        <v>410</v>
      </c>
      <c r="B4297" s="11" t="s">
        <v>442</v>
      </c>
      <c r="C4297" s="5" t="s">
        <v>20</v>
      </c>
      <c r="D4297">
        <v>400</v>
      </c>
      <c r="E4297">
        <v>6</v>
      </c>
      <c r="F4297">
        <v>12</v>
      </c>
      <c r="G4297" s="11">
        <v>5</v>
      </c>
      <c r="H4297" s="5">
        <v>0.14399999999999999</v>
      </c>
      <c r="I4297" s="11">
        <v>578880</v>
      </c>
      <c r="J4297" s="20">
        <v>2894400</v>
      </c>
      <c r="K42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298" spans="1:11" hidden="1" x14ac:dyDescent="0.25">
      <c r="A4298" s="11"/>
      <c r="B4298" s="11"/>
      <c r="C4298" s="5"/>
      <c r="G4298" s="11"/>
      <c r="H4298" s="5"/>
      <c r="I4298" s="11"/>
      <c r="J4298" s="20"/>
      <c r="K42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299" spans="1:11" hidden="1" x14ac:dyDescent="0.25">
      <c r="A4299" s="11"/>
      <c r="B4299" s="11"/>
      <c r="C4299" s="5"/>
      <c r="G4299" s="11"/>
      <c r="H4299" s="5"/>
      <c r="I4299" s="11"/>
      <c r="J4299" s="20"/>
      <c r="K42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0" spans="1:11" x14ac:dyDescent="0.25">
      <c r="A4300" s="11" t="s">
        <v>411</v>
      </c>
      <c r="B4300" s="11" t="s">
        <v>507</v>
      </c>
      <c r="C4300" s="5" t="s">
        <v>104</v>
      </c>
      <c r="D4300">
        <v>400</v>
      </c>
      <c r="E4300">
        <v>4</v>
      </c>
      <c r="F4300">
        <v>25</v>
      </c>
      <c r="G4300" s="11">
        <v>1</v>
      </c>
      <c r="H4300" s="5">
        <v>0.04</v>
      </c>
      <c r="I4300" s="11">
        <v>886000</v>
      </c>
      <c r="J4300" s="20">
        <v>886000</v>
      </c>
      <c r="K43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1" spans="1:11" hidden="1" x14ac:dyDescent="0.25">
      <c r="A4301" s="11"/>
      <c r="B4301" s="11"/>
      <c r="C4301" s="5"/>
      <c r="G4301" s="11"/>
      <c r="H4301" s="5"/>
      <c r="I4301" s="11"/>
      <c r="J4301" s="20"/>
      <c r="K43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2" spans="1:11" x14ac:dyDescent="0.25">
      <c r="A4302" s="11"/>
      <c r="B4302" s="11" t="s">
        <v>531</v>
      </c>
      <c r="C4302" s="5" t="s">
        <v>149</v>
      </c>
      <c r="D4302">
        <v>500</v>
      </c>
      <c r="E4302">
        <v>4</v>
      </c>
      <c r="F4302">
        <v>20</v>
      </c>
      <c r="G4302" s="11">
        <v>3</v>
      </c>
      <c r="H4302" s="5">
        <v>0.12</v>
      </c>
      <c r="I4302" s="11">
        <v>904000</v>
      </c>
      <c r="J4302" s="20">
        <v>2712000</v>
      </c>
      <c r="K43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3" spans="1:11" hidden="1" x14ac:dyDescent="0.25">
      <c r="A4303" s="11"/>
      <c r="B4303" s="11"/>
      <c r="C4303" s="5"/>
      <c r="G4303" s="11"/>
      <c r="H4303" s="5"/>
      <c r="I4303" s="11"/>
      <c r="J4303" s="20"/>
      <c r="K43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4" spans="1:11" x14ac:dyDescent="0.25">
      <c r="A4304" s="11"/>
      <c r="B4304" s="11" t="s">
        <v>534</v>
      </c>
      <c r="C4304" s="5" t="s">
        <v>153</v>
      </c>
      <c r="D4304">
        <v>500</v>
      </c>
      <c r="E4304">
        <v>4</v>
      </c>
      <c r="F4304">
        <v>25</v>
      </c>
      <c r="G4304" s="11">
        <v>3</v>
      </c>
      <c r="H4304" s="5">
        <v>0.15</v>
      </c>
      <c r="I4304" s="11">
        <v>1135000</v>
      </c>
      <c r="J4304" s="20">
        <v>3405000</v>
      </c>
      <c r="K43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5" spans="1:11" hidden="1" x14ac:dyDescent="0.25">
      <c r="A4305" s="11"/>
      <c r="B4305" s="11"/>
      <c r="C4305" s="5"/>
      <c r="G4305" s="11"/>
      <c r="H4305" s="5"/>
      <c r="I4305" s="11"/>
      <c r="J4305" s="20"/>
      <c r="K43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6" spans="1:11" x14ac:dyDescent="0.25">
      <c r="A4306" s="11"/>
      <c r="B4306" s="11" t="s">
        <v>508</v>
      </c>
      <c r="C4306" s="5" t="s">
        <v>105</v>
      </c>
      <c r="D4306">
        <v>500</v>
      </c>
      <c r="E4306">
        <v>4</v>
      </c>
      <c r="F4306">
        <v>30</v>
      </c>
      <c r="G4306" s="11">
        <v>2</v>
      </c>
      <c r="H4306" s="5">
        <v>0.12</v>
      </c>
      <c r="I4306" s="11">
        <v>1392000</v>
      </c>
      <c r="J4306" s="20">
        <v>2784000</v>
      </c>
      <c r="K43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7" spans="1:11" hidden="1" x14ac:dyDescent="0.25">
      <c r="A4307" s="11"/>
      <c r="B4307" s="11"/>
      <c r="C4307" s="5"/>
      <c r="G4307" s="11"/>
      <c r="H4307" s="5"/>
      <c r="I4307" s="11"/>
      <c r="J4307" s="20"/>
      <c r="K43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8" spans="1:11" x14ac:dyDescent="0.25">
      <c r="A4308" s="11"/>
      <c r="B4308" s="11" t="s">
        <v>487</v>
      </c>
      <c r="C4308" s="5" t="s">
        <v>77</v>
      </c>
      <c r="D4308">
        <v>250</v>
      </c>
      <c r="E4308">
        <v>4</v>
      </c>
      <c r="F4308">
        <v>30</v>
      </c>
      <c r="G4308" s="11">
        <v>1</v>
      </c>
      <c r="H4308" s="5">
        <v>0.03</v>
      </c>
      <c r="I4308" s="11">
        <v>679500</v>
      </c>
      <c r="J4308" s="20">
        <v>679500</v>
      </c>
      <c r="K43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09" spans="1:11" hidden="1" x14ac:dyDescent="0.25">
      <c r="A4309" s="11"/>
      <c r="B4309" s="11"/>
      <c r="C4309" s="5"/>
      <c r="G4309" s="11"/>
      <c r="H4309" s="5"/>
      <c r="I4309" s="11"/>
      <c r="J4309" s="20"/>
      <c r="K43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0" spans="1:11" x14ac:dyDescent="0.25">
      <c r="A4310" s="11"/>
      <c r="B4310" s="11" t="s">
        <v>509</v>
      </c>
      <c r="C4310" s="5" t="s">
        <v>109</v>
      </c>
      <c r="D4310">
        <v>400</v>
      </c>
      <c r="E4310">
        <v>5</v>
      </c>
      <c r="F4310">
        <v>7</v>
      </c>
      <c r="G4310" s="11">
        <v>4</v>
      </c>
      <c r="H4310" s="5">
        <v>5.6000000000000001E-2</v>
      </c>
      <c r="I4310" s="11">
        <v>284900</v>
      </c>
      <c r="J4310" s="20">
        <v>1139600</v>
      </c>
      <c r="K43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4311" spans="1:11" hidden="1" x14ac:dyDescent="0.25">
      <c r="A4311" s="11"/>
      <c r="B4311" s="11"/>
      <c r="C4311" s="5"/>
      <c r="G4311" s="11"/>
      <c r="H4311" s="5"/>
      <c r="I4311" s="11"/>
      <c r="J4311" s="20"/>
      <c r="K43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2" spans="1:11" x14ac:dyDescent="0.25">
      <c r="A4312" s="11"/>
      <c r="B4312" s="11" t="s">
        <v>599</v>
      </c>
      <c r="C4312" s="5" t="s">
        <v>412</v>
      </c>
      <c r="D4312">
        <v>500</v>
      </c>
      <c r="E4312">
        <v>20</v>
      </c>
      <c r="F4312">
        <v>20</v>
      </c>
      <c r="G4312" s="11">
        <v>1</v>
      </c>
      <c r="H4312" s="5">
        <v>0.2</v>
      </c>
      <c r="I4312" s="11">
        <v>4760000</v>
      </c>
      <c r="J4312" s="20">
        <v>4760000</v>
      </c>
      <c r="K43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13" spans="1:11" hidden="1" x14ac:dyDescent="0.25">
      <c r="A4313" s="11"/>
      <c r="B4313" s="11"/>
      <c r="C4313" s="5"/>
      <c r="G4313" s="11"/>
      <c r="H4313" s="5"/>
      <c r="I4313" s="11"/>
      <c r="J4313" s="20"/>
      <c r="K43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4" spans="1:11" hidden="1" x14ac:dyDescent="0.25">
      <c r="A4314" s="11"/>
      <c r="B4314" s="11"/>
      <c r="C4314" s="5"/>
      <c r="G4314" s="11"/>
      <c r="H4314" s="5"/>
      <c r="I4314" s="11"/>
      <c r="J4314" s="20"/>
      <c r="K43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5" spans="1:11" x14ac:dyDescent="0.25">
      <c r="A4315" s="11" t="s">
        <v>413</v>
      </c>
      <c r="B4315" s="11" t="s">
        <v>456</v>
      </c>
      <c r="C4315" s="5" t="s">
        <v>37</v>
      </c>
      <c r="D4315">
        <v>250</v>
      </c>
      <c r="E4315">
        <v>4</v>
      </c>
      <c r="F4315">
        <v>25</v>
      </c>
      <c r="G4315" s="11">
        <v>1</v>
      </c>
      <c r="H4315" s="5">
        <v>2.5000000000000001E-2</v>
      </c>
      <c r="I4315" s="11">
        <v>547500</v>
      </c>
      <c r="J4315" s="20">
        <v>547500</v>
      </c>
      <c r="K43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6" spans="1:11" hidden="1" x14ac:dyDescent="0.25">
      <c r="A4316" s="11"/>
      <c r="B4316" s="11"/>
      <c r="C4316" s="5"/>
      <c r="G4316" s="11"/>
      <c r="H4316" s="5"/>
      <c r="I4316" s="11"/>
      <c r="J4316" s="20"/>
      <c r="K43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7" spans="1:11" hidden="1" x14ac:dyDescent="0.25">
      <c r="A4317" s="11"/>
      <c r="B4317" s="11"/>
      <c r="C4317" s="5"/>
      <c r="G4317" s="11"/>
      <c r="H4317" s="5"/>
      <c r="I4317" s="11"/>
      <c r="J4317" s="20"/>
      <c r="K43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8" spans="1:11" x14ac:dyDescent="0.25">
      <c r="A4318" s="11" t="s">
        <v>413</v>
      </c>
      <c r="B4318" s="11" t="s">
        <v>553</v>
      </c>
      <c r="C4318" s="5" t="s">
        <v>194</v>
      </c>
      <c r="D4318">
        <v>400</v>
      </c>
      <c r="E4318">
        <v>3</v>
      </c>
      <c r="F4318">
        <v>30</v>
      </c>
      <c r="G4318" s="11">
        <v>1</v>
      </c>
      <c r="H4318" s="5">
        <v>3.5999999999999997E-2</v>
      </c>
      <c r="I4318" s="11">
        <v>307800</v>
      </c>
      <c r="J4318" s="20">
        <v>307800</v>
      </c>
      <c r="K43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19" spans="1:11" hidden="1" x14ac:dyDescent="0.25">
      <c r="A4319" s="11"/>
      <c r="B4319" s="11"/>
      <c r="C4319" s="5"/>
      <c r="G4319" s="11"/>
      <c r="H4319" s="5"/>
      <c r="I4319" s="11"/>
      <c r="J4319" s="20"/>
      <c r="K43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0" spans="1:11" x14ac:dyDescent="0.25">
      <c r="A4320" s="11"/>
      <c r="B4320" s="11" t="s">
        <v>564</v>
      </c>
      <c r="C4320" s="5" t="s">
        <v>233</v>
      </c>
      <c r="D4320">
        <v>400</v>
      </c>
      <c r="E4320">
        <v>4</v>
      </c>
      <c r="F4320">
        <v>25</v>
      </c>
      <c r="G4320" s="11">
        <v>5</v>
      </c>
      <c r="H4320" s="5">
        <v>0.2</v>
      </c>
      <c r="I4320" s="11">
        <v>322000</v>
      </c>
      <c r="J4320" s="20">
        <v>1610000</v>
      </c>
      <c r="K43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1" spans="1:11" hidden="1" x14ac:dyDescent="0.25">
      <c r="A4321" s="11"/>
      <c r="B4321" s="11"/>
      <c r="C4321" s="5"/>
      <c r="G4321" s="11"/>
      <c r="H4321" s="5"/>
      <c r="I4321" s="11"/>
      <c r="J4321" s="20"/>
      <c r="K43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2" spans="1:11" x14ac:dyDescent="0.25">
      <c r="A4322" s="11"/>
      <c r="B4322" s="11" t="s">
        <v>462</v>
      </c>
      <c r="C4322" s="5" t="s">
        <v>44</v>
      </c>
      <c r="D4322">
        <v>400</v>
      </c>
      <c r="E4322">
        <v>6</v>
      </c>
      <c r="F4322">
        <v>15</v>
      </c>
      <c r="G4322" s="11">
        <v>4</v>
      </c>
      <c r="H4322" s="5">
        <v>0.14399999999999999</v>
      </c>
      <c r="I4322" s="11">
        <v>253800</v>
      </c>
      <c r="J4322" s="20">
        <v>1015200</v>
      </c>
      <c r="K43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23" spans="1:11" hidden="1" x14ac:dyDescent="0.25">
      <c r="A4323" s="11"/>
      <c r="B4323" s="11"/>
      <c r="C4323" s="5"/>
      <c r="G4323" s="11"/>
      <c r="H4323" s="5"/>
      <c r="I4323" s="11"/>
      <c r="J4323" s="20"/>
      <c r="K43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4" spans="1:11" x14ac:dyDescent="0.25">
      <c r="A4324" s="11"/>
      <c r="B4324" s="11" t="s">
        <v>519</v>
      </c>
      <c r="C4324" s="5" t="s">
        <v>125</v>
      </c>
      <c r="D4324">
        <v>400</v>
      </c>
      <c r="E4324">
        <v>5</v>
      </c>
      <c r="F4324">
        <v>25</v>
      </c>
      <c r="G4324" s="11">
        <v>6</v>
      </c>
      <c r="H4324" s="5">
        <v>0.3</v>
      </c>
      <c r="I4324" s="11">
        <v>572500</v>
      </c>
      <c r="J4324" s="20">
        <v>3435000</v>
      </c>
      <c r="K43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25" spans="1:11" hidden="1" x14ac:dyDescent="0.25">
      <c r="A4325" s="11"/>
      <c r="B4325" s="11"/>
      <c r="C4325" s="5"/>
      <c r="G4325" s="11"/>
      <c r="H4325" s="5"/>
      <c r="I4325" s="11"/>
      <c r="J4325" s="20"/>
      <c r="K43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6" spans="1:11" hidden="1" x14ac:dyDescent="0.25">
      <c r="A4326" s="11"/>
      <c r="B4326" s="11"/>
      <c r="C4326" s="5"/>
      <c r="G4326" s="11"/>
      <c r="H4326" s="5"/>
      <c r="I4326" s="11"/>
      <c r="J4326" s="20"/>
      <c r="K43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7" spans="1:11" x14ac:dyDescent="0.25">
      <c r="A4327" s="11" t="s">
        <v>413</v>
      </c>
      <c r="B4327" s="11" t="s">
        <v>539</v>
      </c>
      <c r="C4327" s="5" t="s">
        <v>163</v>
      </c>
      <c r="D4327">
        <v>400</v>
      </c>
      <c r="E4327">
        <v>5</v>
      </c>
      <c r="F4327">
        <v>7</v>
      </c>
      <c r="G4327" s="11">
        <v>40</v>
      </c>
      <c r="H4327" s="5">
        <v>0.56000000000000005</v>
      </c>
      <c r="I4327" s="11">
        <v>135800</v>
      </c>
      <c r="J4327" s="20">
        <v>5432000</v>
      </c>
      <c r="K43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Kaso</v>
      </c>
    </row>
    <row r="4328" spans="1:11" hidden="1" x14ac:dyDescent="0.25">
      <c r="A4328" s="11"/>
      <c r="B4328" s="11"/>
      <c r="C4328" s="5"/>
      <c r="G4328" s="11"/>
      <c r="H4328" s="5"/>
      <c r="I4328" s="11"/>
      <c r="J4328" s="20"/>
      <c r="K43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29" spans="1:11" hidden="1" x14ac:dyDescent="0.25">
      <c r="A4329" s="11"/>
      <c r="B4329" s="11"/>
      <c r="C4329" s="5"/>
      <c r="G4329" s="11"/>
      <c r="H4329" s="5"/>
      <c r="I4329" s="11"/>
      <c r="J4329" s="20"/>
      <c r="K43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0" spans="1:11" x14ac:dyDescent="0.25">
      <c r="A4330" s="11" t="s">
        <v>414</v>
      </c>
      <c r="B4330" s="11" t="s">
        <v>557</v>
      </c>
      <c r="C4330" s="5" t="s">
        <v>205</v>
      </c>
      <c r="D4330">
        <v>500</v>
      </c>
      <c r="E4330">
        <v>5</v>
      </c>
      <c r="F4330">
        <v>20</v>
      </c>
      <c r="G4330" s="11">
        <v>4</v>
      </c>
      <c r="H4330" s="5">
        <v>0.2</v>
      </c>
      <c r="I4330" s="11">
        <v>545000</v>
      </c>
      <c r="J4330" s="20">
        <v>2180000</v>
      </c>
      <c r="K43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31" spans="1:11" hidden="1" x14ac:dyDescent="0.25">
      <c r="A4331" s="11"/>
      <c r="B4331" s="11"/>
      <c r="C4331" s="5"/>
      <c r="G4331" s="11"/>
      <c r="H4331" s="5"/>
      <c r="I4331" s="11"/>
      <c r="J4331" s="20"/>
      <c r="K43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2" spans="1:11" x14ac:dyDescent="0.25">
      <c r="A4332" s="11"/>
      <c r="B4332" s="11" t="s">
        <v>550</v>
      </c>
      <c r="C4332" s="5" t="s">
        <v>186</v>
      </c>
      <c r="D4332">
        <v>500</v>
      </c>
      <c r="E4332">
        <v>5</v>
      </c>
      <c r="F4332">
        <v>25</v>
      </c>
      <c r="G4332" s="11">
        <v>4</v>
      </c>
      <c r="H4332" s="5">
        <v>0.25</v>
      </c>
      <c r="I4332" s="11">
        <v>700000</v>
      </c>
      <c r="J4332" s="20">
        <v>2800000</v>
      </c>
      <c r="K43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33" spans="1:11" hidden="1" x14ac:dyDescent="0.25">
      <c r="A4333" s="11"/>
      <c r="B4333" s="11"/>
      <c r="C4333" s="5"/>
      <c r="G4333" s="11"/>
      <c r="H4333" s="5"/>
      <c r="I4333" s="11"/>
      <c r="J4333" s="20"/>
      <c r="K43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4" spans="1:11" hidden="1" x14ac:dyDescent="0.25">
      <c r="A4334" s="11"/>
      <c r="B4334" s="11"/>
      <c r="C4334" s="5"/>
      <c r="G4334" s="11"/>
      <c r="H4334" s="5"/>
      <c r="I4334" s="11"/>
      <c r="J4334" s="20"/>
      <c r="K43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5" spans="1:11" x14ac:dyDescent="0.25">
      <c r="A4335" s="11" t="s">
        <v>415</v>
      </c>
      <c r="B4335" s="11" t="s">
        <v>502</v>
      </c>
      <c r="C4335" s="5" t="s">
        <v>98</v>
      </c>
      <c r="D4335">
        <v>400</v>
      </c>
      <c r="E4335">
        <v>5</v>
      </c>
      <c r="F4335">
        <v>15</v>
      </c>
      <c r="G4335" s="11">
        <v>1</v>
      </c>
      <c r="H4335" s="5">
        <v>0.03</v>
      </c>
      <c r="I4335" s="11">
        <v>315000</v>
      </c>
      <c r="J4335" s="20">
        <v>315000</v>
      </c>
      <c r="K43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36" spans="1:11" hidden="1" x14ac:dyDescent="0.25">
      <c r="A4336" s="11"/>
      <c r="B4336" s="11"/>
      <c r="C4336" s="5"/>
      <c r="G4336" s="11"/>
      <c r="H4336" s="5"/>
      <c r="I4336" s="11"/>
      <c r="J4336" s="20"/>
      <c r="K43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7" spans="1:11" hidden="1" x14ac:dyDescent="0.25">
      <c r="A4337" s="11"/>
      <c r="B4337" s="11"/>
      <c r="C4337" s="5"/>
      <c r="G4337" s="11"/>
      <c r="H4337" s="5"/>
      <c r="I4337" s="11"/>
      <c r="J4337" s="20"/>
      <c r="K43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38" spans="1:11" x14ac:dyDescent="0.25">
      <c r="A4338" s="11" t="s">
        <v>416</v>
      </c>
      <c r="B4338" s="11" t="s">
        <v>503</v>
      </c>
      <c r="C4338" s="5" t="s">
        <v>99</v>
      </c>
      <c r="D4338">
        <v>300</v>
      </c>
      <c r="E4338">
        <v>6</v>
      </c>
      <c r="F4338">
        <v>15</v>
      </c>
      <c r="G4338" s="11">
        <v>3</v>
      </c>
      <c r="H4338" s="5">
        <v>8.1000000000000003E-2</v>
      </c>
      <c r="I4338" s="11">
        <v>279450</v>
      </c>
      <c r="J4338" s="20">
        <v>838350</v>
      </c>
      <c r="K43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39" spans="1:11" hidden="1" x14ac:dyDescent="0.25">
      <c r="A4339" s="11"/>
      <c r="B4339" s="11"/>
      <c r="C4339" s="5"/>
      <c r="G4339" s="11"/>
      <c r="H4339" s="5"/>
      <c r="I4339" s="11"/>
      <c r="J4339" s="20"/>
      <c r="K43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0" spans="1:11" x14ac:dyDescent="0.25">
      <c r="A4340" s="11"/>
      <c r="B4340" s="11" t="s">
        <v>438</v>
      </c>
      <c r="C4340" s="5" t="s">
        <v>15</v>
      </c>
      <c r="D4340">
        <v>400</v>
      </c>
      <c r="E4340">
        <v>3</v>
      </c>
      <c r="F4340">
        <v>25</v>
      </c>
      <c r="G4340" s="11">
        <v>9</v>
      </c>
      <c r="H4340" s="5">
        <v>0.27</v>
      </c>
      <c r="I4340" s="11">
        <v>337500</v>
      </c>
      <c r="J4340" s="20">
        <v>3037500</v>
      </c>
      <c r="K43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1" spans="1:11" hidden="1" x14ac:dyDescent="0.25">
      <c r="A4341" s="11"/>
      <c r="B4341" s="11"/>
      <c r="C4341" s="5"/>
      <c r="G4341" s="11"/>
      <c r="H4341" s="5"/>
      <c r="I4341" s="11"/>
      <c r="J4341" s="20"/>
      <c r="K43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2" spans="1:11" x14ac:dyDescent="0.25">
      <c r="A4342" s="11"/>
      <c r="B4342" s="11" t="s">
        <v>439</v>
      </c>
      <c r="C4342" s="5" t="s">
        <v>16</v>
      </c>
      <c r="D4342">
        <v>400</v>
      </c>
      <c r="E4342">
        <v>3</v>
      </c>
      <c r="F4342">
        <v>30</v>
      </c>
      <c r="G4342" s="11">
        <v>3</v>
      </c>
      <c r="H4342" s="5">
        <v>0.108</v>
      </c>
      <c r="I4342" s="11">
        <v>412200</v>
      </c>
      <c r="J4342" s="20">
        <v>1236600</v>
      </c>
      <c r="K43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3" spans="1:11" hidden="1" x14ac:dyDescent="0.25">
      <c r="A4343" s="11"/>
      <c r="B4343" s="11"/>
      <c r="C4343" s="5"/>
      <c r="G4343" s="11"/>
      <c r="H4343" s="5"/>
      <c r="I4343" s="11"/>
      <c r="J4343" s="20"/>
      <c r="K43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4" spans="1:11" x14ac:dyDescent="0.25">
      <c r="A4344" s="11"/>
      <c r="B4344" s="11" t="s">
        <v>434</v>
      </c>
      <c r="C4344" s="5" t="s">
        <v>10</v>
      </c>
      <c r="D4344">
        <v>400</v>
      </c>
      <c r="E4344">
        <v>4</v>
      </c>
      <c r="F4344">
        <v>30</v>
      </c>
      <c r="G4344" s="11">
        <v>5</v>
      </c>
      <c r="H4344" s="5">
        <v>0.24</v>
      </c>
      <c r="I4344" s="11">
        <v>549600</v>
      </c>
      <c r="J4344" s="20">
        <v>2748000</v>
      </c>
      <c r="K43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5" spans="1:11" hidden="1" x14ac:dyDescent="0.25">
      <c r="A4345" s="11"/>
      <c r="B4345" s="11"/>
      <c r="C4345" s="5"/>
      <c r="G4345" s="11"/>
      <c r="H4345" s="5"/>
      <c r="I4345" s="11"/>
      <c r="J4345" s="20"/>
      <c r="K43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6" spans="1:11" hidden="1" x14ac:dyDescent="0.25">
      <c r="A4346" s="11"/>
      <c r="B4346" s="11"/>
      <c r="C4346" s="5"/>
      <c r="G4346" s="11"/>
      <c r="H4346" s="5"/>
      <c r="I4346" s="11"/>
      <c r="J4346" s="20"/>
      <c r="K43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7" spans="1:11" x14ac:dyDescent="0.25">
      <c r="A4347" s="11" t="s">
        <v>416</v>
      </c>
      <c r="B4347" s="11" t="s">
        <v>459</v>
      </c>
      <c r="C4347" s="5" t="s">
        <v>40</v>
      </c>
      <c r="D4347">
        <v>270</v>
      </c>
      <c r="E4347">
        <v>6</v>
      </c>
      <c r="F4347">
        <v>15</v>
      </c>
      <c r="G4347" s="11">
        <v>4</v>
      </c>
      <c r="H4347" s="5">
        <v>9.7199999999999995E-2</v>
      </c>
      <c r="I4347" s="11">
        <v>476280</v>
      </c>
      <c r="J4347" s="20">
        <v>1905120</v>
      </c>
      <c r="K43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48" spans="1:11" hidden="1" x14ac:dyDescent="0.25">
      <c r="A4348" s="11"/>
      <c r="B4348" s="11"/>
      <c r="C4348" s="5"/>
      <c r="G4348" s="11"/>
      <c r="H4348" s="5"/>
      <c r="I4348" s="11"/>
      <c r="J4348" s="20"/>
      <c r="K43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49" spans="1:11" hidden="1" x14ac:dyDescent="0.25">
      <c r="A4349" s="11"/>
      <c r="B4349" s="11"/>
      <c r="C4349" s="5"/>
      <c r="G4349" s="11"/>
      <c r="H4349" s="5"/>
      <c r="I4349" s="11"/>
      <c r="J4349" s="20"/>
      <c r="K43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0" spans="1:11" x14ac:dyDescent="0.25">
      <c r="A4350" s="11" t="s">
        <v>416</v>
      </c>
      <c r="B4350" s="11" t="s">
        <v>476</v>
      </c>
      <c r="C4350" s="5" t="s">
        <v>62</v>
      </c>
      <c r="D4350">
        <v>400</v>
      </c>
      <c r="E4350">
        <v>3</v>
      </c>
      <c r="F4350">
        <v>20</v>
      </c>
      <c r="G4350" s="11">
        <v>5</v>
      </c>
      <c r="H4350" s="5">
        <v>0.12</v>
      </c>
      <c r="I4350" s="11">
        <v>242400</v>
      </c>
      <c r="J4350" s="20">
        <v>1212000</v>
      </c>
      <c r="K43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1" spans="1:11" hidden="1" x14ac:dyDescent="0.25">
      <c r="A4351" s="11"/>
      <c r="B4351" s="11"/>
      <c r="C4351" s="5"/>
      <c r="G4351" s="11"/>
      <c r="H4351" s="5"/>
      <c r="I4351" s="11"/>
      <c r="J4351" s="20"/>
      <c r="K43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2" spans="1:11" x14ac:dyDescent="0.25">
      <c r="A4352" s="11"/>
      <c r="B4352" s="11" t="s">
        <v>503</v>
      </c>
      <c r="C4352" s="5" t="s">
        <v>99</v>
      </c>
      <c r="D4352">
        <v>300</v>
      </c>
      <c r="E4352">
        <v>6</v>
      </c>
      <c r="F4352">
        <v>15</v>
      </c>
      <c r="G4352" s="11">
        <v>6</v>
      </c>
      <c r="H4352" s="5">
        <v>0.16200000000000001</v>
      </c>
      <c r="I4352" s="11">
        <v>272700</v>
      </c>
      <c r="J4352" s="20">
        <v>1636200</v>
      </c>
      <c r="K43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53" spans="1:11" hidden="1" x14ac:dyDescent="0.25">
      <c r="A4353" s="11"/>
      <c r="B4353" s="11"/>
      <c r="C4353" s="5"/>
      <c r="G4353" s="11"/>
      <c r="H4353" s="5"/>
      <c r="I4353" s="11"/>
      <c r="J4353" s="20"/>
      <c r="K43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4" spans="1:11" x14ac:dyDescent="0.25">
      <c r="A4354" s="11"/>
      <c r="B4354" s="11" t="s">
        <v>438</v>
      </c>
      <c r="C4354" s="5" t="s">
        <v>15</v>
      </c>
      <c r="D4354">
        <v>400</v>
      </c>
      <c r="E4354">
        <v>3</v>
      </c>
      <c r="F4354">
        <v>25</v>
      </c>
      <c r="G4354" s="11">
        <v>3</v>
      </c>
      <c r="H4354" s="5">
        <v>0.09</v>
      </c>
      <c r="I4354" s="11">
        <v>330000</v>
      </c>
      <c r="J4354" s="20">
        <v>990000</v>
      </c>
      <c r="K43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5" spans="1:11" hidden="1" x14ac:dyDescent="0.25">
      <c r="A4355" s="11"/>
      <c r="B4355" s="11"/>
      <c r="C4355" s="5"/>
      <c r="G4355" s="11"/>
      <c r="H4355" s="5"/>
      <c r="I4355" s="11"/>
      <c r="J4355" s="20"/>
      <c r="K43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6" spans="1:11" x14ac:dyDescent="0.25">
      <c r="A4356" s="11"/>
      <c r="B4356" s="11" t="s">
        <v>519</v>
      </c>
      <c r="C4356" s="5" t="s">
        <v>125</v>
      </c>
      <c r="D4356">
        <v>400</v>
      </c>
      <c r="E4356">
        <v>5</v>
      </c>
      <c r="F4356">
        <v>25</v>
      </c>
      <c r="G4356" s="11">
        <v>6</v>
      </c>
      <c r="H4356" s="5">
        <v>0.3</v>
      </c>
      <c r="I4356" s="11">
        <v>560000</v>
      </c>
      <c r="J4356" s="20">
        <v>3360000</v>
      </c>
      <c r="K43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357" spans="1:11" hidden="1" x14ac:dyDescent="0.25">
      <c r="A4357" s="11"/>
      <c r="B4357" s="11"/>
      <c r="C4357" s="5"/>
      <c r="G4357" s="11"/>
      <c r="H4357" s="5"/>
      <c r="I4357" s="11"/>
      <c r="J4357" s="20"/>
      <c r="K43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58" spans="1:11" x14ac:dyDescent="0.25">
      <c r="A4358" s="11"/>
      <c r="B4358" s="11" t="s">
        <v>491</v>
      </c>
      <c r="C4358" s="5" t="s">
        <v>83</v>
      </c>
      <c r="D4358">
        <v>450</v>
      </c>
      <c r="E4358">
        <v>6</v>
      </c>
      <c r="F4358">
        <v>15</v>
      </c>
      <c r="G4358" s="11">
        <v>2</v>
      </c>
      <c r="H4358" s="5">
        <v>8.1000000000000003E-2</v>
      </c>
      <c r="I4358" s="11">
        <v>429300</v>
      </c>
      <c r="J4358" s="20">
        <v>858600</v>
      </c>
      <c r="K43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59" spans="1:11" hidden="1" x14ac:dyDescent="0.25">
      <c r="A4359" s="11"/>
      <c r="B4359" s="11"/>
      <c r="C4359" s="5"/>
      <c r="G4359" s="11"/>
      <c r="H4359" s="5"/>
      <c r="I4359" s="11"/>
      <c r="J4359" s="20"/>
      <c r="K43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0" spans="1:11" hidden="1" x14ac:dyDescent="0.25">
      <c r="A4360" s="11"/>
      <c r="B4360" s="11"/>
      <c r="C4360" s="5"/>
      <c r="G4360" s="11"/>
      <c r="H4360" s="5"/>
      <c r="I4360" s="11"/>
      <c r="J4360" s="20"/>
      <c r="K43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1" spans="1:11" x14ac:dyDescent="0.25">
      <c r="A4361" s="11" t="s">
        <v>416</v>
      </c>
      <c r="B4361" s="11" t="s">
        <v>435</v>
      </c>
      <c r="C4361" s="5" t="s">
        <v>11</v>
      </c>
      <c r="D4361">
        <v>400</v>
      </c>
      <c r="E4361">
        <v>6</v>
      </c>
      <c r="F4361">
        <v>12</v>
      </c>
      <c r="G4361" s="11">
        <v>2</v>
      </c>
      <c r="H4361" s="5">
        <v>5.7599999999999998E-2</v>
      </c>
      <c r="I4361" s="11">
        <v>290880</v>
      </c>
      <c r="J4361" s="20">
        <v>581760</v>
      </c>
      <c r="K43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62" spans="1:11" hidden="1" x14ac:dyDescent="0.25">
      <c r="A4362" s="11"/>
      <c r="B4362" s="11"/>
      <c r="C4362" s="5"/>
      <c r="G4362" s="11"/>
      <c r="H4362" s="5"/>
      <c r="I4362" s="11"/>
      <c r="J4362" s="20"/>
      <c r="K43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3" spans="1:11" hidden="1" x14ac:dyDescent="0.25">
      <c r="A4363" s="11"/>
      <c r="B4363" s="11"/>
      <c r="C4363" s="5"/>
      <c r="G4363" s="11"/>
      <c r="H4363" s="5"/>
      <c r="I4363" s="11"/>
      <c r="J4363" s="20"/>
      <c r="K43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4" spans="1:11" x14ac:dyDescent="0.25">
      <c r="A4364" s="11" t="s">
        <v>416</v>
      </c>
      <c r="B4364" s="11" t="s">
        <v>526</v>
      </c>
      <c r="C4364" s="5" t="s">
        <v>139</v>
      </c>
      <c r="D4364">
        <v>300</v>
      </c>
      <c r="E4364">
        <v>6</v>
      </c>
      <c r="F4364">
        <v>15</v>
      </c>
      <c r="G4364" s="11">
        <v>30</v>
      </c>
      <c r="H4364" s="5">
        <v>0.81</v>
      </c>
      <c r="I4364" s="11">
        <v>540000</v>
      </c>
      <c r="J4364" s="20">
        <v>16200000</v>
      </c>
      <c r="K43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65" spans="1:11" hidden="1" x14ac:dyDescent="0.25">
      <c r="A4365" s="11"/>
      <c r="B4365" s="11"/>
      <c r="C4365" s="5"/>
      <c r="G4365" s="11"/>
      <c r="H4365" s="5"/>
      <c r="I4365" s="11"/>
      <c r="J4365" s="20"/>
      <c r="K43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6" spans="1:11" x14ac:dyDescent="0.25">
      <c r="A4366" s="11"/>
      <c r="B4366" s="11" t="s">
        <v>543</v>
      </c>
      <c r="C4366" s="5" t="s">
        <v>174</v>
      </c>
      <c r="D4366">
        <v>300</v>
      </c>
      <c r="E4366">
        <v>6</v>
      </c>
      <c r="F4366">
        <v>17</v>
      </c>
      <c r="G4366" s="11">
        <v>10</v>
      </c>
      <c r="H4366" s="5">
        <v>0.30599999999999999</v>
      </c>
      <c r="I4366" s="11">
        <v>630360</v>
      </c>
      <c r="J4366" s="20">
        <v>6303600</v>
      </c>
      <c r="K43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67" spans="1:11" hidden="1" x14ac:dyDescent="0.25">
      <c r="A4367" s="11"/>
      <c r="B4367" s="11"/>
      <c r="C4367" s="5"/>
      <c r="G4367" s="11"/>
      <c r="H4367" s="5"/>
      <c r="I4367" s="11"/>
      <c r="J4367" s="20"/>
      <c r="K43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8" spans="1:11" hidden="1" x14ac:dyDescent="0.25">
      <c r="A4368" s="11"/>
      <c r="B4368" s="11"/>
      <c r="C4368" s="5"/>
      <c r="G4368" s="11"/>
      <c r="H4368" s="5"/>
      <c r="I4368" s="11"/>
      <c r="J4368" s="20"/>
      <c r="K43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69" spans="1:11" x14ac:dyDescent="0.25">
      <c r="A4369" s="11" t="s">
        <v>417</v>
      </c>
      <c r="B4369" s="11" t="s">
        <v>438</v>
      </c>
      <c r="C4369" s="5" t="s">
        <v>15</v>
      </c>
      <c r="D4369">
        <v>400</v>
      </c>
      <c r="E4369">
        <v>3</v>
      </c>
      <c r="F4369">
        <v>25</v>
      </c>
      <c r="G4369" s="11">
        <v>1</v>
      </c>
      <c r="H4369" s="5">
        <v>0.03</v>
      </c>
      <c r="I4369" s="11">
        <v>330000</v>
      </c>
      <c r="J4369" s="20">
        <v>330000</v>
      </c>
      <c r="K43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0" spans="1:11" hidden="1" x14ac:dyDescent="0.25">
      <c r="A4370" s="11"/>
      <c r="B4370" s="11"/>
      <c r="C4370" s="5"/>
      <c r="G4370" s="11"/>
      <c r="H4370" s="5"/>
      <c r="I4370" s="11"/>
      <c r="J4370" s="20"/>
      <c r="K43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1" spans="1:11" x14ac:dyDescent="0.25">
      <c r="A4371" s="11"/>
      <c r="B4371" s="11" t="s">
        <v>471</v>
      </c>
      <c r="C4371" s="5" t="s">
        <v>56</v>
      </c>
      <c r="D4371">
        <v>500</v>
      </c>
      <c r="E4371">
        <v>5</v>
      </c>
      <c r="F4371">
        <v>15</v>
      </c>
      <c r="G4371" s="11">
        <v>22</v>
      </c>
      <c r="H4371" s="5">
        <v>0.82499999999999996</v>
      </c>
      <c r="I4371" s="11">
        <v>412500</v>
      </c>
      <c r="J4371" s="20">
        <v>9075000</v>
      </c>
      <c r="K43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72" spans="1:11" hidden="1" x14ac:dyDescent="0.25">
      <c r="A4372" s="11"/>
      <c r="B4372" s="11"/>
      <c r="C4372" s="5"/>
      <c r="G4372" s="11"/>
      <c r="H4372" s="5"/>
      <c r="I4372" s="11"/>
      <c r="J4372" s="20"/>
      <c r="K43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3" spans="1:11" x14ac:dyDescent="0.25">
      <c r="A4373" s="11"/>
      <c r="B4373" s="11" t="s">
        <v>569</v>
      </c>
      <c r="C4373" s="5" t="s">
        <v>260</v>
      </c>
      <c r="D4373">
        <v>450</v>
      </c>
      <c r="E4373">
        <v>4</v>
      </c>
      <c r="F4373">
        <v>30</v>
      </c>
      <c r="G4373" s="11">
        <v>6</v>
      </c>
      <c r="H4373" s="5">
        <v>0.32400000000000001</v>
      </c>
      <c r="I4373" s="11">
        <v>604800</v>
      </c>
      <c r="J4373" s="20">
        <v>3628800</v>
      </c>
      <c r="K43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4" spans="1:11" hidden="1" x14ac:dyDescent="0.25">
      <c r="A4374" s="11"/>
      <c r="B4374" s="11"/>
      <c r="C4374" s="5"/>
      <c r="G4374" s="11"/>
      <c r="H4374" s="5"/>
      <c r="I4374" s="11"/>
      <c r="J4374" s="20"/>
      <c r="K43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5" spans="1:11" x14ac:dyDescent="0.25">
      <c r="A4375" s="11"/>
      <c r="B4375" s="11" t="s">
        <v>595</v>
      </c>
      <c r="C4375" s="5" t="s">
        <v>378</v>
      </c>
      <c r="D4375">
        <v>300</v>
      </c>
      <c r="E4375">
        <v>4</v>
      </c>
      <c r="F4375">
        <v>30</v>
      </c>
      <c r="G4375" s="11">
        <v>6</v>
      </c>
      <c r="H4375" s="5">
        <v>0.216</v>
      </c>
      <c r="I4375" s="11">
        <v>403200</v>
      </c>
      <c r="J4375" s="20">
        <v>2419200</v>
      </c>
      <c r="K43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6" spans="1:11" hidden="1" x14ac:dyDescent="0.25">
      <c r="A4376" s="11"/>
      <c r="B4376" s="11"/>
      <c r="C4376" s="5"/>
      <c r="G4376" s="11"/>
      <c r="H4376" s="5"/>
      <c r="I4376" s="11"/>
      <c r="J4376" s="20"/>
      <c r="K43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7" spans="1:11" hidden="1" x14ac:dyDescent="0.25">
      <c r="A4377" s="11"/>
      <c r="B4377" s="11"/>
      <c r="C4377" s="5"/>
      <c r="G4377" s="11"/>
      <c r="H4377" s="5"/>
      <c r="I4377" s="11"/>
      <c r="J4377" s="20"/>
      <c r="K43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8" spans="1:11" x14ac:dyDescent="0.25">
      <c r="A4378" s="11" t="s">
        <v>417</v>
      </c>
      <c r="B4378" s="11" t="s">
        <v>484</v>
      </c>
      <c r="C4378" s="5" t="s">
        <v>72</v>
      </c>
      <c r="D4378">
        <v>500</v>
      </c>
      <c r="E4378">
        <v>3</v>
      </c>
      <c r="F4378">
        <v>30</v>
      </c>
      <c r="G4378" s="11">
        <v>5</v>
      </c>
      <c r="H4378" s="5">
        <v>0.22500000000000001</v>
      </c>
      <c r="I4378" s="11">
        <v>1044000</v>
      </c>
      <c r="J4378" s="20">
        <v>5220000</v>
      </c>
      <c r="K43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79" spans="1:11" hidden="1" x14ac:dyDescent="0.25">
      <c r="A4379" s="11"/>
      <c r="B4379" s="11"/>
      <c r="C4379" s="5"/>
      <c r="G4379" s="11"/>
      <c r="H4379" s="5"/>
      <c r="I4379" s="11"/>
      <c r="J4379" s="20"/>
      <c r="K43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0" spans="1:11" x14ac:dyDescent="0.25">
      <c r="A4380" s="11"/>
      <c r="B4380" s="11" t="s">
        <v>531</v>
      </c>
      <c r="C4380" s="5" t="s">
        <v>149</v>
      </c>
      <c r="D4380">
        <v>500</v>
      </c>
      <c r="E4380">
        <v>4</v>
      </c>
      <c r="F4380">
        <v>20</v>
      </c>
      <c r="G4380" s="11">
        <v>10</v>
      </c>
      <c r="H4380" s="5">
        <v>0.4</v>
      </c>
      <c r="I4380" s="11">
        <v>904000</v>
      </c>
      <c r="J4380" s="20">
        <v>9040000</v>
      </c>
      <c r="K43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1" spans="1:11" hidden="1" x14ac:dyDescent="0.25">
      <c r="A4381" s="11"/>
      <c r="B4381" s="11"/>
      <c r="C4381" s="5"/>
      <c r="G4381" s="11"/>
      <c r="H4381" s="5"/>
      <c r="I4381" s="11"/>
      <c r="J4381" s="20"/>
      <c r="K43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2" spans="1:11" x14ac:dyDescent="0.25">
      <c r="A4382" s="11"/>
      <c r="B4382" s="11" t="s">
        <v>534</v>
      </c>
      <c r="C4382" s="5" t="s">
        <v>153</v>
      </c>
      <c r="D4382">
        <v>500</v>
      </c>
      <c r="E4382">
        <v>4</v>
      </c>
      <c r="F4382">
        <v>25</v>
      </c>
      <c r="G4382" s="11">
        <v>10</v>
      </c>
      <c r="H4382" s="5">
        <v>0.5</v>
      </c>
      <c r="I4382" s="11">
        <v>1135000</v>
      </c>
      <c r="J4382" s="20">
        <v>11350000</v>
      </c>
      <c r="K43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3" spans="1:11" hidden="1" x14ac:dyDescent="0.25">
      <c r="A4383" s="11"/>
      <c r="B4383" s="11"/>
      <c r="C4383" s="5"/>
      <c r="G4383" s="11"/>
      <c r="H4383" s="5"/>
      <c r="I4383" s="11"/>
      <c r="J4383" s="20"/>
      <c r="K43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4" spans="1:11" hidden="1" x14ac:dyDescent="0.25">
      <c r="A4384" s="11"/>
      <c r="B4384" s="11"/>
      <c r="C4384" s="5"/>
      <c r="G4384" s="11"/>
      <c r="H4384" s="5"/>
      <c r="I4384" s="11"/>
      <c r="J4384" s="20"/>
      <c r="K43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5" spans="1:11" x14ac:dyDescent="0.25">
      <c r="A4385" s="11" t="s">
        <v>418</v>
      </c>
      <c r="B4385" s="11" t="s">
        <v>482</v>
      </c>
      <c r="C4385" s="5" t="s">
        <v>69</v>
      </c>
      <c r="D4385">
        <v>400</v>
      </c>
      <c r="E4385">
        <v>2</v>
      </c>
      <c r="F4385">
        <v>20</v>
      </c>
      <c r="G4385" s="11">
        <v>1</v>
      </c>
      <c r="H4385" s="5">
        <v>1.6E-2</v>
      </c>
      <c r="I4385" s="11">
        <v>382400</v>
      </c>
      <c r="J4385" s="20">
        <v>382400</v>
      </c>
      <c r="K43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6" spans="1:11" hidden="1" x14ac:dyDescent="0.25">
      <c r="A4386" s="11"/>
      <c r="B4386" s="11"/>
      <c r="C4386" s="5"/>
      <c r="G4386" s="11"/>
      <c r="H4386" s="5"/>
      <c r="I4386" s="11"/>
      <c r="J4386" s="20"/>
      <c r="K43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7" spans="1:11" hidden="1" x14ac:dyDescent="0.25">
      <c r="A4387" s="11"/>
      <c r="B4387" s="11"/>
      <c r="C4387" s="5"/>
      <c r="G4387" s="11"/>
      <c r="H4387" s="5"/>
      <c r="I4387" s="11"/>
      <c r="J4387" s="20"/>
      <c r="K43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8" spans="1:11" x14ac:dyDescent="0.25">
      <c r="A4388" s="11" t="s">
        <v>418</v>
      </c>
      <c r="B4388" s="11" t="s">
        <v>456</v>
      </c>
      <c r="C4388" s="5" t="s">
        <v>37</v>
      </c>
      <c r="D4388">
        <v>250</v>
      </c>
      <c r="E4388">
        <v>4</v>
      </c>
      <c r="F4388">
        <v>25</v>
      </c>
      <c r="G4388" s="11">
        <v>2</v>
      </c>
      <c r="H4388" s="5">
        <v>0.05</v>
      </c>
      <c r="I4388" s="11">
        <v>547500</v>
      </c>
      <c r="J4388" s="20">
        <v>1095000</v>
      </c>
      <c r="K43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89" spans="1:11" hidden="1" x14ac:dyDescent="0.25">
      <c r="A4389" s="11"/>
      <c r="B4389" s="11"/>
      <c r="C4389" s="5"/>
      <c r="G4389" s="11"/>
      <c r="H4389" s="5"/>
      <c r="I4389" s="11"/>
      <c r="J4389" s="20"/>
      <c r="K43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0" spans="1:11" x14ac:dyDescent="0.25">
      <c r="A4390" s="11"/>
      <c r="B4390" s="11" t="s">
        <v>533</v>
      </c>
      <c r="C4390" s="5" t="s">
        <v>152</v>
      </c>
      <c r="D4390">
        <v>400</v>
      </c>
      <c r="E4390">
        <v>3</v>
      </c>
      <c r="F4390">
        <v>20</v>
      </c>
      <c r="G4390" s="11">
        <v>2</v>
      </c>
      <c r="H4390" s="5">
        <v>4.8000000000000001E-2</v>
      </c>
      <c r="I4390" s="11">
        <v>523200</v>
      </c>
      <c r="J4390" s="20">
        <v>1046400</v>
      </c>
      <c r="K43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1" spans="1:11" hidden="1" x14ac:dyDescent="0.25">
      <c r="A4391" s="11"/>
      <c r="B4391" s="11"/>
      <c r="C4391" s="5"/>
      <c r="G4391" s="11"/>
      <c r="H4391" s="5"/>
      <c r="I4391" s="11"/>
      <c r="J4391" s="20"/>
      <c r="K43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2" spans="1:11" x14ac:dyDescent="0.25">
      <c r="A4392" s="11"/>
      <c r="B4392" s="11" t="s">
        <v>486</v>
      </c>
      <c r="C4392" s="5" t="s">
        <v>76</v>
      </c>
      <c r="D4392">
        <v>400</v>
      </c>
      <c r="E4392">
        <v>3</v>
      </c>
      <c r="F4392">
        <v>25</v>
      </c>
      <c r="G4392" s="11">
        <v>2</v>
      </c>
      <c r="H4392" s="5">
        <v>0.06</v>
      </c>
      <c r="I4392" s="11">
        <v>657000</v>
      </c>
      <c r="J4392" s="20">
        <v>1314000</v>
      </c>
      <c r="K43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3" spans="1:11" hidden="1" x14ac:dyDescent="0.25">
      <c r="A4393" s="11"/>
      <c r="B4393" s="11"/>
      <c r="C4393" s="5"/>
      <c r="G4393" s="11"/>
      <c r="H4393" s="5"/>
      <c r="I4393" s="11"/>
      <c r="J4393" s="20"/>
      <c r="K43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4" spans="1:11" x14ac:dyDescent="0.25">
      <c r="A4394" s="11"/>
      <c r="B4394" s="11" t="s">
        <v>505</v>
      </c>
      <c r="C4394" s="5" t="s">
        <v>101</v>
      </c>
      <c r="D4394">
        <v>500</v>
      </c>
      <c r="E4394">
        <v>6</v>
      </c>
      <c r="F4394">
        <v>12</v>
      </c>
      <c r="G4394" s="11">
        <v>1</v>
      </c>
      <c r="H4394" s="5">
        <v>3.5999999999999997E-2</v>
      </c>
      <c r="I4394" s="11">
        <v>741600</v>
      </c>
      <c r="J4394" s="20">
        <v>741600</v>
      </c>
      <c r="K43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95" spans="1:11" hidden="1" x14ac:dyDescent="0.25">
      <c r="A4395" s="11"/>
      <c r="B4395" s="11"/>
      <c r="C4395" s="5"/>
      <c r="G4395" s="11"/>
      <c r="H4395" s="5"/>
      <c r="I4395" s="11"/>
      <c r="J4395" s="20"/>
      <c r="K43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6" spans="1:11" x14ac:dyDescent="0.25">
      <c r="A4396" s="11"/>
      <c r="B4396" s="11" t="s">
        <v>451</v>
      </c>
      <c r="C4396" s="5" t="s">
        <v>30</v>
      </c>
      <c r="D4396">
        <v>90</v>
      </c>
      <c r="E4396">
        <v>6</v>
      </c>
      <c r="F4396">
        <v>15</v>
      </c>
      <c r="G4396" s="11">
        <v>10</v>
      </c>
      <c r="H4396" s="5">
        <v>8.1000000000000003E-2</v>
      </c>
      <c r="I4396" s="11">
        <v>147420</v>
      </c>
      <c r="J4396" s="20">
        <v>1474200</v>
      </c>
      <c r="K43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397" spans="1:11" hidden="1" x14ac:dyDescent="0.25">
      <c r="A4397" s="11"/>
      <c r="B4397" s="11"/>
      <c r="C4397" s="5"/>
      <c r="G4397" s="11"/>
      <c r="H4397" s="5"/>
      <c r="I4397" s="11"/>
      <c r="J4397" s="20"/>
      <c r="K43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8" spans="1:11" hidden="1" x14ac:dyDescent="0.25">
      <c r="A4398" s="11"/>
      <c r="B4398" s="11"/>
      <c r="C4398" s="5"/>
      <c r="G4398" s="11"/>
      <c r="H4398" s="5"/>
      <c r="I4398" s="11"/>
      <c r="J4398" s="20"/>
      <c r="K43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399" spans="1:11" x14ac:dyDescent="0.25">
      <c r="A4399" s="11" t="s">
        <v>418</v>
      </c>
      <c r="B4399" s="11" t="s">
        <v>460</v>
      </c>
      <c r="C4399" s="5" t="s">
        <v>41</v>
      </c>
      <c r="D4399">
        <v>500</v>
      </c>
      <c r="E4399">
        <v>5</v>
      </c>
      <c r="F4399">
        <v>20</v>
      </c>
      <c r="G4399" s="11">
        <v>1</v>
      </c>
      <c r="H4399" s="5">
        <v>0.05</v>
      </c>
      <c r="I4399" s="11">
        <v>1140000</v>
      </c>
      <c r="J4399" s="20">
        <v>1140000</v>
      </c>
      <c r="K43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400" spans="1:11" hidden="1" x14ac:dyDescent="0.25">
      <c r="A4400" s="11"/>
      <c r="B4400" s="11"/>
      <c r="C4400" s="5"/>
      <c r="G4400" s="11"/>
      <c r="H4400" s="5"/>
      <c r="I4400" s="11"/>
      <c r="J4400" s="20"/>
      <c r="K44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1" spans="1:11" x14ac:dyDescent="0.25">
      <c r="A4401" s="11"/>
      <c r="B4401" s="11" t="s">
        <v>468</v>
      </c>
      <c r="C4401" s="5" t="s">
        <v>51</v>
      </c>
      <c r="D4401">
        <v>500</v>
      </c>
      <c r="E4401">
        <v>6</v>
      </c>
      <c r="F4401">
        <v>15</v>
      </c>
      <c r="G4401" s="11">
        <v>2</v>
      </c>
      <c r="H4401" s="5">
        <v>0.09</v>
      </c>
      <c r="I4401" s="11">
        <v>940500</v>
      </c>
      <c r="J4401" s="20">
        <v>1881000</v>
      </c>
      <c r="K44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02" spans="1:11" hidden="1" x14ac:dyDescent="0.25">
      <c r="A4402" s="11"/>
      <c r="B4402" s="11"/>
      <c r="C4402" s="5"/>
      <c r="G4402" s="11"/>
      <c r="H4402" s="5"/>
      <c r="I4402" s="11"/>
      <c r="J4402" s="20"/>
      <c r="K44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3" spans="1:11" hidden="1" x14ac:dyDescent="0.25">
      <c r="A4403" s="11"/>
      <c r="B4403" s="11"/>
      <c r="C4403" s="5"/>
      <c r="G4403" s="11"/>
      <c r="H4403" s="5"/>
      <c r="I4403" s="11"/>
      <c r="J4403" s="20"/>
      <c r="K440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4" spans="1:11" x14ac:dyDescent="0.25">
      <c r="A4404" s="11" t="s">
        <v>418</v>
      </c>
      <c r="B4404" s="11" t="s">
        <v>578</v>
      </c>
      <c r="C4404" s="5" t="s">
        <v>287</v>
      </c>
      <c r="D4404">
        <v>500</v>
      </c>
      <c r="E4404">
        <v>2</v>
      </c>
      <c r="F4404">
        <v>20</v>
      </c>
      <c r="G4404" s="11">
        <v>3</v>
      </c>
      <c r="H4404" s="5">
        <v>0.06</v>
      </c>
      <c r="I4404" s="11">
        <v>478000</v>
      </c>
      <c r="J4404" s="20">
        <v>1434000</v>
      </c>
      <c r="K440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5" spans="1:11" hidden="1" x14ac:dyDescent="0.25">
      <c r="A4405" s="11"/>
      <c r="B4405" s="11"/>
      <c r="C4405" s="5"/>
      <c r="G4405" s="11"/>
      <c r="H4405" s="5"/>
      <c r="I4405" s="11"/>
      <c r="J4405" s="20"/>
      <c r="K440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6" spans="1:11" hidden="1" x14ac:dyDescent="0.25">
      <c r="A4406" s="11"/>
      <c r="B4406" s="11"/>
      <c r="C4406" s="5"/>
      <c r="G4406" s="11"/>
      <c r="H4406" s="5"/>
      <c r="I4406" s="11"/>
      <c r="J4406" s="20"/>
      <c r="K440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7" spans="1:11" x14ac:dyDescent="0.25">
      <c r="A4407" s="11" t="s">
        <v>418</v>
      </c>
      <c r="B4407" s="11" t="s">
        <v>442</v>
      </c>
      <c r="C4407" s="5" t="s">
        <v>20</v>
      </c>
      <c r="D4407">
        <v>400</v>
      </c>
      <c r="E4407">
        <v>6</v>
      </c>
      <c r="F4407">
        <v>12</v>
      </c>
      <c r="G4407" s="11">
        <v>4</v>
      </c>
      <c r="H4407" s="5">
        <v>0.1152</v>
      </c>
      <c r="I4407" s="11">
        <v>578880</v>
      </c>
      <c r="J4407" s="20">
        <v>2315520</v>
      </c>
      <c r="K440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08" spans="1:11" hidden="1" x14ac:dyDescent="0.25">
      <c r="A4408" s="11"/>
      <c r="B4408" s="11"/>
      <c r="C4408" s="5"/>
      <c r="G4408" s="11"/>
      <c r="H4408" s="5"/>
      <c r="I4408" s="11"/>
      <c r="J4408" s="20"/>
      <c r="K440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09" spans="1:11" hidden="1" x14ac:dyDescent="0.25">
      <c r="A4409" s="11"/>
      <c r="B4409" s="11"/>
      <c r="C4409" s="5"/>
      <c r="G4409" s="11"/>
      <c r="H4409" s="5"/>
      <c r="I4409" s="11"/>
      <c r="J4409" s="20"/>
      <c r="K440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0" spans="1:11" x14ac:dyDescent="0.25">
      <c r="A4410" s="11" t="s">
        <v>419</v>
      </c>
      <c r="B4410" s="11" t="s">
        <v>519</v>
      </c>
      <c r="C4410" s="5" t="s">
        <v>125</v>
      </c>
      <c r="D4410">
        <v>400</v>
      </c>
      <c r="E4410">
        <v>5</v>
      </c>
      <c r="F4410">
        <v>25</v>
      </c>
      <c r="G4410" s="11">
        <v>4</v>
      </c>
      <c r="H4410" s="5">
        <v>0.2</v>
      </c>
      <c r="I4410" s="11">
        <v>560000</v>
      </c>
      <c r="J4410" s="20">
        <v>2240000</v>
      </c>
      <c r="K441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411" spans="1:11" hidden="1" x14ac:dyDescent="0.25">
      <c r="A4411" s="11"/>
      <c r="B4411" s="11"/>
      <c r="C4411" s="5"/>
      <c r="G4411" s="11"/>
      <c r="H4411" s="5"/>
      <c r="I4411" s="11"/>
      <c r="J4411" s="20"/>
      <c r="K441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2" spans="1:11" hidden="1" x14ac:dyDescent="0.25">
      <c r="A4412" s="11"/>
      <c r="B4412" s="11"/>
      <c r="C4412" s="5"/>
      <c r="G4412" s="11"/>
      <c r="H4412" s="5"/>
      <c r="I4412" s="11"/>
      <c r="J4412" s="20"/>
      <c r="K441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3" spans="1:11" x14ac:dyDescent="0.25">
      <c r="A4413" s="11" t="s">
        <v>419</v>
      </c>
      <c r="B4413" s="11" t="s">
        <v>476</v>
      </c>
      <c r="C4413" s="5" t="s">
        <v>62</v>
      </c>
      <c r="D4413">
        <v>400</v>
      </c>
      <c r="E4413">
        <v>3</v>
      </c>
      <c r="F4413">
        <v>20</v>
      </c>
      <c r="G4413" s="11">
        <v>4</v>
      </c>
      <c r="H4413" s="5">
        <v>9.6000000000000002E-2</v>
      </c>
      <c r="I4413" s="11">
        <v>242400</v>
      </c>
      <c r="J4413" s="20">
        <v>969600</v>
      </c>
      <c r="K441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4" spans="1:11" hidden="1" x14ac:dyDescent="0.25">
      <c r="A4414" s="11"/>
      <c r="B4414" s="11"/>
      <c r="C4414" s="5"/>
      <c r="G4414" s="11"/>
      <c r="H4414" s="5"/>
      <c r="I4414" s="11"/>
      <c r="J4414" s="20"/>
      <c r="K441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5" spans="1:11" hidden="1" x14ac:dyDescent="0.25">
      <c r="A4415" s="11"/>
      <c r="B4415" s="11"/>
      <c r="C4415" s="5"/>
      <c r="G4415" s="11"/>
      <c r="H4415" s="5"/>
      <c r="I4415" s="11"/>
      <c r="J4415" s="20"/>
      <c r="K441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6" spans="1:11" x14ac:dyDescent="0.25">
      <c r="A4416" s="11" t="s">
        <v>419</v>
      </c>
      <c r="B4416" s="11" t="s">
        <v>503</v>
      </c>
      <c r="C4416" s="5" t="s">
        <v>99</v>
      </c>
      <c r="D4416">
        <v>300</v>
      </c>
      <c r="E4416">
        <v>6</v>
      </c>
      <c r="F4416">
        <v>15</v>
      </c>
      <c r="G4416" s="11">
        <v>29</v>
      </c>
      <c r="H4416" s="5">
        <v>0.78300000000000003</v>
      </c>
      <c r="I4416" s="11">
        <v>272700</v>
      </c>
      <c r="J4416" s="20">
        <v>7908300</v>
      </c>
      <c r="K441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17" spans="1:11" hidden="1" x14ac:dyDescent="0.25">
      <c r="A4417" s="11"/>
      <c r="B4417" s="11"/>
      <c r="C4417" s="5"/>
      <c r="G4417" s="11"/>
      <c r="H4417" s="5"/>
      <c r="I4417" s="11"/>
      <c r="J4417" s="20"/>
      <c r="K441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18" spans="1:11" x14ac:dyDescent="0.25">
      <c r="A4418" s="11"/>
      <c r="B4418" s="11" t="s">
        <v>481</v>
      </c>
      <c r="C4418" s="5" t="s">
        <v>68</v>
      </c>
      <c r="D4418">
        <v>400</v>
      </c>
      <c r="E4418">
        <v>6</v>
      </c>
      <c r="F4418">
        <v>15</v>
      </c>
      <c r="G4418" s="11">
        <v>4</v>
      </c>
      <c r="H4418" s="5">
        <v>0.14399999999999999</v>
      </c>
      <c r="I4418" s="11">
        <v>363600</v>
      </c>
      <c r="J4418" s="20">
        <v>1454400</v>
      </c>
      <c r="K441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19" spans="1:11" hidden="1" x14ac:dyDescent="0.25">
      <c r="A4419" s="11"/>
      <c r="B4419" s="11"/>
      <c r="C4419" s="5"/>
      <c r="G4419" s="11"/>
      <c r="H4419" s="5"/>
      <c r="I4419" s="11"/>
      <c r="J4419" s="20"/>
      <c r="K441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0" spans="1:11" hidden="1" x14ac:dyDescent="0.25">
      <c r="A4420" s="11"/>
      <c r="B4420" s="11"/>
      <c r="C4420" s="5"/>
      <c r="G4420" s="11"/>
      <c r="H4420" s="5"/>
      <c r="I4420" s="11"/>
      <c r="J4420" s="20"/>
      <c r="K442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1" spans="1:11" x14ac:dyDescent="0.25">
      <c r="A4421" s="11" t="s">
        <v>421</v>
      </c>
      <c r="B4421" s="11" t="s">
        <v>600</v>
      </c>
      <c r="C4421" s="5" t="s">
        <v>420</v>
      </c>
      <c r="D4421">
        <v>400</v>
      </c>
      <c r="E4421">
        <v>6</v>
      </c>
      <c r="G4421" s="11">
        <v>2</v>
      </c>
      <c r="H4421" s="5">
        <v>7.1999999999999995E-2</v>
      </c>
      <c r="I4421" s="11">
        <v>630000</v>
      </c>
      <c r="J4421" s="20">
        <v>1260000</v>
      </c>
      <c r="K442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22" spans="1:11" hidden="1" x14ac:dyDescent="0.25">
      <c r="A4422" s="11"/>
      <c r="B4422" s="11"/>
      <c r="C4422" s="5"/>
      <c r="G4422" s="11"/>
      <c r="H4422" s="5"/>
      <c r="I4422" s="11"/>
      <c r="J4422" s="20"/>
      <c r="K442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3" spans="1:11" x14ac:dyDescent="0.25">
      <c r="A4423" s="11"/>
      <c r="B4423" s="11" t="s">
        <v>601</v>
      </c>
      <c r="C4423" s="5" t="s">
        <v>422</v>
      </c>
      <c r="D4423">
        <v>500</v>
      </c>
      <c r="E4423">
        <v>6</v>
      </c>
      <c r="G4423" s="11">
        <v>2</v>
      </c>
      <c r="H4423" s="5">
        <v>0.09</v>
      </c>
      <c r="I4423" s="11">
        <v>796500</v>
      </c>
      <c r="J4423" s="20">
        <v>1593000</v>
      </c>
      <c r="K442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24" spans="1:11" hidden="1" x14ac:dyDescent="0.25">
      <c r="A4424" s="11"/>
      <c r="B4424" s="11"/>
      <c r="C4424" s="5"/>
      <c r="G4424" s="11"/>
      <c r="H4424" s="5"/>
      <c r="I4424" s="11"/>
      <c r="J4424" s="20"/>
      <c r="K442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5" spans="1:11" hidden="1" x14ac:dyDescent="0.25">
      <c r="A4425" s="11"/>
      <c r="B4425" s="11"/>
      <c r="C4425" s="5"/>
      <c r="G4425" s="11"/>
      <c r="H4425" s="5"/>
      <c r="I4425" s="11"/>
      <c r="J4425" s="20"/>
      <c r="K442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6" spans="1:11" x14ac:dyDescent="0.25">
      <c r="A4426" s="11" t="s">
        <v>423</v>
      </c>
      <c r="B4426" s="11" t="s">
        <v>439</v>
      </c>
      <c r="C4426" s="5" t="s">
        <v>16</v>
      </c>
      <c r="D4426">
        <v>400</v>
      </c>
      <c r="E4426">
        <v>3</v>
      </c>
      <c r="F4426">
        <v>30</v>
      </c>
      <c r="G4426" s="11">
        <v>20</v>
      </c>
      <c r="H4426" s="5">
        <v>0.72</v>
      </c>
      <c r="I4426" s="11">
        <v>403200</v>
      </c>
      <c r="J4426" s="20">
        <v>8064000</v>
      </c>
      <c r="K442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7" spans="1:11" hidden="1" x14ac:dyDescent="0.25">
      <c r="A4427" s="11"/>
      <c r="B4427" s="11"/>
      <c r="C4427" s="5"/>
      <c r="G4427" s="11"/>
      <c r="H4427" s="5"/>
      <c r="I4427" s="11"/>
      <c r="J4427" s="20"/>
      <c r="K442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8" spans="1:11" hidden="1" x14ac:dyDescent="0.25">
      <c r="A4428" s="11"/>
      <c r="B4428" s="11"/>
      <c r="C4428" s="5"/>
      <c r="G4428" s="11"/>
      <c r="H4428" s="5"/>
      <c r="I4428" s="11"/>
      <c r="J4428" s="20"/>
      <c r="K442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29" spans="1:11" x14ac:dyDescent="0.25">
      <c r="A4429" s="11" t="s">
        <v>424</v>
      </c>
      <c r="B4429" s="11" t="s">
        <v>558</v>
      </c>
      <c r="C4429" s="5" t="s">
        <v>207</v>
      </c>
      <c r="D4429">
        <v>400</v>
      </c>
      <c r="E4429">
        <v>2</v>
      </c>
      <c r="F4429">
        <v>25</v>
      </c>
      <c r="G4429" s="11">
        <v>7</v>
      </c>
      <c r="H4429" s="5">
        <v>0.14000000000000001</v>
      </c>
      <c r="I4429" s="11">
        <v>480000</v>
      </c>
      <c r="J4429" s="20">
        <v>3360000</v>
      </c>
      <c r="K442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0" spans="1:11" hidden="1" x14ac:dyDescent="0.25">
      <c r="A4430" s="11"/>
      <c r="B4430" s="11"/>
      <c r="C4430" s="5"/>
      <c r="G4430" s="11"/>
      <c r="H4430" s="5"/>
      <c r="I4430" s="11"/>
      <c r="J4430" s="20"/>
      <c r="K443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1" spans="1:11" x14ac:dyDescent="0.25">
      <c r="A4431" s="11"/>
      <c r="B4431" s="11" t="s">
        <v>582</v>
      </c>
      <c r="C4431" s="5" t="s">
        <v>304</v>
      </c>
      <c r="D4431">
        <v>400</v>
      </c>
      <c r="E4431">
        <v>2</v>
      </c>
      <c r="F4431">
        <v>30</v>
      </c>
      <c r="G4431" s="11">
        <v>10</v>
      </c>
      <c r="H4431" s="5">
        <v>0.24</v>
      </c>
      <c r="I4431" s="11">
        <v>588000</v>
      </c>
      <c r="J4431" s="20">
        <v>5880000</v>
      </c>
      <c r="K443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2" spans="1:11" hidden="1" x14ac:dyDescent="0.25">
      <c r="A4432" s="11"/>
      <c r="B4432" s="11"/>
      <c r="C4432" s="5"/>
      <c r="G4432" s="11"/>
      <c r="H4432" s="5"/>
      <c r="I4432" s="11"/>
      <c r="J4432" s="20"/>
      <c r="K443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3" spans="1:11" hidden="1" x14ac:dyDescent="0.25">
      <c r="A4433" s="11"/>
      <c r="B4433" s="11"/>
      <c r="C4433" s="5"/>
      <c r="G4433" s="11"/>
      <c r="H4433" s="5"/>
      <c r="I4433" s="11"/>
      <c r="J4433" s="20"/>
      <c r="K443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4" spans="1:11" x14ac:dyDescent="0.25">
      <c r="A4434" s="11" t="s">
        <v>424</v>
      </c>
      <c r="B4434" s="11" t="s">
        <v>602</v>
      </c>
      <c r="C4434" s="5" t="s">
        <v>425</v>
      </c>
      <c r="D4434">
        <v>400</v>
      </c>
      <c r="E4434">
        <v>15</v>
      </c>
      <c r="F4434">
        <v>40</v>
      </c>
      <c r="G4434" s="11">
        <v>1</v>
      </c>
      <c r="H4434" s="5">
        <v>0.24</v>
      </c>
      <c r="I4434" s="11">
        <v>5640000</v>
      </c>
      <c r="J4434" s="20">
        <v>5640000</v>
      </c>
      <c r="K443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435" spans="1:11" hidden="1" x14ac:dyDescent="0.25">
      <c r="A4435" s="11"/>
      <c r="B4435" s="11"/>
      <c r="C4435" s="5"/>
      <c r="G4435" s="11"/>
      <c r="H4435" s="5"/>
      <c r="I4435" s="11"/>
      <c r="J4435" s="20"/>
      <c r="K443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6" spans="1:11" hidden="1" x14ac:dyDescent="0.25">
      <c r="A4436" s="11"/>
      <c r="B4436" s="11"/>
      <c r="C4436" s="5"/>
      <c r="G4436" s="11"/>
      <c r="H4436" s="5"/>
      <c r="I4436" s="11"/>
      <c r="J4436" s="20"/>
      <c r="K443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7" spans="1:11" x14ac:dyDescent="0.25">
      <c r="A4437" s="11" t="s">
        <v>424</v>
      </c>
      <c r="B4437" s="11" t="s">
        <v>527</v>
      </c>
      <c r="C4437" s="5" t="s">
        <v>143</v>
      </c>
      <c r="D4437">
        <v>400</v>
      </c>
      <c r="E4437">
        <v>4</v>
      </c>
      <c r="F4437">
        <v>20</v>
      </c>
      <c r="G4437" s="11">
        <v>1</v>
      </c>
      <c r="H4437" s="5">
        <v>3.2000000000000001E-2</v>
      </c>
      <c r="I4437" s="11">
        <v>697600</v>
      </c>
      <c r="J4437" s="20">
        <v>697600</v>
      </c>
      <c r="K443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8" spans="1:11" hidden="1" x14ac:dyDescent="0.25">
      <c r="A4438" s="11"/>
      <c r="B4438" s="11"/>
      <c r="C4438" s="5"/>
      <c r="G4438" s="11"/>
      <c r="H4438" s="5"/>
      <c r="I4438" s="11"/>
      <c r="J4438" s="20"/>
      <c r="K443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39" spans="1:11" x14ac:dyDescent="0.25">
      <c r="A4439" s="11"/>
      <c r="B4439" s="11" t="s">
        <v>480</v>
      </c>
      <c r="C4439" s="5" t="s">
        <v>66</v>
      </c>
      <c r="D4439">
        <v>500</v>
      </c>
      <c r="E4439">
        <v>3</v>
      </c>
      <c r="F4439">
        <v>25</v>
      </c>
      <c r="G4439" s="11">
        <v>2</v>
      </c>
      <c r="H4439" s="5">
        <v>7.4999999999999997E-2</v>
      </c>
      <c r="I4439" s="11">
        <v>840000</v>
      </c>
      <c r="J4439" s="20">
        <v>1680000</v>
      </c>
      <c r="K443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0" spans="1:11" hidden="1" x14ac:dyDescent="0.25">
      <c r="A4440" s="11"/>
      <c r="B4440" s="11"/>
      <c r="C4440" s="5"/>
      <c r="G4440" s="11"/>
      <c r="H4440" s="5"/>
      <c r="I4440" s="11"/>
      <c r="J4440" s="20"/>
      <c r="K444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1" spans="1:11" x14ac:dyDescent="0.25">
      <c r="A4441" s="11"/>
      <c r="B4441" s="11" t="s">
        <v>488</v>
      </c>
      <c r="C4441" s="5" t="s">
        <v>78</v>
      </c>
      <c r="D4441">
        <v>300</v>
      </c>
      <c r="E4441">
        <v>4</v>
      </c>
      <c r="F4441">
        <v>20</v>
      </c>
      <c r="G4441" s="11">
        <v>1</v>
      </c>
      <c r="H4441" s="5">
        <v>2.4E-2</v>
      </c>
      <c r="I4441" s="11">
        <v>523200</v>
      </c>
      <c r="J4441" s="20">
        <v>523200</v>
      </c>
      <c r="K444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2" spans="1:11" hidden="1" x14ac:dyDescent="0.25">
      <c r="A4442" s="11"/>
      <c r="B4442" s="11"/>
      <c r="C4442" s="5"/>
      <c r="G4442" s="11"/>
      <c r="H4442" s="5"/>
      <c r="I4442" s="11"/>
      <c r="J4442" s="20"/>
      <c r="K444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3" spans="1:11" x14ac:dyDescent="0.25">
      <c r="A4443" s="11"/>
      <c r="B4443" s="11" t="s">
        <v>501</v>
      </c>
      <c r="C4443" s="5" t="s">
        <v>96</v>
      </c>
      <c r="D4443">
        <v>250</v>
      </c>
      <c r="E4443">
        <v>6</v>
      </c>
      <c r="F4443">
        <v>15</v>
      </c>
      <c r="G4443" s="11">
        <v>1</v>
      </c>
      <c r="H4443" s="5">
        <v>2.2499999999999999E-2</v>
      </c>
      <c r="I4443" s="11">
        <v>454500</v>
      </c>
      <c r="J4443" s="20">
        <v>454500</v>
      </c>
      <c r="K444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44" spans="1:11" hidden="1" x14ac:dyDescent="0.25">
      <c r="A4444" s="11"/>
      <c r="B4444" s="11"/>
      <c r="C4444" s="5"/>
      <c r="G4444" s="11"/>
      <c r="H4444" s="5"/>
      <c r="I4444" s="11"/>
      <c r="J4444" s="20"/>
      <c r="K444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5" spans="1:11" x14ac:dyDescent="0.25">
      <c r="A4445" s="11"/>
      <c r="B4445" s="11" t="s">
        <v>532</v>
      </c>
      <c r="C4445" s="5" t="s">
        <v>150</v>
      </c>
      <c r="D4445">
        <v>280</v>
      </c>
      <c r="E4445">
        <v>6</v>
      </c>
      <c r="F4445">
        <v>15</v>
      </c>
      <c r="G4445" s="11">
        <v>2</v>
      </c>
      <c r="H4445" s="5">
        <v>5.04E-2</v>
      </c>
      <c r="I4445" s="11">
        <v>493920</v>
      </c>
      <c r="J4445" s="20">
        <v>987840</v>
      </c>
      <c r="K444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46" spans="1:11" hidden="1" x14ac:dyDescent="0.25">
      <c r="A4446" s="11"/>
      <c r="B4446" s="11"/>
      <c r="C4446" s="5"/>
      <c r="G4446" s="11"/>
      <c r="H4446" s="5"/>
      <c r="I4446" s="11"/>
      <c r="J4446" s="20"/>
      <c r="K444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7" spans="1:11" hidden="1" x14ac:dyDescent="0.25">
      <c r="A4447" s="11"/>
      <c r="B4447" s="11"/>
      <c r="C4447" s="5"/>
      <c r="G4447" s="11"/>
      <c r="H4447" s="5"/>
      <c r="I4447" s="11"/>
      <c r="J4447" s="20"/>
      <c r="K444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48" spans="1:11" x14ac:dyDescent="0.25">
      <c r="A4448" s="11" t="s">
        <v>426</v>
      </c>
      <c r="B4448" s="11" t="s">
        <v>477</v>
      </c>
      <c r="C4448" s="5" t="s">
        <v>63</v>
      </c>
      <c r="D4448">
        <v>100</v>
      </c>
      <c r="E4448">
        <v>6</v>
      </c>
      <c r="F4448">
        <v>15</v>
      </c>
      <c r="G4448" s="11">
        <v>1</v>
      </c>
      <c r="H4448" s="5">
        <v>8.9999999999999993E-3</v>
      </c>
      <c r="I4448" s="11">
        <v>163800</v>
      </c>
      <c r="J4448" s="20">
        <v>163800</v>
      </c>
      <c r="K444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49" spans="1:11" hidden="1" x14ac:dyDescent="0.25">
      <c r="A4449" s="11"/>
      <c r="B4449" s="11"/>
      <c r="C4449" s="5"/>
      <c r="G4449" s="11"/>
      <c r="H4449" s="5"/>
      <c r="I4449" s="11"/>
      <c r="J4449" s="20"/>
      <c r="K444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0" spans="1:11" x14ac:dyDescent="0.25">
      <c r="A4450" s="11"/>
      <c r="B4450" s="11" t="s">
        <v>478</v>
      </c>
      <c r="C4450" s="5" t="s">
        <v>64</v>
      </c>
      <c r="D4450">
        <v>180</v>
      </c>
      <c r="E4450">
        <v>6</v>
      </c>
      <c r="F4450">
        <v>15</v>
      </c>
      <c r="G4450" s="11">
        <v>6</v>
      </c>
      <c r="H4450" s="5">
        <v>9.7199999999999995E-2</v>
      </c>
      <c r="I4450" s="11">
        <v>294840</v>
      </c>
      <c r="J4450" s="20">
        <v>1769040</v>
      </c>
      <c r="K445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51" spans="1:11" hidden="1" x14ac:dyDescent="0.25">
      <c r="A4451" s="11"/>
      <c r="B4451" s="11"/>
      <c r="C4451" s="5"/>
      <c r="G4451" s="11"/>
      <c r="H4451" s="5"/>
      <c r="I4451" s="11"/>
      <c r="J4451" s="20"/>
      <c r="K445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2" spans="1:11" x14ac:dyDescent="0.25">
      <c r="A4452" s="11"/>
      <c r="B4452" s="11" t="s">
        <v>441</v>
      </c>
      <c r="C4452" s="5" t="s">
        <v>19</v>
      </c>
      <c r="D4452">
        <v>230</v>
      </c>
      <c r="E4452">
        <v>6</v>
      </c>
      <c r="F4452">
        <v>15</v>
      </c>
      <c r="G4452" s="11">
        <v>4</v>
      </c>
      <c r="H4452" s="5">
        <v>8.2799999999999999E-2</v>
      </c>
      <c r="I4452" s="11">
        <v>405720</v>
      </c>
      <c r="J4452" s="20">
        <v>1622880</v>
      </c>
      <c r="K445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53" spans="1:11" hidden="1" x14ac:dyDescent="0.25">
      <c r="A4453" s="11"/>
      <c r="B4453" s="11"/>
      <c r="C4453" s="5"/>
      <c r="G4453" s="11"/>
      <c r="H4453" s="5"/>
      <c r="I4453" s="11"/>
      <c r="J4453" s="20"/>
      <c r="K445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4" spans="1:11" x14ac:dyDescent="0.25">
      <c r="A4454" s="11"/>
      <c r="B4454" s="11" t="s">
        <v>451</v>
      </c>
      <c r="C4454" s="5" t="s">
        <v>30</v>
      </c>
      <c r="D4454">
        <v>90</v>
      </c>
      <c r="E4454">
        <v>6</v>
      </c>
      <c r="F4454">
        <v>15</v>
      </c>
      <c r="G4454" s="11">
        <v>6</v>
      </c>
      <c r="H4454" s="5">
        <v>4.8599999999999997E-2</v>
      </c>
      <c r="I4454" s="11">
        <v>147420</v>
      </c>
      <c r="J4454" s="20">
        <v>884520</v>
      </c>
      <c r="K445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55" spans="1:11" hidden="1" x14ac:dyDescent="0.25">
      <c r="A4455" s="11"/>
      <c r="B4455" s="11"/>
      <c r="C4455" s="5"/>
      <c r="G4455" s="11"/>
      <c r="H4455" s="5"/>
      <c r="I4455" s="11"/>
      <c r="J4455" s="20"/>
      <c r="K445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6" spans="1:11" hidden="1" x14ac:dyDescent="0.25">
      <c r="A4456" s="11"/>
      <c r="B4456" s="11"/>
      <c r="C4456" s="5"/>
      <c r="G4456" s="11"/>
      <c r="H4456" s="5"/>
      <c r="I4456" s="11"/>
      <c r="J4456" s="20"/>
      <c r="K445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7" spans="1:11" x14ac:dyDescent="0.25">
      <c r="A4457" s="11" t="s">
        <v>427</v>
      </c>
      <c r="B4457" s="11" t="s">
        <v>553</v>
      </c>
      <c r="C4457" s="5" t="s">
        <v>194</v>
      </c>
      <c r="D4457">
        <v>400</v>
      </c>
      <c r="E4457">
        <v>3</v>
      </c>
      <c r="F4457">
        <v>30</v>
      </c>
      <c r="G4457" s="11">
        <v>2</v>
      </c>
      <c r="H4457" s="5">
        <v>7.1999999999999995E-2</v>
      </c>
      <c r="I4457" s="11">
        <v>298800</v>
      </c>
      <c r="J4457" s="20">
        <v>597600</v>
      </c>
      <c r="K445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8" spans="1:11" hidden="1" x14ac:dyDescent="0.25">
      <c r="A4458" s="11"/>
      <c r="B4458" s="11"/>
      <c r="C4458" s="5"/>
      <c r="G4458" s="11"/>
      <c r="H4458" s="5"/>
      <c r="I4458" s="11"/>
      <c r="J4458" s="20"/>
      <c r="K445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59" spans="1:11" hidden="1" x14ac:dyDescent="0.25">
      <c r="A4459" s="11"/>
      <c r="B4459" s="11"/>
      <c r="C4459" s="5"/>
      <c r="G4459" s="11"/>
      <c r="H4459" s="5"/>
      <c r="I4459" s="11"/>
      <c r="J4459" s="20"/>
      <c r="K445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0" spans="1:11" x14ac:dyDescent="0.25">
      <c r="A4460" s="11" t="s">
        <v>427</v>
      </c>
      <c r="B4460" s="11" t="s">
        <v>560</v>
      </c>
      <c r="C4460" s="5" t="s">
        <v>214</v>
      </c>
      <c r="D4460">
        <v>400</v>
      </c>
      <c r="E4460">
        <v>3</v>
      </c>
      <c r="F4460">
        <v>25</v>
      </c>
      <c r="G4460" s="11">
        <v>7</v>
      </c>
      <c r="H4460" s="5">
        <v>0.21</v>
      </c>
      <c r="I4460" s="11">
        <v>234000</v>
      </c>
      <c r="J4460" s="20">
        <v>1638000</v>
      </c>
      <c r="K446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1" spans="1:11" hidden="1" x14ac:dyDescent="0.25">
      <c r="A4461" s="11"/>
      <c r="B4461" s="11"/>
      <c r="C4461" s="5"/>
      <c r="G4461" s="11"/>
      <c r="H4461" s="5"/>
      <c r="I4461" s="11"/>
      <c r="J4461" s="20"/>
      <c r="K446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2" spans="1:11" hidden="1" x14ac:dyDescent="0.25">
      <c r="A4462" s="11"/>
      <c r="B4462" s="11"/>
      <c r="C4462" s="5"/>
      <c r="G4462" s="11"/>
      <c r="H4462" s="5"/>
      <c r="I4462" s="11"/>
      <c r="J4462" s="20"/>
      <c r="K446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3" spans="1:11" x14ac:dyDescent="0.25">
      <c r="A4463" s="11" t="s">
        <v>427</v>
      </c>
      <c r="B4463" s="11" t="s">
        <v>482</v>
      </c>
      <c r="C4463" s="5" t="s">
        <v>69</v>
      </c>
      <c r="D4463">
        <v>400</v>
      </c>
      <c r="E4463">
        <v>2</v>
      </c>
      <c r="F4463">
        <v>20</v>
      </c>
      <c r="G4463" s="11">
        <v>4</v>
      </c>
      <c r="H4463" s="5">
        <v>6.4000000000000001E-2</v>
      </c>
      <c r="I4463" s="11">
        <v>382400</v>
      </c>
      <c r="J4463" s="20">
        <v>1529600</v>
      </c>
      <c r="K446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4" spans="1:11" hidden="1" x14ac:dyDescent="0.25">
      <c r="A4464" s="11"/>
      <c r="B4464" s="11"/>
      <c r="C4464" s="5"/>
      <c r="G4464" s="11"/>
      <c r="H4464" s="5"/>
      <c r="I4464" s="11"/>
      <c r="J4464" s="20"/>
      <c r="K446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5" spans="1:11" hidden="1" x14ac:dyDescent="0.25">
      <c r="A4465" s="11"/>
      <c r="B4465" s="11"/>
      <c r="C4465" s="5"/>
      <c r="G4465" s="11"/>
      <c r="H4465" s="5"/>
      <c r="I4465" s="11"/>
      <c r="J4465" s="20"/>
      <c r="K446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6" spans="1:11" x14ac:dyDescent="0.25">
      <c r="A4466" s="11" t="s">
        <v>427</v>
      </c>
      <c r="B4466" s="11" t="s">
        <v>456</v>
      </c>
      <c r="C4466" s="5" t="s">
        <v>37</v>
      </c>
      <c r="D4466">
        <v>250</v>
      </c>
      <c r="E4466">
        <v>4</v>
      </c>
      <c r="F4466">
        <v>25</v>
      </c>
      <c r="G4466" s="11">
        <v>2</v>
      </c>
      <c r="H4466" s="5">
        <v>0.05</v>
      </c>
      <c r="I4466" s="11">
        <v>547500</v>
      </c>
      <c r="J4466" s="20">
        <v>1095000</v>
      </c>
      <c r="K446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7" spans="1:11" hidden="1" x14ac:dyDescent="0.25">
      <c r="A4467" s="11"/>
      <c r="B4467" s="11"/>
      <c r="C4467" s="5"/>
      <c r="G4467" s="11"/>
      <c r="H4467" s="5"/>
      <c r="I4467" s="11"/>
      <c r="J4467" s="20"/>
      <c r="K446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8" spans="1:11" x14ac:dyDescent="0.25">
      <c r="A4468" s="11"/>
      <c r="B4468" s="11" t="s">
        <v>486</v>
      </c>
      <c r="C4468" s="5" t="s">
        <v>76</v>
      </c>
      <c r="D4468">
        <v>400</v>
      </c>
      <c r="E4468">
        <v>3</v>
      </c>
      <c r="F4468">
        <v>25</v>
      </c>
      <c r="G4468" s="11">
        <v>1</v>
      </c>
      <c r="H4468" s="5">
        <v>0.03</v>
      </c>
      <c r="I4468" s="11">
        <v>657000</v>
      </c>
      <c r="J4468" s="20">
        <v>657000</v>
      </c>
      <c r="K446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69" spans="1:11" hidden="1" x14ac:dyDescent="0.25">
      <c r="A4469" s="11"/>
      <c r="B4469" s="11"/>
      <c r="C4469" s="5"/>
      <c r="G4469" s="11"/>
      <c r="H4469" s="5"/>
      <c r="I4469" s="11"/>
      <c r="J4469" s="20"/>
      <c r="K446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0" spans="1:11" x14ac:dyDescent="0.25">
      <c r="A4470" s="11"/>
      <c r="B4470" s="11" t="s">
        <v>541</v>
      </c>
      <c r="C4470" s="5" t="s">
        <v>167</v>
      </c>
      <c r="D4470">
        <v>110</v>
      </c>
      <c r="E4470">
        <v>6</v>
      </c>
      <c r="F4470">
        <v>15</v>
      </c>
      <c r="G4470" s="11">
        <v>4</v>
      </c>
      <c r="H4470" s="5">
        <v>3.9600000000000003E-2</v>
      </c>
      <c r="I4470" s="11">
        <v>180180</v>
      </c>
      <c r="J4470" s="20">
        <v>720720</v>
      </c>
      <c r="K447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71" spans="1:11" hidden="1" x14ac:dyDescent="0.25">
      <c r="A4471" s="11"/>
      <c r="B4471" s="11"/>
      <c r="C4471" s="5"/>
      <c r="G4471" s="11"/>
      <c r="H4471" s="5"/>
      <c r="I4471" s="11"/>
      <c r="J4471" s="20"/>
      <c r="K447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2" spans="1:11" hidden="1" x14ac:dyDescent="0.25">
      <c r="A4472" s="11"/>
      <c r="B4472" s="11"/>
      <c r="C4472" s="5"/>
      <c r="G4472" s="11"/>
      <c r="H4472" s="5"/>
      <c r="I4472" s="11"/>
      <c r="J4472" s="20"/>
      <c r="K447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3" spans="1:11" x14ac:dyDescent="0.25">
      <c r="A4473" s="11" t="s">
        <v>428</v>
      </c>
      <c r="B4473" s="11" t="s">
        <v>575</v>
      </c>
      <c r="C4473" s="5" t="s">
        <v>272</v>
      </c>
      <c r="D4473">
        <v>400</v>
      </c>
      <c r="E4473">
        <v>6</v>
      </c>
      <c r="F4473">
        <v>12</v>
      </c>
      <c r="G4473" s="11">
        <v>1</v>
      </c>
      <c r="H4473" s="5">
        <v>2.8799999999999999E-2</v>
      </c>
      <c r="I4473" s="11">
        <v>195840</v>
      </c>
      <c r="J4473" s="20">
        <v>195840</v>
      </c>
      <c r="K447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74" spans="1:11" hidden="1" x14ac:dyDescent="0.25">
      <c r="A4474" s="11"/>
      <c r="B4474" s="11"/>
      <c r="C4474" s="5"/>
      <c r="G4474" s="11"/>
      <c r="H4474" s="5"/>
      <c r="I4474" s="11"/>
      <c r="J4474" s="20"/>
      <c r="K447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5" spans="1:11" x14ac:dyDescent="0.25">
      <c r="A4475" s="11"/>
      <c r="B4475" s="11" t="s">
        <v>476</v>
      </c>
      <c r="C4475" s="5" t="s">
        <v>62</v>
      </c>
      <c r="D4475">
        <v>400</v>
      </c>
      <c r="E4475">
        <v>3</v>
      </c>
      <c r="F4475">
        <v>20</v>
      </c>
      <c r="G4475" s="11">
        <v>4</v>
      </c>
      <c r="H4475" s="5">
        <v>9.6000000000000002E-2</v>
      </c>
      <c r="I4475" s="11">
        <v>242400</v>
      </c>
      <c r="J4475" s="20">
        <v>969600</v>
      </c>
      <c r="K447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6" spans="1:11" hidden="1" x14ac:dyDescent="0.25">
      <c r="A4476" s="11"/>
      <c r="B4476" s="11"/>
      <c r="C4476" s="5"/>
      <c r="G4476" s="11"/>
      <c r="H4476" s="5"/>
      <c r="I4476" s="11"/>
      <c r="J4476" s="20"/>
      <c r="K447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7" spans="1:11" hidden="1" x14ac:dyDescent="0.25">
      <c r="A4477" s="11"/>
      <c r="B4477" s="11"/>
      <c r="C4477" s="5"/>
      <c r="G4477" s="11"/>
      <c r="H4477" s="5"/>
      <c r="I4477" s="11"/>
      <c r="J4477" s="20"/>
      <c r="K447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78" spans="1:11" x14ac:dyDescent="0.25">
      <c r="A4478" s="11" t="s">
        <v>428</v>
      </c>
      <c r="B4478" s="11" t="s">
        <v>489</v>
      </c>
      <c r="C4478" s="5" t="s">
        <v>80</v>
      </c>
      <c r="D4478">
        <v>400</v>
      </c>
      <c r="E4478">
        <v>5</v>
      </c>
      <c r="F4478">
        <v>20</v>
      </c>
      <c r="G4478" s="11">
        <v>1</v>
      </c>
      <c r="H4478" s="5">
        <v>0.04</v>
      </c>
      <c r="I4478" s="11">
        <v>880000</v>
      </c>
      <c r="J4478" s="20">
        <v>880000</v>
      </c>
      <c r="K447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Balken</v>
      </c>
    </row>
    <row r="4479" spans="1:11" hidden="1" x14ac:dyDescent="0.25">
      <c r="A4479" s="11"/>
      <c r="B4479" s="11"/>
      <c r="C4479" s="5"/>
      <c r="G4479" s="11"/>
      <c r="H4479" s="5"/>
      <c r="I4479" s="11"/>
      <c r="J4479" s="20"/>
      <c r="K447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0" spans="1:11" x14ac:dyDescent="0.25">
      <c r="A4480" s="11"/>
      <c r="B4480" s="11" t="s">
        <v>484</v>
      </c>
      <c r="C4480" s="5" t="s">
        <v>72</v>
      </c>
      <c r="D4480">
        <v>500</v>
      </c>
      <c r="E4480">
        <v>3</v>
      </c>
      <c r="F4480">
        <v>30</v>
      </c>
      <c r="G4480" s="11">
        <v>4</v>
      </c>
      <c r="H4480" s="5">
        <v>0.18</v>
      </c>
      <c r="I4480" s="11">
        <v>1030500</v>
      </c>
      <c r="J4480" s="20">
        <v>4122000</v>
      </c>
      <c r="K448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1" spans="1:11" hidden="1" x14ac:dyDescent="0.25">
      <c r="A4481" s="11"/>
      <c r="B4481" s="11"/>
      <c r="C4481" s="5"/>
      <c r="G4481" s="11"/>
      <c r="H4481" s="5"/>
      <c r="I4481" s="11"/>
      <c r="J4481" s="20"/>
      <c r="K448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2" spans="1:11" x14ac:dyDescent="0.25">
      <c r="A4482" s="11"/>
      <c r="B4482" s="11" t="s">
        <v>547</v>
      </c>
      <c r="C4482" s="5" t="s">
        <v>182</v>
      </c>
      <c r="D4482">
        <v>120</v>
      </c>
      <c r="E4482">
        <v>6</v>
      </c>
      <c r="F4482">
        <v>15</v>
      </c>
      <c r="G4482" s="11">
        <v>1</v>
      </c>
      <c r="H4482" s="5">
        <v>1.0800000000000001E-2</v>
      </c>
      <c r="I4482" s="11">
        <v>196560</v>
      </c>
      <c r="J4482" s="20">
        <v>196560</v>
      </c>
      <c r="K448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83" spans="1:11" hidden="1" x14ac:dyDescent="0.25">
      <c r="A4483" s="11"/>
      <c r="B4483" s="11"/>
      <c r="C4483" s="5"/>
      <c r="G4483" s="11"/>
      <c r="H4483" s="5"/>
      <c r="I4483" s="11"/>
      <c r="J4483" s="20"/>
      <c r="K448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4" spans="1:11" x14ac:dyDescent="0.25">
      <c r="A4484" s="11"/>
      <c r="B4484" s="11" t="s">
        <v>548</v>
      </c>
      <c r="C4484" s="5" t="s">
        <v>183</v>
      </c>
      <c r="D4484">
        <v>290</v>
      </c>
      <c r="E4484">
        <v>6</v>
      </c>
      <c r="F4484">
        <v>15</v>
      </c>
      <c r="G4484" s="11">
        <v>2</v>
      </c>
      <c r="H4484" s="5">
        <v>5.2200000000000003E-2</v>
      </c>
      <c r="I4484" s="11">
        <v>511560</v>
      </c>
      <c r="J4484" s="20">
        <v>1023120</v>
      </c>
      <c r="K448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85" spans="1:11" hidden="1" x14ac:dyDescent="0.25">
      <c r="A4485" s="11"/>
      <c r="B4485" s="11"/>
      <c r="C4485" s="5"/>
      <c r="G4485" s="11"/>
      <c r="H4485" s="5"/>
      <c r="I4485" s="11"/>
      <c r="J4485" s="20"/>
      <c r="K448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6" spans="1:11" x14ac:dyDescent="0.25">
      <c r="A4486" s="11"/>
      <c r="B4486" s="11" t="s">
        <v>578</v>
      </c>
      <c r="C4486" s="5" t="s">
        <v>287</v>
      </c>
      <c r="D4486">
        <v>500</v>
      </c>
      <c r="E4486">
        <v>2</v>
      </c>
      <c r="F4486">
        <v>20</v>
      </c>
      <c r="G4486" s="11">
        <v>2</v>
      </c>
      <c r="H4486" s="5">
        <v>0.04</v>
      </c>
      <c r="I4486" s="11">
        <v>478000</v>
      </c>
      <c r="J4486" s="20">
        <v>956000</v>
      </c>
      <c r="K448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7" spans="1:11" hidden="1" x14ac:dyDescent="0.25">
      <c r="A4487" s="11"/>
      <c r="B4487" s="11"/>
      <c r="C4487" s="5"/>
      <c r="G4487" s="11"/>
      <c r="H4487" s="5"/>
      <c r="I4487" s="11"/>
      <c r="J4487" s="20"/>
      <c r="K448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8" spans="1:11" hidden="1" x14ac:dyDescent="0.25">
      <c r="A4488" s="11"/>
      <c r="B4488" s="11"/>
      <c r="C4488" s="5"/>
      <c r="G4488" s="11"/>
      <c r="H4488" s="5"/>
      <c r="I4488" s="11"/>
      <c r="J4488" s="20"/>
      <c r="K448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89" spans="1:11" x14ac:dyDescent="0.25">
      <c r="A4489" s="11" t="s">
        <v>429</v>
      </c>
      <c r="B4489" s="11" t="s">
        <v>468</v>
      </c>
      <c r="C4489" s="5" t="s">
        <v>51</v>
      </c>
      <c r="D4489">
        <v>500</v>
      </c>
      <c r="E4489">
        <v>6</v>
      </c>
      <c r="F4489">
        <v>15</v>
      </c>
      <c r="G4489" s="11">
        <v>2</v>
      </c>
      <c r="H4489" s="5">
        <v>0.09</v>
      </c>
      <c r="I4489" s="11">
        <v>927000</v>
      </c>
      <c r="J4489" s="20">
        <v>1854000</v>
      </c>
      <c r="K448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90" spans="1:11" hidden="1" x14ac:dyDescent="0.25">
      <c r="A4490" s="11"/>
      <c r="B4490" s="11"/>
      <c r="C4490" s="5"/>
      <c r="G4490" s="11"/>
      <c r="H4490" s="5"/>
      <c r="I4490" s="11"/>
      <c r="J4490" s="20"/>
      <c r="K449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1" spans="1:11" hidden="1" x14ac:dyDescent="0.25">
      <c r="A4491" s="11"/>
      <c r="B4491" s="11"/>
      <c r="C4491" s="5"/>
      <c r="G4491" s="11"/>
      <c r="H4491" s="5"/>
      <c r="I4491" s="11"/>
      <c r="J4491" s="20"/>
      <c r="K449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2" spans="1:11" x14ac:dyDescent="0.25">
      <c r="A4492" s="11" t="s">
        <v>429</v>
      </c>
      <c r="B4492" s="11" t="s">
        <v>575</v>
      </c>
      <c r="C4492" s="5" t="s">
        <v>272</v>
      </c>
      <c r="D4492">
        <v>400</v>
      </c>
      <c r="E4492">
        <v>6</v>
      </c>
      <c r="F4492">
        <v>12</v>
      </c>
      <c r="G4492" s="11">
        <v>1</v>
      </c>
      <c r="H4492" s="5">
        <v>2.8799999999999999E-2</v>
      </c>
      <c r="I4492" s="11">
        <v>195840</v>
      </c>
      <c r="J4492" s="20">
        <v>195840</v>
      </c>
      <c r="K449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93" spans="1:11" hidden="1" x14ac:dyDescent="0.25">
      <c r="A4493" s="11"/>
      <c r="B4493" s="11"/>
      <c r="C4493" s="5"/>
      <c r="G4493" s="11"/>
      <c r="H4493" s="5"/>
      <c r="I4493" s="11"/>
      <c r="J4493" s="20"/>
      <c r="K4493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4" spans="1:11" hidden="1" x14ac:dyDescent="0.25">
      <c r="A4494" s="11"/>
      <c r="B4494" s="11"/>
      <c r="C4494" s="5"/>
      <c r="G4494" s="11"/>
      <c r="H4494" s="5"/>
      <c r="I4494" s="11"/>
      <c r="J4494" s="20"/>
      <c r="K4494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5" spans="1:11" x14ac:dyDescent="0.25">
      <c r="A4495" s="11" t="s">
        <v>429</v>
      </c>
      <c r="B4495" s="11" t="s">
        <v>540</v>
      </c>
      <c r="C4495" s="5" t="s">
        <v>166</v>
      </c>
      <c r="D4495">
        <v>250</v>
      </c>
      <c r="E4495">
        <v>4</v>
      </c>
      <c r="F4495">
        <v>20</v>
      </c>
      <c r="G4495" s="11">
        <v>9</v>
      </c>
      <c r="H4495" s="5">
        <v>0.18</v>
      </c>
      <c r="I4495" s="11">
        <v>436000</v>
      </c>
      <c r="J4495" s="20">
        <v>3924000</v>
      </c>
      <c r="K4495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6" spans="1:11" hidden="1" x14ac:dyDescent="0.25">
      <c r="A4496" s="11"/>
      <c r="B4496" s="11"/>
      <c r="C4496" s="5"/>
      <c r="G4496" s="11"/>
      <c r="H4496" s="5"/>
      <c r="I4496" s="11"/>
      <c r="J4496" s="20"/>
      <c r="K4496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7" spans="1:11" x14ac:dyDescent="0.25">
      <c r="A4497" s="11"/>
      <c r="B4497" s="11" t="s">
        <v>502</v>
      </c>
      <c r="C4497" s="5" t="s">
        <v>98</v>
      </c>
      <c r="D4497">
        <v>400</v>
      </c>
      <c r="E4497">
        <v>5</v>
      </c>
      <c r="F4497">
        <v>15</v>
      </c>
      <c r="G4497" s="11">
        <v>1</v>
      </c>
      <c r="H4497" s="5">
        <v>0.03</v>
      </c>
      <c r="I4497" s="11">
        <v>315000</v>
      </c>
      <c r="J4497" s="20">
        <v>315000</v>
      </c>
      <c r="K4497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498" spans="1:11" hidden="1" x14ac:dyDescent="0.25">
      <c r="A4498" s="11"/>
      <c r="B4498" s="11"/>
      <c r="C4498" s="5"/>
      <c r="G4498" s="11"/>
      <c r="H4498" s="5"/>
      <c r="I4498" s="11"/>
      <c r="J4498" s="20"/>
      <c r="K4498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499" spans="1:11" x14ac:dyDescent="0.25">
      <c r="A4499" s="11"/>
      <c r="B4499" s="11" t="s">
        <v>471</v>
      </c>
      <c r="C4499" s="5" t="s">
        <v>56</v>
      </c>
      <c r="D4499">
        <v>500</v>
      </c>
      <c r="E4499">
        <v>5</v>
      </c>
      <c r="F4499">
        <v>15</v>
      </c>
      <c r="G4499" s="11">
        <v>7</v>
      </c>
      <c r="H4499" s="5">
        <v>0.26250000000000001</v>
      </c>
      <c r="I4499" s="11">
        <v>412500</v>
      </c>
      <c r="J4499" s="20">
        <v>2887500</v>
      </c>
      <c r="K4499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Balok</v>
      </c>
    </row>
    <row r="4500" spans="1:11" hidden="1" x14ac:dyDescent="0.25">
      <c r="A4500" s="11"/>
      <c r="B4500" s="11"/>
      <c r="C4500" s="5"/>
      <c r="G4500" s="11"/>
      <c r="H4500" s="5"/>
      <c r="I4500" s="11"/>
      <c r="J4500" s="20"/>
      <c r="K4500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01" spans="1:11" hidden="1" x14ac:dyDescent="0.25">
      <c r="A4501" s="11"/>
      <c r="C4501" s="5"/>
      <c r="G4501" s="11"/>
      <c r="H4501" s="5"/>
      <c r="I4501" s="11"/>
      <c r="J4501" s="20"/>
      <c r="K4501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  <row r="4502" spans="1:11" x14ac:dyDescent="0.25">
      <c r="A4502" s="11" t="s">
        <v>429</v>
      </c>
      <c r="B4502" t="s">
        <v>582</v>
      </c>
      <c r="C4502" s="5" t="s">
        <v>304</v>
      </c>
      <c r="D4502">
        <v>400</v>
      </c>
      <c r="E4502">
        <v>2</v>
      </c>
      <c r="F4502">
        <v>30</v>
      </c>
      <c r="G4502" s="11">
        <v>7</v>
      </c>
      <c r="H4502" s="5">
        <v>0.16800000000000001</v>
      </c>
      <c r="I4502" s="11">
        <v>588000</v>
      </c>
      <c r="J4502" s="20">
        <v>4116000</v>
      </c>
      <c r="K4502" t="str">
        <f>IF(AND(Table1[[#This Row],[Tinggi]]&lt;5,Table1[[#This Row],[Lebar]]&lt;51),"Papan",IF(AND(Table1[[#This Row],[Tinggi]]&lt;6,Table1[[#This Row],[Lebar]]&lt;8),"Kaso",IF(AND(Table1[[#This Row],[Tinggi]]&lt;7,Table1[[#This Row],[Lebar]]&lt;19),"Balok","Balken")))</f>
        <v>Papan</v>
      </c>
    </row>
  </sheetData>
  <mergeCells count="3">
    <mergeCell ref="M12:O12"/>
    <mergeCell ref="C12:I12"/>
    <mergeCell ref="C3:I3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ED00-2EE0-4A67-BDB2-3062ECB2FC96}">
  <dimension ref="C1:E95"/>
  <sheetViews>
    <sheetView workbookViewId="0">
      <selection activeCell="D10" sqref="D10"/>
    </sheetView>
  </sheetViews>
  <sheetFormatPr defaultRowHeight="15" x14ac:dyDescent="0.25"/>
  <cols>
    <col min="2" max="2" width="12.28515625" customWidth="1"/>
    <col min="3" max="3" width="27.28515625" customWidth="1"/>
    <col min="5" max="5" width="18.28515625" customWidth="1"/>
  </cols>
  <sheetData>
    <row r="1" spans="3:5" x14ac:dyDescent="0.25">
      <c r="C1" s="23" t="s">
        <v>690</v>
      </c>
      <c r="D1" s="23"/>
      <c r="E1" s="23"/>
    </row>
    <row r="5" spans="3:5" x14ac:dyDescent="0.25">
      <c r="C5" t="s">
        <v>603</v>
      </c>
    </row>
    <row r="6" spans="3:5" x14ac:dyDescent="0.25">
      <c r="C6" t="s">
        <v>604</v>
      </c>
    </row>
    <row r="7" spans="3:5" x14ac:dyDescent="0.25">
      <c r="C7" t="s">
        <v>605</v>
      </c>
    </row>
    <row r="8" spans="3:5" x14ac:dyDescent="0.25">
      <c r="C8" t="s">
        <v>606</v>
      </c>
    </row>
    <row r="9" spans="3:5" x14ac:dyDescent="0.25">
      <c r="C9" t="s">
        <v>607</v>
      </c>
    </row>
    <row r="10" spans="3:5" x14ac:dyDescent="0.25">
      <c r="C10" t="s">
        <v>608</v>
      </c>
    </row>
    <row r="11" spans="3:5" x14ac:dyDescent="0.25">
      <c r="C11" t="s">
        <v>609</v>
      </c>
    </row>
    <row r="12" spans="3:5" x14ac:dyDescent="0.25">
      <c r="C12" t="s">
        <v>610</v>
      </c>
    </row>
    <row r="13" spans="3:5" x14ac:dyDescent="0.25">
      <c r="C13" t="s">
        <v>611</v>
      </c>
    </row>
    <row r="14" spans="3:5" x14ac:dyDescent="0.25">
      <c r="C14" t="s">
        <v>612</v>
      </c>
    </row>
    <row r="15" spans="3:5" x14ac:dyDescent="0.25">
      <c r="C15" t="s">
        <v>613</v>
      </c>
    </row>
    <row r="16" spans="3:5" x14ac:dyDescent="0.25">
      <c r="C16" t="s">
        <v>614</v>
      </c>
    </row>
    <row r="17" spans="3:3" x14ac:dyDescent="0.25">
      <c r="C17" t="s">
        <v>615</v>
      </c>
    </row>
    <row r="18" spans="3:3" x14ac:dyDescent="0.25">
      <c r="C18" t="s">
        <v>616</v>
      </c>
    </row>
    <row r="19" spans="3:3" x14ac:dyDescent="0.25">
      <c r="C19" t="s">
        <v>617</v>
      </c>
    </row>
    <row r="20" spans="3:3" x14ac:dyDescent="0.25">
      <c r="C20" t="s">
        <v>618</v>
      </c>
    </row>
    <row r="21" spans="3:3" x14ac:dyDescent="0.25">
      <c r="C21" t="s">
        <v>619</v>
      </c>
    </row>
    <row r="22" spans="3:3" x14ac:dyDescent="0.25">
      <c r="C22" t="s">
        <v>620</v>
      </c>
    </row>
    <row r="23" spans="3:3" x14ac:dyDescent="0.25">
      <c r="C23" t="s">
        <v>621</v>
      </c>
    </row>
    <row r="24" spans="3:3" x14ac:dyDescent="0.25">
      <c r="C24" t="s">
        <v>622</v>
      </c>
    </row>
    <row r="25" spans="3:3" x14ac:dyDescent="0.25">
      <c r="C25" t="s">
        <v>624</v>
      </c>
    </row>
    <row r="26" spans="3:3" x14ac:dyDescent="0.25">
      <c r="C26" t="s">
        <v>625</v>
      </c>
    </row>
    <row r="27" spans="3:3" x14ac:dyDescent="0.25">
      <c r="C27" t="s">
        <v>626</v>
      </c>
    </row>
    <row r="28" spans="3:3" x14ac:dyDescent="0.25">
      <c r="C28" t="s">
        <v>627</v>
      </c>
    </row>
    <row r="29" spans="3:3" x14ac:dyDescent="0.25">
      <c r="C29" t="s">
        <v>628</v>
      </c>
    </row>
    <row r="30" spans="3:3" x14ac:dyDescent="0.25">
      <c r="C30" t="s">
        <v>629</v>
      </c>
    </row>
    <row r="31" spans="3:3" x14ac:dyDescent="0.25">
      <c r="C31" t="s">
        <v>630</v>
      </c>
    </row>
    <row r="32" spans="3:3" x14ac:dyDescent="0.25">
      <c r="C32" t="s">
        <v>631</v>
      </c>
    </row>
    <row r="33" spans="3:3" x14ac:dyDescent="0.25">
      <c r="C33" t="s">
        <v>632</v>
      </c>
    </row>
    <row r="34" spans="3:3" x14ac:dyDescent="0.25">
      <c r="C34" t="s">
        <v>633</v>
      </c>
    </row>
    <row r="35" spans="3:3" x14ac:dyDescent="0.25">
      <c r="C35" t="s">
        <v>634</v>
      </c>
    </row>
    <row r="36" spans="3:3" x14ac:dyDescent="0.25">
      <c r="C36" t="s">
        <v>635</v>
      </c>
    </row>
    <row r="37" spans="3:3" x14ac:dyDescent="0.25">
      <c r="C37" t="s">
        <v>636</v>
      </c>
    </row>
    <row r="38" spans="3:3" x14ac:dyDescent="0.25">
      <c r="C38" t="s">
        <v>637</v>
      </c>
    </row>
    <row r="39" spans="3:3" x14ac:dyDescent="0.25">
      <c r="C39" t="s">
        <v>638</v>
      </c>
    </row>
    <row r="40" spans="3:3" x14ac:dyDescent="0.25">
      <c r="C40" t="s">
        <v>639</v>
      </c>
    </row>
    <row r="41" spans="3:3" x14ac:dyDescent="0.25">
      <c r="C41" t="s">
        <v>640</v>
      </c>
    </row>
    <row r="42" spans="3:3" x14ac:dyDescent="0.25">
      <c r="C42" t="s">
        <v>641</v>
      </c>
    </row>
    <row r="43" spans="3:3" x14ac:dyDescent="0.25">
      <c r="C43" t="s">
        <v>642</v>
      </c>
    </row>
    <row r="44" spans="3:3" x14ac:dyDescent="0.25">
      <c r="C44" t="s">
        <v>643</v>
      </c>
    </row>
    <row r="45" spans="3:3" x14ac:dyDescent="0.25">
      <c r="C45" t="s">
        <v>644</v>
      </c>
    </row>
    <row r="46" spans="3:3" x14ac:dyDescent="0.25">
      <c r="C46" t="s">
        <v>645</v>
      </c>
    </row>
    <row r="47" spans="3:3" x14ac:dyDescent="0.25">
      <c r="C47" t="s">
        <v>646</v>
      </c>
    </row>
    <row r="48" spans="3:3" x14ac:dyDescent="0.25">
      <c r="C48" t="s">
        <v>647</v>
      </c>
    </row>
    <row r="49" spans="3:3" x14ac:dyDescent="0.25">
      <c r="C49" t="s">
        <v>648</v>
      </c>
    </row>
    <row r="50" spans="3:3" x14ac:dyDescent="0.25">
      <c r="C50" t="s">
        <v>649</v>
      </c>
    </row>
    <row r="51" spans="3:3" x14ac:dyDescent="0.25">
      <c r="C51" t="s">
        <v>650</v>
      </c>
    </row>
    <row r="52" spans="3:3" x14ac:dyDescent="0.25">
      <c r="C52" t="s">
        <v>651</v>
      </c>
    </row>
    <row r="53" spans="3:3" x14ac:dyDescent="0.25">
      <c r="C53" t="s">
        <v>652</v>
      </c>
    </row>
    <row r="54" spans="3:3" x14ac:dyDescent="0.25">
      <c r="C54" t="s">
        <v>653</v>
      </c>
    </row>
    <row r="55" spans="3:3" x14ac:dyDescent="0.25">
      <c r="C55" t="s">
        <v>654</v>
      </c>
    </row>
    <row r="56" spans="3:3" x14ac:dyDescent="0.25">
      <c r="C56" t="s">
        <v>655</v>
      </c>
    </row>
    <row r="57" spans="3:3" x14ac:dyDescent="0.25">
      <c r="C57" t="s">
        <v>656</v>
      </c>
    </row>
    <row r="58" spans="3:3" x14ac:dyDescent="0.25">
      <c r="C58" t="s">
        <v>657</v>
      </c>
    </row>
    <row r="59" spans="3:3" x14ac:dyDescent="0.25">
      <c r="C59" t="s">
        <v>658</v>
      </c>
    </row>
    <row r="60" spans="3:3" x14ac:dyDescent="0.25">
      <c r="C60" t="s">
        <v>659</v>
      </c>
    </row>
    <row r="61" spans="3:3" x14ac:dyDescent="0.25">
      <c r="C61" t="s">
        <v>660</v>
      </c>
    </row>
    <row r="62" spans="3:3" x14ac:dyDescent="0.25">
      <c r="C62" t="s">
        <v>661</v>
      </c>
    </row>
    <row r="63" spans="3:3" x14ac:dyDescent="0.25">
      <c r="C63" t="s">
        <v>662</v>
      </c>
    </row>
    <row r="64" spans="3:3" x14ac:dyDescent="0.25">
      <c r="C64" t="s">
        <v>274</v>
      </c>
    </row>
    <row r="65" spans="3:3" x14ac:dyDescent="0.25">
      <c r="C65" t="s">
        <v>314</v>
      </c>
    </row>
    <row r="66" spans="3:3" x14ac:dyDescent="0.25">
      <c r="C66" t="s">
        <v>272</v>
      </c>
    </row>
    <row r="67" spans="3:3" x14ac:dyDescent="0.25">
      <c r="C67" t="s">
        <v>272</v>
      </c>
    </row>
    <row r="68" spans="3:3" x14ac:dyDescent="0.25">
      <c r="C68" t="s">
        <v>194</v>
      </c>
    </row>
    <row r="69" spans="3:3" x14ac:dyDescent="0.25">
      <c r="C69" t="s">
        <v>214</v>
      </c>
    </row>
    <row r="70" spans="3:3" x14ac:dyDescent="0.25">
      <c r="C70" t="s">
        <v>663</v>
      </c>
    </row>
    <row r="71" spans="3:3" x14ac:dyDescent="0.25">
      <c r="C71" t="s">
        <v>664</v>
      </c>
    </row>
    <row r="72" spans="3:3" x14ac:dyDescent="0.25">
      <c r="C72" t="s">
        <v>665</v>
      </c>
    </row>
    <row r="73" spans="3:3" x14ac:dyDescent="0.25">
      <c r="C73" t="s">
        <v>666</v>
      </c>
    </row>
    <row r="74" spans="3:3" x14ac:dyDescent="0.25">
      <c r="C74" t="s">
        <v>667</v>
      </c>
    </row>
    <row r="75" spans="3:3" x14ac:dyDescent="0.25">
      <c r="C75" t="s">
        <v>668</v>
      </c>
    </row>
    <row r="76" spans="3:3" x14ac:dyDescent="0.25">
      <c r="C76" t="s">
        <v>669</v>
      </c>
    </row>
    <row r="77" spans="3:3" x14ac:dyDescent="0.25">
      <c r="C77" t="s">
        <v>670</v>
      </c>
    </row>
    <row r="78" spans="3:3" x14ac:dyDescent="0.25">
      <c r="C78" t="s">
        <v>671</v>
      </c>
    </row>
    <row r="79" spans="3:3" x14ac:dyDescent="0.25">
      <c r="C79" t="s">
        <v>672</v>
      </c>
    </row>
    <row r="80" spans="3:3" x14ac:dyDescent="0.25">
      <c r="C80" t="s">
        <v>673</v>
      </c>
    </row>
    <row r="81" spans="3:3" x14ac:dyDescent="0.25">
      <c r="C81" t="s">
        <v>674</v>
      </c>
    </row>
    <row r="82" spans="3:3" x14ac:dyDescent="0.25">
      <c r="C82" t="s">
        <v>675</v>
      </c>
    </row>
    <row r="83" spans="3:3" x14ac:dyDescent="0.25">
      <c r="C83" t="s">
        <v>676</v>
      </c>
    </row>
    <row r="84" spans="3:3" x14ac:dyDescent="0.25">
      <c r="C84" t="s">
        <v>677</v>
      </c>
    </row>
    <row r="85" spans="3:3" x14ac:dyDescent="0.25">
      <c r="C85" t="s">
        <v>678</v>
      </c>
    </row>
    <row r="86" spans="3:3" x14ac:dyDescent="0.25">
      <c r="C86" t="s">
        <v>679</v>
      </c>
    </row>
    <row r="87" spans="3:3" x14ac:dyDescent="0.25">
      <c r="C87" t="s">
        <v>680</v>
      </c>
    </row>
    <row r="88" spans="3:3" x14ac:dyDescent="0.25">
      <c r="C88" t="s">
        <v>681</v>
      </c>
    </row>
    <row r="89" spans="3:3" x14ac:dyDescent="0.25">
      <c r="C89" t="s">
        <v>682</v>
      </c>
    </row>
    <row r="90" spans="3:3" x14ac:dyDescent="0.25">
      <c r="C90" t="s">
        <v>683</v>
      </c>
    </row>
    <row r="91" spans="3:3" x14ac:dyDescent="0.25">
      <c r="C91" t="s">
        <v>684</v>
      </c>
    </row>
    <row r="92" spans="3:3" x14ac:dyDescent="0.25">
      <c r="C92" t="s">
        <v>685</v>
      </c>
    </row>
    <row r="93" spans="3:3" x14ac:dyDescent="0.25">
      <c r="C93" t="s">
        <v>686</v>
      </c>
    </row>
    <row r="94" spans="3:3" x14ac:dyDescent="0.25">
      <c r="C94" t="s">
        <v>687</v>
      </c>
    </row>
    <row r="95" spans="3:3" x14ac:dyDescent="0.25">
      <c r="C95" t="s">
        <v>688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a / h U h g 1 a E S j A A A A 9 Q A A A B I A H A B D b 2 5 m a W c v U G F j a 2 F n Z S 5 4 b W w g o h g A K K A U A A A A A A A A A A A A A A A A A A A A A A A A A A A A h Y + x D o I w F E V / h X S n L X U h 5 F E G X U w k M T E x r g 1 U a I S H o c X y b w 5 + k r 8 g R l E 3 x 3 v P G e 6 9 X 2 + Q j W 0 T X H R v T Y c p i S g n g c a i K w 1 W K R n c M Y x J J m G r i p O q d D D J a J P R l i m p n T s n j H n v q V / Q r q + Y 4 D x i h 3 y z K 2 r d K v K R z X 8 5 N G i d w k I T C f v X G C l o H F P B p 0 n A 5 g 5 y g 1 8 u J v a k P y U s h 8 Y N v Z Y a w / U K 2 B y B v S / I B 1 B L A w Q U A A I A C A B N r +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a / h U i i K R 7 g O A A A A E Q A A A B M A H A B G b 3 J t d W x h c y 9 T Z W N 0 a W 9 u M S 5 t I K I Y A C i g F A A A A A A A A A A A A A A A A A A A A A A A A A A A A C t O T S 7 J z M 9 T C I b Q h t Y A U E s B A i 0 A F A A C A A g A T a / h U h g 1 a E S j A A A A 9 Q A A A B I A A A A A A A A A A A A A A A A A A A A A A E N v b m Z p Z y 9 Q Y W N r Y W d l L n h t b F B L A Q I t A B Q A A g A I A E 2 v 4 V I P y u m r p A A A A O k A A A A T A A A A A A A A A A A A A A A A A O 8 A A A B b Q 2 9 u d G V u d F 9 U e X B l c 1 0 u e G 1 s U E s B A i 0 A F A A C A A g A T a / h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5 4 X z O N U Y 1 N l r t p W J d 9 W Z o A A A A A A g A A A A A A E G Y A A A A B A A A g A A A A h q B v 5 5 1 N 5 Z K M m + K R s n j b p x X B 2 X X 1 y d E M 3 X J K 5 2 0 7 S o U A A A A A D o A A A A A C A A A g A A A A o 5 2 W 8 E O n O p d t p m u q A N t L e B x U m o 3 f / 2 D t n 5 2 D P i O r Q W F Q A A A A + x e b D e S 1 B p o G h E h f + I r J 9 J J U u j K n D y a 6 X m 1 7 h a b p r + R 0 M z K 4 7 p e I 9 U u g S 1 z j R 5 q r X W / T N K J Q i b D w k f m X + 9 C 9 O G I Z N Y Q A X y 2 r p E g T k k q I N W F A A A A A L c 7 L J H Y z 1 F Y a U t q P 0 d W i P T 0 f l i Y r y M g A C J O e I 1 l c r V t q o G r 0 0 b 7 7 y M n 1 C B H i H I p E g j B A X E L n f x B Z d R 8 6 r P + b 5 A = = < / D a t a M a s h u p > 
</file>

<file path=customXml/itemProps1.xml><?xml version="1.0" encoding="utf-8"?>
<ds:datastoreItem xmlns:ds="http://schemas.openxmlformats.org/officeDocument/2006/customXml" ds:itemID="{9BDBDF30-E4E7-4FCC-A62F-362EC1907D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Sapitri Anggraini</dc:creator>
  <cp:lastModifiedBy>Sapitri Anggraini</cp:lastModifiedBy>
  <dcterms:created xsi:type="dcterms:W3CDTF">2021-06-30T18:59:30Z</dcterms:created>
  <dcterms:modified xsi:type="dcterms:W3CDTF">2021-07-01T17:25:26Z</dcterms:modified>
</cp:coreProperties>
</file>