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4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5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4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1.xml" ContentType="application/vnd.openxmlformats-officedocument.themeOverride+xml"/>
  <Override PartName="/xl/comments7.xml" ContentType="application/vnd.openxmlformats-officedocument.spreadsheetml.comments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sm954\Desktop\"/>
    </mc:Choice>
  </mc:AlternateContent>
  <bookViews>
    <workbookView xWindow="0" yWindow="0" windowWidth="23040" windowHeight="9060" tabRatio="847" firstSheet="4" activeTab="13"/>
  </bookViews>
  <sheets>
    <sheet name="Inputs 1.0" sheetId="39" r:id="rId1"/>
    <sheet name="Outcome 1.0" sheetId="42" r:id="rId2"/>
    <sheet name="DATABASE_Schema" sheetId="41" r:id="rId3"/>
    <sheet name="Outcome TOTAL_Adj" sheetId="32" r:id="rId4"/>
    <sheet name="Outcome_Y_Adjustment" sheetId="36" r:id="rId5"/>
    <sheet name="Outcome_L Adjustment" sheetId="21" r:id="rId6"/>
    <sheet name="Proportions" sheetId="30" r:id="rId7"/>
    <sheet name="Inputs advanced" sheetId="27" r:id="rId8"/>
    <sheet name="Budget_Supuestos" sheetId="2" r:id="rId9"/>
    <sheet name="Budget_Equipo" sheetId="10" r:id="rId10"/>
    <sheet name="Budget_M Obra" sheetId="11" r:id="rId11"/>
    <sheet name="Budget_Presupuesto" sheetId="13" r:id="rId12"/>
    <sheet name="Budget_Valor de M Obra" sheetId="7" r:id="rId13"/>
    <sheet name="Budget_Establecimiento" sheetId="14" r:id="rId14"/>
    <sheet name="Budget_Sostenemiento" sheetId="8" r:id="rId15"/>
    <sheet name="Inputs 1.0_metric_currency" sheetId="29" r:id="rId16"/>
    <sheet name="Outcome 1.0 pre_metric_currency" sheetId="33" r:id="rId17"/>
    <sheet name="Conversiones" sheetId="23" r:id="rId18"/>
    <sheet name="Proporción de productividad" sheetId="31" r:id="rId19"/>
    <sheet name="Inputs 1.0 (Ref)" sheetId="38" r:id="rId20"/>
  </sheets>
  <definedNames>
    <definedName name="_xlnm.Print_Area" localSheetId="13">Budget_Establecimiento!$A$3:$C$53</definedName>
    <definedName name="_xlnm.Print_Area" localSheetId="10">'Budget_M Obra'!$A$1:$K$86</definedName>
    <definedName name="_xlnm.Print_Area" localSheetId="11">Budget_Presupuesto!$A$34:$J$46</definedName>
    <definedName name="_xlnm.Print_Area" localSheetId="14">Budget_Sostenemiento!$A$1:$K$44</definedName>
    <definedName name="_xlnm.Print_Area" localSheetId="8">Budget_Supuestos!$A$276:$G$297</definedName>
    <definedName name="_xlnm.Print_Area" localSheetId="12">'Budget_Valor de M Obra'!$A$2:$J$85</definedName>
  </definedNames>
  <calcPr calcId="162913" concurrentCalc="0"/>
  <fileRecoveryPr autoRecover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279" i="2" l="1"/>
  <c r="D7" i="8"/>
  <c r="D8" i="8"/>
  <c r="B281" i="2"/>
  <c r="D9" i="8"/>
  <c r="B282" i="2"/>
  <c r="D10" i="8"/>
  <c r="B283" i="2"/>
  <c r="D11" i="8"/>
  <c r="B284" i="2"/>
  <c r="D12" i="8"/>
  <c r="B285" i="2"/>
  <c r="D13" i="8"/>
  <c r="B286" i="2"/>
  <c r="D14" i="8"/>
  <c r="D15" i="8"/>
  <c r="B288" i="2"/>
  <c r="D16" i="8"/>
  <c r="D17" i="8"/>
  <c r="B290" i="2"/>
  <c r="D18" i="8"/>
  <c r="B291" i="2"/>
  <c r="D19" i="8"/>
  <c r="B292" i="2"/>
  <c r="D20" i="8"/>
  <c r="B293" i="2"/>
  <c r="D21" i="8"/>
  <c r="B294" i="2"/>
  <c r="D22" i="8"/>
  <c r="B295" i="2"/>
  <c r="D24" i="8"/>
  <c r="D25" i="8"/>
  <c r="B75" i="2"/>
  <c r="B71" i="2"/>
  <c r="D49" i="7"/>
  <c r="D50" i="7"/>
  <c r="D51" i="7"/>
  <c r="D52" i="7"/>
  <c r="D53" i="7"/>
  <c r="D54" i="7"/>
  <c r="D55" i="7"/>
  <c r="D56" i="7"/>
  <c r="D57" i="7"/>
  <c r="D58" i="7"/>
  <c r="D59" i="7"/>
  <c r="D4" i="8"/>
  <c r="B369" i="2"/>
  <c r="F51" i="8"/>
  <c r="B370" i="2"/>
  <c r="F52" i="8"/>
  <c r="F55" i="8"/>
  <c r="D26" i="8"/>
  <c r="D27" i="8"/>
  <c r="D39" i="13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4" i="8"/>
  <c r="E25" i="8"/>
  <c r="E49" i="7"/>
  <c r="E50" i="7"/>
  <c r="E51" i="7"/>
  <c r="E52" i="7"/>
  <c r="E53" i="7"/>
  <c r="E54" i="7"/>
  <c r="E55" i="7"/>
  <c r="E56" i="7"/>
  <c r="E57" i="7"/>
  <c r="E58" i="7"/>
  <c r="E59" i="7"/>
  <c r="E4" i="8"/>
  <c r="E26" i="8"/>
  <c r="E27" i="8"/>
  <c r="E39" i="13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4" i="8"/>
  <c r="F25" i="8"/>
  <c r="F49" i="7"/>
  <c r="F50" i="7"/>
  <c r="F51" i="7"/>
  <c r="F52" i="7"/>
  <c r="F53" i="7"/>
  <c r="F54" i="7"/>
  <c r="F55" i="7"/>
  <c r="F56" i="7"/>
  <c r="F57" i="7"/>
  <c r="F58" i="7"/>
  <c r="F59" i="7"/>
  <c r="F4" i="8"/>
  <c r="F26" i="8"/>
  <c r="F27" i="8"/>
  <c r="F39" i="13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4" i="8"/>
  <c r="G25" i="8"/>
  <c r="G49" i="7"/>
  <c r="G50" i="7"/>
  <c r="G51" i="7"/>
  <c r="G52" i="7"/>
  <c r="G53" i="7"/>
  <c r="G54" i="7"/>
  <c r="G55" i="7"/>
  <c r="G56" i="7"/>
  <c r="G57" i="7"/>
  <c r="G58" i="7"/>
  <c r="G59" i="7"/>
  <c r="G4" i="8"/>
  <c r="G26" i="8"/>
  <c r="G27" i="8"/>
  <c r="G39" i="13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4" i="8"/>
  <c r="H25" i="8"/>
  <c r="H49" i="7"/>
  <c r="H50" i="7"/>
  <c r="H51" i="7"/>
  <c r="H52" i="7"/>
  <c r="H53" i="7"/>
  <c r="H54" i="7"/>
  <c r="H55" i="7"/>
  <c r="H56" i="7"/>
  <c r="H57" i="7"/>
  <c r="H58" i="7"/>
  <c r="H59" i="7"/>
  <c r="H4" i="8"/>
  <c r="H26" i="8"/>
  <c r="H27" i="8"/>
  <c r="H39" i="13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4" i="8"/>
  <c r="I25" i="8"/>
  <c r="I49" i="7"/>
  <c r="I50" i="7"/>
  <c r="I51" i="7"/>
  <c r="I52" i="7"/>
  <c r="I53" i="7"/>
  <c r="I54" i="7"/>
  <c r="I55" i="7"/>
  <c r="I56" i="7"/>
  <c r="I57" i="7"/>
  <c r="I58" i="7"/>
  <c r="I59" i="7"/>
  <c r="I4" i="8"/>
  <c r="I26" i="8"/>
  <c r="I27" i="8"/>
  <c r="I39" i="13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4" i="8"/>
  <c r="J25" i="8"/>
  <c r="J49" i="7"/>
  <c r="J50" i="7"/>
  <c r="J51" i="7"/>
  <c r="J52" i="7"/>
  <c r="J53" i="7"/>
  <c r="J54" i="7"/>
  <c r="J55" i="7"/>
  <c r="J56" i="7"/>
  <c r="J57" i="7"/>
  <c r="J58" i="7"/>
  <c r="J59" i="7"/>
  <c r="J4" i="8"/>
  <c r="J26" i="8"/>
  <c r="J27" i="8"/>
  <c r="J39" i="13"/>
  <c r="K39" i="13"/>
  <c r="B339" i="2"/>
  <c r="K31" i="8"/>
  <c r="L147" i="2"/>
  <c r="D45" i="8"/>
  <c r="L148" i="2"/>
  <c r="E45" i="8"/>
  <c r="L149" i="2"/>
  <c r="F45" i="8"/>
  <c r="L150" i="2"/>
  <c r="G45" i="8"/>
  <c r="L151" i="2"/>
  <c r="H45" i="8"/>
  <c r="L152" i="2"/>
  <c r="I45" i="8"/>
  <c r="L153" i="2"/>
  <c r="J45" i="8"/>
  <c r="D47" i="8"/>
  <c r="D48" i="8"/>
  <c r="D31" i="8"/>
  <c r="B340" i="2"/>
  <c r="K32" i="8"/>
  <c r="D32" i="8"/>
  <c r="D34" i="8"/>
  <c r="B74" i="2"/>
  <c r="D61" i="7"/>
  <c r="D62" i="7"/>
  <c r="D63" i="7"/>
  <c r="D64" i="7"/>
  <c r="D29" i="8"/>
  <c r="D35" i="8"/>
  <c r="D40" i="13"/>
  <c r="E47" i="8"/>
  <c r="E48" i="8"/>
  <c r="E31" i="8"/>
  <c r="E32" i="8"/>
  <c r="E34" i="8"/>
  <c r="E61" i="7"/>
  <c r="E62" i="7"/>
  <c r="E63" i="7"/>
  <c r="E64" i="7"/>
  <c r="E29" i="8"/>
  <c r="E35" i="8"/>
  <c r="E40" i="13"/>
  <c r="F47" i="8"/>
  <c r="F48" i="8"/>
  <c r="F31" i="8"/>
  <c r="F32" i="8"/>
  <c r="F34" i="8"/>
  <c r="F61" i="7"/>
  <c r="F62" i="7"/>
  <c r="F63" i="7"/>
  <c r="F64" i="7"/>
  <c r="F29" i="8"/>
  <c r="F35" i="8"/>
  <c r="F40" i="13"/>
  <c r="G47" i="8"/>
  <c r="G48" i="8"/>
  <c r="G31" i="8"/>
  <c r="G32" i="8"/>
  <c r="G34" i="8"/>
  <c r="G61" i="7"/>
  <c r="G62" i="7"/>
  <c r="G63" i="7"/>
  <c r="G64" i="7"/>
  <c r="G29" i="8"/>
  <c r="G35" i="8"/>
  <c r="G40" i="13"/>
  <c r="H47" i="8"/>
  <c r="H48" i="8"/>
  <c r="H31" i="8"/>
  <c r="H32" i="8"/>
  <c r="H34" i="8"/>
  <c r="H61" i="7"/>
  <c r="H62" i="7"/>
  <c r="H63" i="7"/>
  <c r="H64" i="7"/>
  <c r="H29" i="8"/>
  <c r="H35" i="8"/>
  <c r="H40" i="13"/>
  <c r="I47" i="8"/>
  <c r="I48" i="8"/>
  <c r="I31" i="8"/>
  <c r="I32" i="8"/>
  <c r="I34" i="8"/>
  <c r="I61" i="7"/>
  <c r="I62" i="7"/>
  <c r="I63" i="7"/>
  <c r="I64" i="7"/>
  <c r="I29" i="8"/>
  <c r="I35" i="8"/>
  <c r="I40" i="13"/>
  <c r="J47" i="8"/>
  <c r="J48" i="8"/>
  <c r="J31" i="8"/>
  <c r="J32" i="8"/>
  <c r="J34" i="8"/>
  <c r="J61" i="7"/>
  <c r="J62" i="7"/>
  <c r="J63" i="7"/>
  <c r="J64" i="7"/>
  <c r="J29" i="8"/>
  <c r="J35" i="8"/>
  <c r="J40" i="13"/>
  <c r="K40" i="13"/>
  <c r="D67" i="7"/>
  <c r="D68" i="7"/>
  <c r="D69" i="7"/>
  <c r="D37" i="8"/>
  <c r="D71" i="7"/>
  <c r="D72" i="7"/>
  <c r="D73" i="7"/>
  <c r="D74" i="7"/>
  <c r="D75" i="7"/>
  <c r="D76" i="7"/>
  <c r="D77" i="7"/>
  <c r="D78" i="7"/>
  <c r="D38" i="8"/>
  <c r="B371" i="2"/>
  <c r="F57" i="8"/>
  <c r="F58" i="8"/>
  <c r="K39" i="8"/>
  <c r="D39" i="8"/>
  <c r="D40" i="8"/>
  <c r="D41" i="13"/>
  <c r="E67" i="7"/>
  <c r="E68" i="7"/>
  <c r="E69" i="7"/>
  <c r="E37" i="8"/>
  <c r="E71" i="7"/>
  <c r="E72" i="7"/>
  <c r="E73" i="7"/>
  <c r="E74" i="7"/>
  <c r="E75" i="7"/>
  <c r="E76" i="7"/>
  <c r="E77" i="7"/>
  <c r="E78" i="7"/>
  <c r="E38" i="8"/>
  <c r="E39" i="8"/>
  <c r="E40" i="8"/>
  <c r="E41" i="13"/>
  <c r="F67" i="7"/>
  <c r="F68" i="7"/>
  <c r="F69" i="7"/>
  <c r="F37" i="8"/>
  <c r="F71" i="7"/>
  <c r="F72" i="7"/>
  <c r="F73" i="7"/>
  <c r="F74" i="7"/>
  <c r="F75" i="7"/>
  <c r="F76" i="7"/>
  <c r="F77" i="7"/>
  <c r="F78" i="7"/>
  <c r="F38" i="8"/>
  <c r="F39" i="8"/>
  <c r="F40" i="8"/>
  <c r="F41" i="13"/>
  <c r="G67" i="7"/>
  <c r="G68" i="7"/>
  <c r="G69" i="7"/>
  <c r="G37" i="8"/>
  <c r="G71" i="7"/>
  <c r="G72" i="7"/>
  <c r="G73" i="7"/>
  <c r="G74" i="7"/>
  <c r="G75" i="7"/>
  <c r="G76" i="7"/>
  <c r="G77" i="7"/>
  <c r="G78" i="7"/>
  <c r="G38" i="8"/>
  <c r="G39" i="8"/>
  <c r="G40" i="8"/>
  <c r="G41" i="13"/>
  <c r="H67" i="7"/>
  <c r="H68" i="7"/>
  <c r="H69" i="7"/>
  <c r="H37" i="8"/>
  <c r="H71" i="7"/>
  <c r="H72" i="7"/>
  <c r="H73" i="7"/>
  <c r="H74" i="7"/>
  <c r="H75" i="7"/>
  <c r="H76" i="7"/>
  <c r="H77" i="7"/>
  <c r="H78" i="7"/>
  <c r="H38" i="8"/>
  <c r="H39" i="8"/>
  <c r="H40" i="8"/>
  <c r="H41" i="13"/>
  <c r="I67" i="7"/>
  <c r="I68" i="7"/>
  <c r="I69" i="7"/>
  <c r="I37" i="8"/>
  <c r="I71" i="7"/>
  <c r="I72" i="7"/>
  <c r="I73" i="7"/>
  <c r="I74" i="7"/>
  <c r="I75" i="7"/>
  <c r="I76" i="7"/>
  <c r="I77" i="7"/>
  <c r="I78" i="7"/>
  <c r="I38" i="8"/>
  <c r="I39" i="8"/>
  <c r="I40" i="8"/>
  <c r="I41" i="13"/>
  <c r="J67" i="7"/>
  <c r="J68" i="7"/>
  <c r="J69" i="7"/>
  <c r="J37" i="8"/>
  <c r="J71" i="7"/>
  <c r="J72" i="7"/>
  <c r="J73" i="7"/>
  <c r="J74" i="7"/>
  <c r="J75" i="7"/>
  <c r="J76" i="7"/>
  <c r="J77" i="7"/>
  <c r="J78" i="7"/>
  <c r="J38" i="8"/>
  <c r="J39" i="8"/>
  <c r="J40" i="8"/>
  <c r="J41" i="13"/>
  <c r="K41" i="13"/>
  <c r="D43" i="13"/>
  <c r="E43" i="13"/>
  <c r="F43" i="13"/>
  <c r="G43" i="13"/>
  <c r="H43" i="13"/>
  <c r="I43" i="13"/>
  <c r="J43" i="13"/>
  <c r="K43" i="13"/>
  <c r="D44" i="13"/>
  <c r="E44" i="13"/>
  <c r="F44" i="13"/>
  <c r="G44" i="13"/>
  <c r="H44" i="13"/>
  <c r="I44" i="13"/>
  <c r="J44" i="13"/>
  <c r="K44" i="13"/>
  <c r="K46" i="13"/>
  <c r="B6" i="2"/>
  <c r="C3" i="21"/>
  <c r="J3" i="21"/>
  <c r="P5" i="32"/>
  <c r="P13" i="32"/>
  <c r="T13" i="32"/>
  <c r="G15" i="41"/>
  <c r="C381" i="2"/>
  <c r="D52" i="13"/>
  <c r="E52" i="13"/>
  <c r="F52" i="13"/>
  <c r="G52" i="13"/>
  <c r="H52" i="13"/>
  <c r="I52" i="13"/>
  <c r="J52" i="13"/>
  <c r="K52" i="13"/>
  <c r="C382" i="2"/>
  <c r="D53" i="13"/>
  <c r="E53" i="13"/>
  <c r="F53" i="13"/>
  <c r="G53" i="13"/>
  <c r="H53" i="13"/>
  <c r="I53" i="13"/>
  <c r="J53" i="13"/>
  <c r="K53" i="13"/>
  <c r="D54" i="13"/>
  <c r="E54" i="13"/>
  <c r="F54" i="13"/>
  <c r="G54" i="13"/>
  <c r="H54" i="13"/>
  <c r="I54" i="13"/>
  <c r="J54" i="13"/>
  <c r="K54" i="13"/>
  <c r="D55" i="13"/>
  <c r="E55" i="13"/>
  <c r="F55" i="13"/>
  <c r="G55" i="13"/>
  <c r="H55" i="13"/>
  <c r="I55" i="13"/>
  <c r="J55" i="13"/>
  <c r="K55" i="13"/>
  <c r="B111" i="2"/>
  <c r="B112" i="2"/>
  <c r="L110" i="2"/>
  <c r="B110" i="2"/>
  <c r="M110" i="2"/>
  <c r="P110" i="2"/>
  <c r="P119" i="2"/>
  <c r="D56" i="13"/>
  <c r="Q110" i="2"/>
  <c r="Q119" i="2"/>
  <c r="E56" i="13"/>
  <c r="R110" i="2"/>
  <c r="R119" i="2"/>
  <c r="F56" i="13"/>
  <c r="S110" i="2"/>
  <c r="S119" i="2"/>
  <c r="G56" i="13"/>
  <c r="T110" i="2"/>
  <c r="T119" i="2"/>
  <c r="H56" i="13"/>
  <c r="U110" i="2"/>
  <c r="U119" i="2"/>
  <c r="I56" i="13"/>
  <c r="V110" i="2"/>
  <c r="V119" i="2"/>
  <c r="J56" i="13"/>
  <c r="K56" i="13"/>
  <c r="B127" i="2"/>
  <c r="B128" i="2"/>
  <c r="L126" i="2"/>
  <c r="B126" i="2"/>
  <c r="M126" i="2"/>
  <c r="P126" i="2"/>
  <c r="P135" i="2"/>
  <c r="D57" i="13"/>
  <c r="Q126" i="2"/>
  <c r="Q135" i="2"/>
  <c r="E57" i="13"/>
  <c r="R126" i="2"/>
  <c r="R135" i="2"/>
  <c r="F57" i="13"/>
  <c r="S126" i="2"/>
  <c r="S135" i="2"/>
  <c r="G57" i="13"/>
  <c r="T126" i="2"/>
  <c r="T135" i="2"/>
  <c r="H57" i="13"/>
  <c r="U126" i="2"/>
  <c r="U135" i="2"/>
  <c r="I57" i="13"/>
  <c r="V126" i="2"/>
  <c r="V135" i="2"/>
  <c r="J57" i="13"/>
  <c r="K57" i="13"/>
  <c r="K58" i="13"/>
  <c r="D23" i="13"/>
  <c r="D83" i="2"/>
  <c r="E23" i="13"/>
  <c r="F23" i="13"/>
  <c r="G23" i="13"/>
  <c r="H23" i="13"/>
  <c r="I23" i="13"/>
  <c r="J23" i="13"/>
  <c r="K23" i="13"/>
  <c r="D24" i="13"/>
  <c r="B95" i="2"/>
  <c r="D99" i="2"/>
  <c r="E24" i="13"/>
  <c r="F24" i="13"/>
  <c r="D101" i="2"/>
  <c r="G24" i="13"/>
  <c r="H24" i="13"/>
  <c r="I24" i="13"/>
  <c r="J24" i="13"/>
  <c r="K24" i="13"/>
  <c r="F110" i="2"/>
  <c r="D26" i="13"/>
  <c r="E26" i="13"/>
  <c r="F26" i="13"/>
  <c r="G26" i="13"/>
  <c r="H26" i="13"/>
  <c r="I26" i="13"/>
  <c r="J26" i="13"/>
  <c r="K26" i="13"/>
  <c r="F126" i="2"/>
  <c r="D27" i="13"/>
  <c r="E27" i="13"/>
  <c r="F27" i="13"/>
  <c r="G27" i="13"/>
  <c r="H27" i="13"/>
  <c r="I27" i="13"/>
  <c r="J27" i="13"/>
  <c r="K27" i="13"/>
  <c r="K29" i="13"/>
  <c r="D46" i="13"/>
  <c r="D72" i="13"/>
  <c r="E46" i="13"/>
  <c r="E72" i="13"/>
  <c r="F46" i="13"/>
  <c r="F72" i="13"/>
  <c r="G46" i="13"/>
  <c r="G72" i="13"/>
  <c r="H46" i="13"/>
  <c r="H72" i="13"/>
  <c r="I46" i="13"/>
  <c r="I72" i="13"/>
  <c r="J46" i="13"/>
  <c r="J72" i="13"/>
  <c r="K72" i="13"/>
  <c r="D73" i="13"/>
  <c r="E73" i="13"/>
  <c r="F73" i="13"/>
  <c r="G73" i="13"/>
  <c r="H73" i="13"/>
  <c r="I73" i="13"/>
  <c r="J73" i="13"/>
  <c r="K73" i="13"/>
  <c r="C4" i="21"/>
  <c r="B300" i="2"/>
  <c r="H5" i="10"/>
  <c r="C300" i="2"/>
  <c r="F5" i="10"/>
  <c r="I5" i="10"/>
  <c r="B301" i="2"/>
  <c r="H6" i="10"/>
  <c r="C301" i="2"/>
  <c r="F6" i="10"/>
  <c r="I6" i="10"/>
  <c r="B302" i="2"/>
  <c r="H7" i="10"/>
  <c r="C302" i="2"/>
  <c r="F7" i="10"/>
  <c r="I7" i="10"/>
  <c r="B303" i="2"/>
  <c r="H8" i="10"/>
  <c r="C303" i="2"/>
  <c r="F8" i="10"/>
  <c r="I8" i="10"/>
  <c r="B304" i="2"/>
  <c r="H9" i="10"/>
  <c r="C304" i="2"/>
  <c r="F9" i="10"/>
  <c r="I9" i="10"/>
  <c r="B305" i="2"/>
  <c r="H10" i="10"/>
  <c r="C305" i="2"/>
  <c r="F10" i="10"/>
  <c r="I10" i="10"/>
  <c r="B306" i="2"/>
  <c r="H11" i="10"/>
  <c r="C306" i="2"/>
  <c r="F11" i="10"/>
  <c r="I11" i="10"/>
  <c r="B307" i="2"/>
  <c r="H12" i="10"/>
  <c r="C307" i="2"/>
  <c r="F12" i="10"/>
  <c r="I12" i="10"/>
  <c r="B308" i="2"/>
  <c r="H13" i="10"/>
  <c r="C308" i="2"/>
  <c r="F13" i="10"/>
  <c r="I13" i="10"/>
  <c r="B309" i="2"/>
  <c r="H14" i="10"/>
  <c r="C309" i="2"/>
  <c r="F14" i="10"/>
  <c r="I14" i="10"/>
  <c r="B310" i="2"/>
  <c r="H15" i="10"/>
  <c r="C310" i="2"/>
  <c r="F15" i="10"/>
  <c r="I15" i="10"/>
  <c r="B311" i="2"/>
  <c r="H16" i="10"/>
  <c r="C311" i="2"/>
  <c r="F16" i="10"/>
  <c r="I16" i="10"/>
  <c r="B312" i="2"/>
  <c r="H17" i="10"/>
  <c r="I17" i="10"/>
  <c r="B313" i="2"/>
  <c r="H18" i="10"/>
  <c r="C313" i="2"/>
  <c r="F18" i="10"/>
  <c r="I18" i="10"/>
  <c r="B314" i="2"/>
  <c r="H19" i="10"/>
  <c r="C314" i="2"/>
  <c r="F19" i="10"/>
  <c r="I19" i="10"/>
  <c r="I20" i="10"/>
  <c r="D61" i="13"/>
  <c r="E61" i="13"/>
  <c r="F61" i="13"/>
  <c r="G61" i="13"/>
  <c r="H61" i="13"/>
  <c r="I61" i="13"/>
  <c r="J61" i="13"/>
  <c r="K61" i="13"/>
  <c r="B317" i="2"/>
  <c r="H23" i="10"/>
  <c r="C317" i="2"/>
  <c r="F23" i="10"/>
  <c r="I23" i="10"/>
  <c r="B318" i="2"/>
  <c r="H24" i="10"/>
  <c r="I24" i="10"/>
  <c r="B319" i="2"/>
  <c r="H25" i="10"/>
  <c r="C319" i="2"/>
  <c r="F25" i="10"/>
  <c r="I25" i="10"/>
  <c r="B320" i="2"/>
  <c r="H26" i="10"/>
  <c r="C320" i="2"/>
  <c r="F26" i="10"/>
  <c r="I26" i="10"/>
  <c r="B321" i="2"/>
  <c r="H27" i="10"/>
  <c r="C321" i="2"/>
  <c r="F27" i="10"/>
  <c r="I27" i="10"/>
  <c r="B322" i="2"/>
  <c r="H28" i="10"/>
  <c r="C322" i="2"/>
  <c r="F28" i="10"/>
  <c r="I28" i="10"/>
  <c r="B323" i="2"/>
  <c r="H29" i="10"/>
  <c r="C323" i="2"/>
  <c r="F29" i="10"/>
  <c r="I29" i="10"/>
  <c r="B324" i="2"/>
  <c r="H30" i="10"/>
  <c r="C324" i="2"/>
  <c r="F30" i="10"/>
  <c r="I30" i="10"/>
  <c r="B325" i="2"/>
  <c r="H31" i="10"/>
  <c r="I31" i="10"/>
  <c r="B326" i="2"/>
  <c r="H32" i="10"/>
  <c r="C326" i="2"/>
  <c r="F32" i="10"/>
  <c r="I32" i="10"/>
  <c r="B327" i="2"/>
  <c r="H33" i="10"/>
  <c r="I33" i="10"/>
  <c r="B329" i="2"/>
  <c r="H35" i="10"/>
  <c r="C329" i="2"/>
  <c r="F35" i="10"/>
  <c r="I35" i="10"/>
  <c r="B330" i="2"/>
  <c r="H36" i="10"/>
  <c r="C330" i="2"/>
  <c r="F36" i="10"/>
  <c r="I36" i="10"/>
  <c r="B331" i="2"/>
  <c r="H37" i="10"/>
  <c r="C331" i="2"/>
  <c r="F37" i="10"/>
  <c r="I37" i="10"/>
  <c r="B332" i="2"/>
  <c r="H38" i="10"/>
  <c r="C332" i="2"/>
  <c r="F38" i="10"/>
  <c r="I38" i="10"/>
  <c r="B333" i="2"/>
  <c r="H39" i="10"/>
  <c r="I39" i="10"/>
  <c r="B334" i="2"/>
  <c r="H40" i="10"/>
  <c r="C334" i="2"/>
  <c r="F40" i="10"/>
  <c r="I40" i="10"/>
  <c r="I42" i="10"/>
  <c r="D62" i="13"/>
  <c r="E62" i="13"/>
  <c r="F62" i="13"/>
  <c r="G62" i="13"/>
  <c r="H62" i="13"/>
  <c r="I62" i="13"/>
  <c r="J62" i="13"/>
  <c r="K62" i="13"/>
  <c r="B337" i="2"/>
  <c r="H45" i="10"/>
  <c r="C337" i="2"/>
  <c r="F45" i="10"/>
  <c r="I45" i="10"/>
  <c r="B344" i="2"/>
  <c r="H46" i="10"/>
  <c r="I46" i="10"/>
  <c r="B338" i="2"/>
  <c r="H47" i="10"/>
  <c r="C338" i="2"/>
  <c r="F47" i="10"/>
  <c r="I47" i="10"/>
  <c r="B342" i="2"/>
  <c r="H51" i="10"/>
  <c r="C342" i="2"/>
  <c r="F51" i="10"/>
  <c r="I51" i="10"/>
  <c r="B343" i="2"/>
  <c r="H52" i="10"/>
  <c r="C343" i="2"/>
  <c r="F52" i="10"/>
  <c r="I52" i="10"/>
  <c r="I53" i="10"/>
  <c r="D63" i="13"/>
  <c r="E63" i="13"/>
  <c r="F63" i="13"/>
  <c r="G63" i="13"/>
  <c r="H63" i="13"/>
  <c r="I63" i="13"/>
  <c r="J63" i="13"/>
  <c r="K63" i="13"/>
  <c r="C5" i="21"/>
  <c r="B389" i="2"/>
  <c r="C389" i="2"/>
  <c r="D67" i="13"/>
  <c r="E67" i="13"/>
  <c r="F67" i="13"/>
  <c r="G67" i="13"/>
  <c r="H67" i="13"/>
  <c r="I67" i="13"/>
  <c r="J67" i="13"/>
  <c r="K67" i="13"/>
  <c r="H53" i="10"/>
  <c r="H42" i="10"/>
  <c r="H20" i="10"/>
  <c r="H55" i="10"/>
  <c r="H57" i="10"/>
  <c r="D68" i="13"/>
  <c r="E68" i="13"/>
  <c r="F68" i="13"/>
  <c r="G68" i="13"/>
  <c r="H68" i="13"/>
  <c r="I68" i="13"/>
  <c r="J68" i="13"/>
  <c r="K68" i="13"/>
  <c r="D85" i="7"/>
  <c r="D86" i="7"/>
  <c r="D87" i="7"/>
  <c r="D89" i="7"/>
  <c r="D74" i="13"/>
  <c r="E85" i="7"/>
  <c r="E86" i="7"/>
  <c r="E87" i="7"/>
  <c r="E89" i="7"/>
  <c r="E74" i="13"/>
  <c r="F85" i="7"/>
  <c r="F86" i="7"/>
  <c r="F87" i="7"/>
  <c r="F89" i="7"/>
  <c r="F74" i="13"/>
  <c r="G85" i="7"/>
  <c r="G86" i="7"/>
  <c r="G87" i="7"/>
  <c r="G89" i="7"/>
  <c r="G74" i="13"/>
  <c r="H85" i="7"/>
  <c r="H86" i="7"/>
  <c r="H87" i="7"/>
  <c r="H89" i="7"/>
  <c r="H74" i="13"/>
  <c r="I85" i="7"/>
  <c r="I86" i="7"/>
  <c r="I87" i="7"/>
  <c r="I89" i="7"/>
  <c r="I74" i="13"/>
  <c r="J85" i="7"/>
  <c r="J86" i="7"/>
  <c r="J87" i="7"/>
  <c r="J89" i="7"/>
  <c r="J74" i="13"/>
  <c r="K74" i="13"/>
  <c r="C6" i="21"/>
  <c r="J6" i="21"/>
  <c r="P8" i="32"/>
  <c r="L155" i="2"/>
  <c r="Q8" i="32"/>
  <c r="Q16" i="32"/>
  <c r="E15" i="41"/>
  <c r="J4" i="21"/>
  <c r="P6" i="32"/>
  <c r="Q6" i="32"/>
  <c r="Q14" i="32"/>
  <c r="D15" i="41"/>
  <c r="B266" i="2"/>
  <c r="B58" i="14"/>
  <c r="D11" i="29"/>
  <c r="F179" i="27"/>
  <c r="B271" i="2"/>
  <c r="B63" i="14"/>
  <c r="B59" i="14"/>
  <c r="B268" i="2"/>
  <c r="B60" i="14"/>
  <c r="B269" i="2"/>
  <c r="B61" i="14"/>
  <c r="B270" i="2"/>
  <c r="B62" i="14"/>
  <c r="B272" i="2"/>
  <c r="B64" i="14"/>
  <c r="B273" i="2"/>
  <c r="B65" i="14"/>
  <c r="B67" i="14"/>
  <c r="B261" i="2"/>
  <c r="B44" i="14"/>
  <c r="B256" i="2"/>
  <c r="B39" i="14"/>
  <c r="B40" i="14"/>
  <c r="B258" i="2"/>
  <c r="B41" i="14"/>
  <c r="B259" i="2"/>
  <c r="B42" i="14"/>
  <c r="B260" i="2"/>
  <c r="B43" i="14"/>
  <c r="B262" i="2"/>
  <c r="B45" i="14"/>
  <c r="B263" i="2"/>
  <c r="B46" i="14"/>
  <c r="B49" i="14"/>
  <c r="B264" i="2"/>
  <c r="B274" i="2"/>
  <c r="L29" i="41"/>
  <c r="K29" i="41"/>
  <c r="H25" i="29"/>
  <c r="I25" i="29"/>
  <c r="J25" i="29"/>
  <c r="D25" i="29"/>
  <c r="F290" i="27"/>
  <c r="H24" i="29"/>
  <c r="I24" i="29"/>
  <c r="J24" i="29"/>
  <c r="D24" i="29"/>
  <c r="F295" i="27"/>
  <c r="D10" i="29"/>
  <c r="F178" i="27"/>
  <c r="B296" i="2"/>
  <c r="D23" i="8"/>
  <c r="D50" i="11"/>
  <c r="H14" i="29"/>
  <c r="I14" i="29"/>
  <c r="J14" i="29"/>
  <c r="D14" i="29"/>
  <c r="F202" i="27"/>
  <c r="D51" i="11"/>
  <c r="D52" i="11"/>
  <c r="D53" i="11"/>
  <c r="D54" i="11"/>
  <c r="D55" i="11"/>
  <c r="D56" i="11"/>
  <c r="D57" i="11"/>
  <c r="D58" i="11"/>
  <c r="D59" i="11"/>
  <c r="E23" i="8"/>
  <c r="E50" i="11"/>
  <c r="E51" i="11"/>
  <c r="E52" i="11"/>
  <c r="E53" i="11"/>
  <c r="E54" i="11"/>
  <c r="E55" i="11"/>
  <c r="E56" i="11"/>
  <c r="E57" i="11"/>
  <c r="E58" i="11"/>
  <c r="E59" i="11"/>
  <c r="F23" i="8"/>
  <c r="F50" i="11"/>
  <c r="F51" i="11"/>
  <c r="F52" i="11"/>
  <c r="F53" i="11"/>
  <c r="F54" i="11"/>
  <c r="F55" i="11"/>
  <c r="F56" i="11"/>
  <c r="F57" i="11"/>
  <c r="F58" i="11"/>
  <c r="F59" i="11"/>
  <c r="G23" i="8"/>
  <c r="G50" i="11"/>
  <c r="G51" i="11"/>
  <c r="G52" i="11"/>
  <c r="G53" i="11"/>
  <c r="G54" i="11"/>
  <c r="G55" i="11"/>
  <c r="G56" i="11"/>
  <c r="G57" i="11"/>
  <c r="G58" i="11"/>
  <c r="G59" i="11"/>
  <c r="H23" i="8"/>
  <c r="H50" i="11"/>
  <c r="H51" i="11"/>
  <c r="H52" i="11"/>
  <c r="H53" i="11"/>
  <c r="H54" i="11"/>
  <c r="H55" i="11"/>
  <c r="H56" i="11"/>
  <c r="H57" i="11"/>
  <c r="H58" i="11"/>
  <c r="H59" i="11"/>
  <c r="I23" i="8"/>
  <c r="I50" i="11"/>
  <c r="I51" i="11"/>
  <c r="I52" i="11"/>
  <c r="I53" i="11"/>
  <c r="I54" i="11"/>
  <c r="I55" i="11"/>
  <c r="I56" i="11"/>
  <c r="I57" i="11"/>
  <c r="I58" i="11"/>
  <c r="I59" i="11"/>
  <c r="J23" i="8"/>
  <c r="J50" i="11"/>
  <c r="J51" i="11"/>
  <c r="J52" i="11"/>
  <c r="J53" i="11"/>
  <c r="J54" i="11"/>
  <c r="J55" i="11"/>
  <c r="J56" i="11"/>
  <c r="J57" i="11"/>
  <c r="J58" i="11"/>
  <c r="J59" i="11"/>
  <c r="D6" i="29"/>
  <c r="D5" i="30"/>
  <c r="D7" i="29"/>
  <c r="D6" i="30"/>
  <c r="D8" i="29"/>
  <c r="D7" i="30"/>
  <c r="D8" i="30"/>
  <c r="E5" i="30"/>
  <c r="E6" i="30"/>
  <c r="E7" i="30"/>
  <c r="D15" i="29"/>
  <c r="H5" i="30"/>
  <c r="J5" i="30"/>
  <c r="F78" i="27"/>
  <c r="J6" i="30"/>
  <c r="F105" i="27"/>
  <c r="J7" i="30"/>
  <c r="F132" i="27"/>
  <c r="D62" i="11"/>
  <c r="D63" i="11"/>
  <c r="D68" i="11"/>
  <c r="D69" i="11"/>
  <c r="D71" i="11"/>
  <c r="D72" i="11"/>
  <c r="D73" i="11"/>
  <c r="D74" i="11"/>
  <c r="D75" i="11"/>
  <c r="D76" i="11"/>
  <c r="D77" i="11"/>
  <c r="H17" i="29"/>
  <c r="I17" i="29"/>
  <c r="J17" i="29"/>
  <c r="D17" i="29"/>
  <c r="F59" i="27"/>
  <c r="E62" i="11"/>
  <c r="E63" i="11"/>
  <c r="E68" i="11"/>
  <c r="E69" i="11"/>
  <c r="E71" i="11"/>
  <c r="E72" i="11"/>
  <c r="E73" i="11"/>
  <c r="E74" i="11"/>
  <c r="E75" i="11"/>
  <c r="E76" i="11"/>
  <c r="E77" i="11"/>
  <c r="F62" i="11"/>
  <c r="F63" i="11"/>
  <c r="F68" i="11"/>
  <c r="F69" i="11"/>
  <c r="F71" i="11"/>
  <c r="F72" i="11"/>
  <c r="F73" i="11"/>
  <c r="F74" i="11"/>
  <c r="F75" i="11"/>
  <c r="F76" i="11"/>
  <c r="F77" i="11"/>
  <c r="G62" i="11"/>
  <c r="G63" i="11"/>
  <c r="G68" i="11"/>
  <c r="G69" i="11"/>
  <c r="G71" i="11"/>
  <c r="G72" i="11"/>
  <c r="G73" i="11"/>
  <c r="G74" i="11"/>
  <c r="G75" i="11"/>
  <c r="G76" i="11"/>
  <c r="G77" i="11"/>
  <c r="H62" i="11"/>
  <c r="H63" i="11"/>
  <c r="H68" i="11"/>
  <c r="H69" i="11"/>
  <c r="H71" i="11"/>
  <c r="H72" i="11"/>
  <c r="H73" i="11"/>
  <c r="H74" i="11"/>
  <c r="H75" i="11"/>
  <c r="H76" i="11"/>
  <c r="H77" i="11"/>
  <c r="I62" i="11"/>
  <c r="I63" i="11"/>
  <c r="I68" i="11"/>
  <c r="I69" i="11"/>
  <c r="I71" i="11"/>
  <c r="I72" i="11"/>
  <c r="I73" i="11"/>
  <c r="I74" i="11"/>
  <c r="I75" i="11"/>
  <c r="I76" i="11"/>
  <c r="I77" i="11"/>
  <c r="J62" i="11"/>
  <c r="J63" i="11"/>
  <c r="J68" i="11"/>
  <c r="J69" i="11"/>
  <c r="J71" i="11"/>
  <c r="J72" i="11"/>
  <c r="J73" i="11"/>
  <c r="J74" i="11"/>
  <c r="J75" i="11"/>
  <c r="J76" i="11"/>
  <c r="J77" i="11"/>
  <c r="F153" i="27"/>
  <c r="F154" i="27"/>
  <c r="F155" i="27"/>
  <c r="F152" i="27"/>
  <c r="F235" i="27"/>
  <c r="F245" i="27"/>
  <c r="D87" i="11"/>
  <c r="D85" i="11"/>
  <c r="D89" i="11"/>
  <c r="B91" i="11"/>
  <c r="C91" i="11"/>
  <c r="D91" i="11"/>
  <c r="D88" i="7"/>
  <c r="E87" i="11"/>
  <c r="E85" i="11"/>
  <c r="E89" i="11"/>
  <c r="E91" i="11"/>
  <c r="E88" i="7"/>
  <c r="F87" i="11"/>
  <c r="F85" i="11"/>
  <c r="F89" i="11"/>
  <c r="F91" i="11"/>
  <c r="F88" i="7"/>
  <c r="G87" i="11"/>
  <c r="G85" i="11"/>
  <c r="G89" i="11"/>
  <c r="G91" i="11"/>
  <c r="G88" i="7"/>
  <c r="H87" i="11"/>
  <c r="H85" i="11"/>
  <c r="H89" i="11"/>
  <c r="H91" i="11"/>
  <c r="H88" i="7"/>
  <c r="I87" i="11"/>
  <c r="I85" i="11"/>
  <c r="I89" i="11"/>
  <c r="I91" i="11"/>
  <c r="I88" i="7"/>
  <c r="J87" i="11"/>
  <c r="J85" i="11"/>
  <c r="J89" i="11"/>
  <c r="J91" i="11"/>
  <c r="J88" i="7"/>
  <c r="D2" i="36"/>
  <c r="D3" i="36"/>
  <c r="G10" i="36"/>
  <c r="H10" i="36"/>
  <c r="I10" i="36"/>
  <c r="P16" i="32"/>
  <c r="T16" i="32"/>
  <c r="I15" i="41"/>
  <c r="G7" i="36"/>
  <c r="H7" i="36"/>
  <c r="I7" i="36"/>
  <c r="G8" i="36"/>
  <c r="H8" i="36"/>
  <c r="I8" i="36"/>
  <c r="P14" i="32"/>
  <c r="T14" i="32"/>
  <c r="J5" i="21"/>
  <c r="G9" i="36"/>
  <c r="H9" i="36"/>
  <c r="I9" i="36"/>
  <c r="P7" i="32"/>
  <c r="P15" i="32"/>
  <c r="T15" i="32"/>
  <c r="H19" i="29"/>
  <c r="I19" i="29"/>
  <c r="J19" i="29"/>
  <c r="D19" i="29"/>
  <c r="F196" i="27"/>
  <c r="B48" i="2"/>
  <c r="C8" i="21"/>
  <c r="C16" i="21"/>
  <c r="P18" i="32"/>
  <c r="J15" i="41"/>
  <c r="AC9" i="42"/>
  <c r="A29" i="41"/>
  <c r="B29" i="41"/>
  <c r="C29" i="41"/>
  <c r="D29" i="41"/>
  <c r="E29" i="41"/>
  <c r="F29" i="41"/>
  <c r="G29" i="41"/>
  <c r="H29" i="41"/>
  <c r="I29" i="41"/>
  <c r="J29" i="41"/>
  <c r="F44" i="41"/>
  <c r="F52" i="41"/>
  <c r="F20" i="41"/>
  <c r="F15" i="41"/>
  <c r="G35" i="41"/>
  <c r="H15" i="41"/>
  <c r="H35" i="41"/>
  <c r="I35" i="41"/>
  <c r="F35" i="41"/>
  <c r="Q5" i="32"/>
  <c r="Q13" i="32"/>
  <c r="C15" i="41"/>
  <c r="C35" i="41"/>
  <c r="C44" i="41"/>
  <c r="C52" i="41"/>
  <c r="C20" i="41"/>
  <c r="D35" i="41"/>
  <c r="D44" i="41"/>
  <c r="D52" i="41"/>
  <c r="D20" i="41"/>
  <c r="B15" i="41"/>
  <c r="E35" i="41"/>
  <c r="E44" i="41"/>
  <c r="E52" i="41"/>
  <c r="E20" i="41"/>
  <c r="B35" i="41"/>
  <c r="B44" i="41"/>
  <c r="B52" i="41"/>
  <c r="B20" i="41"/>
  <c r="E36" i="41"/>
  <c r="K33" i="42"/>
  <c r="J33" i="42"/>
  <c r="K32" i="42"/>
  <c r="J32" i="42"/>
  <c r="C36" i="41"/>
  <c r="D36" i="41"/>
  <c r="B36" i="41"/>
  <c r="D12" i="29"/>
  <c r="H40" i="38"/>
  <c r="I40" i="38"/>
  <c r="J40" i="38"/>
  <c r="K40" i="38"/>
  <c r="H41" i="38"/>
  <c r="I41" i="38"/>
  <c r="J41" i="38"/>
  <c r="K41" i="38"/>
  <c r="H42" i="38"/>
  <c r="I42" i="38"/>
  <c r="J42" i="38"/>
  <c r="K42" i="38"/>
  <c r="H43" i="38"/>
  <c r="I43" i="38"/>
  <c r="J43" i="38"/>
  <c r="K43" i="38"/>
  <c r="G41" i="38"/>
  <c r="G42" i="38"/>
  <c r="G43" i="38"/>
  <c r="G40" i="38"/>
  <c r="H37" i="38"/>
  <c r="I37" i="38"/>
  <c r="J37" i="38"/>
  <c r="K37" i="38"/>
  <c r="G37" i="38"/>
  <c r="L22" i="33"/>
  <c r="L21" i="33"/>
  <c r="K22" i="33"/>
  <c r="K21" i="33"/>
  <c r="C12" i="21"/>
  <c r="I12" i="21"/>
  <c r="J12" i="21"/>
  <c r="C13" i="21"/>
  <c r="I13" i="21"/>
  <c r="J13" i="21"/>
  <c r="C14" i="21"/>
  <c r="I14" i="21"/>
  <c r="J14" i="21"/>
  <c r="C11" i="21"/>
  <c r="I11" i="21"/>
  <c r="J11" i="21"/>
  <c r="Q2" i="21"/>
  <c r="Q1" i="21"/>
  <c r="Q7" i="32"/>
  <c r="Q15" i="32"/>
  <c r="J15" i="30"/>
  <c r="D14" i="23"/>
  <c r="K15" i="30"/>
  <c r="J16" i="30"/>
  <c r="K16" i="30"/>
  <c r="J17" i="30"/>
  <c r="K17" i="30"/>
  <c r="K19" i="30"/>
  <c r="L15" i="30"/>
  <c r="L16" i="30"/>
  <c r="L17" i="30"/>
  <c r="L19" i="30"/>
  <c r="J19" i="30"/>
  <c r="J9" i="30"/>
  <c r="D3" i="21"/>
  <c r="D11" i="21"/>
  <c r="D4" i="21"/>
  <c r="D12" i="21"/>
  <c r="D5" i="21"/>
  <c r="D13" i="21"/>
  <c r="D6" i="21"/>
  <c r="D14" i="21"/>
  <c r="F49" i="27"/>
  <c r="C14" i="32"/>
  <c r="D14" i="32"/>
  <c r="E14" i="32"/>
  <c r="F14" i="32"/>
  <c r="F15" i="32"/>
  <c r="I7" i="31"/>
  <c r="I6" i="31"/>
  <c r="J6" i="31"/>
  <c r="L8" i="31"/>
  <c r="L7" i="31"/>
  <c r="M7" i="31"/>
  <c r="L6" i="31"/>
  <c r="I8" i="31"/>
  <c r="F8" i="31"/>
  <c r="F7" i="31"/>
  <c r="F6" i="31"/>
  <c r="C7" i="31"/>
  <c r="C6" i="31"/>
  <c r="D6" i="31"/>
  <c r="G6" i="31"/>
  <c r="M6" i="31"/>
  <c r="O6" i="31"/>
  <c r="D7" i="31"/>
  <c r="G7" i="31"/>
  <c r="J7" i="31"/>
  <c r="O7" i="31"/>
  <c r="K75" i="13"/>
  <c r="C312" i="2"/>
  <c r="F17" i="10"/>
  <c r="E8" i="30"/>
  <c r="F180" i="27"/>
  <c r="C89" i="11"/>
  <c r="B89" i="11"/>
  <c r="C87" i="11"/>
  <c r="B87" i="11"/>
  <c r="C85" i="11"/>
  <c r="B85" i="11"/>
  <c r="H70" i="11"/>
  <c r="G70" i="11"/>
  <c r="B125" i="2"/>
  <c r="B79" i="2"/>
  <c r="D348" i="2"/>
  <c r="C345" i="2"/>
  <c r="C344" i="2"/>
  <c r="F46" i="10"/>
  <c r="C341" i="2"/>
  <c r="C340" i="2"/>
  <c r="C339" i="2"/>
  <c r="C336" i="2"/>
  <c r="C333" i="2"/>
  <c r="C327" i="2"/>
  <c r="C325" i="2"/>
  <c r="F31" i="10"/>
  <c r="C318" i="2"/>
  <c r="D70" i="11"/>
  <c r="E70" i="11"/>
  <c r="F70" i="11"/>
  <c r="I70" i="11"/>
  <c r="J70" i="11"/>
  <c r="B348" i="2"/>
  <c r="E348" i="2"/>
  <c r="B144" i="2"/>
  <c r="B159" i="2"/>
  <c r="D193" i="2"/>
  <c r="D192" i="2"/>
  <c r="D191" i="2"/>
  <c r="D190" i="2"/>
  <c r="D189" i="2"/>
  <c r="D188" i="2"/>
  <c r="D187" i="2"/>
  <c r="B109" i="2"/>
  <c r="B94" i="2"/>
  <c r="B91" i="2"/>
  <c r="B416" i="2"/>
  <c r="B409" i="2"/>
  <c r="B406" i="2"/>
  <c r="B405" i="2"/>
  <c r="B404" i="2"/>
  <c r="B395" i="2"/>
  <c r="B387" i="2"/>
  <c r="B380" i="2"/>
  <c r="B372" i="2"/>
  <c r="B373" i="2"/>
  <c r="B366" i="2"/>
  <c r="B367" i="2"/>
  <c r="B365" i="2"/>
  <c r="B364" i="2"/>
  <c r="B362" i="2"/>
  <c r="B361" i="2"/>
  <c r="B360" i="2"/>
  <c r="B358" i="2"/>
  <c r="B357" i="2"/>
  <c r="B356" i="2"/>
  <c r="B355" i="2"/>
  <c r="E349" i="2"/>
  <c r="B341" i="2"/>
  <c r="B345" i="2"/>
  <c r="B336" i="2"/>
  <c r="B244" i="2"/>
  <c r="B245" i="2"/>
  <c r="B246" i="2"/>
  <c r="B247" i="2"/>
  <c r="B248" i="2"/>
  <c r="B249" i="2"/>
  <c r="B250" i="2"/>
  <c r="B251" i="2"/>
  <c r="B252" i="2"/>
  <c r="B253" i="2"/>
  <c r="B243" i="2"/>
  <c r="B242" i="2"/>
  <c r="B241" i="2"/>
  <c r="B234" i="2"/>
  <c r="B235" i="2"/>
  <c r="B236" i="2"/>
  <c r="B237" i="2"/>
  <c r="B238" i="2"/>
  <c r="B233" i="2"/>
  <c r="B232" i="2"/>
  <c r="B428" i="2"/>
  <c r="B429" i="2"/>
  <c r="B430" i="2"/>
  <c r="B431" i="2"/>
  <c r="B432" i="2"/>
  <c r="B433" i="2"/>
  <c r="B427" i="2"/>
  <c r="B426" i="2"/>
  <c r="B425" i="2"/>
  <c r="I209" i="27"/>
  <c r="B422" i="2"/>
  <c r="B421" i="2"/>
  <c r="B72" i="2"/>
  <c r="D60" i="2"/>
  <c r="D59" i="2"/>
  <c r="D58" i="2"/>
  <c r="D57" i="2"/>
  <c r="B55" i="2"/>
  <c r="B410" i="2"/>
  <c r="B411" i="2"/>
  <c r="B412" i="2"/>
  <c r="B44" i="2"/>
  <c r="B43" i="2"/>
  <c r="B42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18" i="2"/>
  <c r="B7" i="2"/>
  <c r="B400" i="2"/>
  <c r="B399" i="2"/>
  <c r="C42" i="11"/>
  <c r="C43" i="11"/>
  <c r="C44" i="11"/>
  <c r="C45" i="11"/>
  <c r="C41" i="11"/>
  <c r="B26" i="11"/>
  <c r="B27" i="11"/>
  <c r="B28" i="11"/>
  <c r="B29" i="11"/>
  <c r="B30" i="11"/>
  <c r="B31" i="11"/>
  <c r="B32" i="11"/>
  <c r="B33" i="11"/>
  <c r="B34" i="11"/>
  <c r="B35" i="11"/>
  <c r="B25" i="11"/>
  <c r="B14" i="11"/>
  <c r="B15" i="11"/>
  <c r="B16" i="11"/>
  <c r="B17" i="11"/>
  <c r="B18" i="11"/>
  <c r="B19" i="11"/>
  <c r="B20" i="11"/>
  <c r="B21" i="11"/>
  <c r="B22" i="11"/>
  <c r="B13" i="11"/>
  <c r="B10" i="11"/>
  <c r="B9" i="11"/>
  <c r="B8" i="11"/>
  <c r="B7" i="11"/>
  <c r="B6" i="11"/>
  <c r="H44" i="10"/>
  <c r="E80" i="7"/>
  <c r="I80" i="7"/>
  <c r="G80" i="7"/>
  <c r="J80" i="7"/>
  <c r="B31" i="14"/>
  <c r="B30" i="14"/>
  <c r="B29" i="14"/>
  <c r="B28" i="14"/>
  <c r="B27" i="14"/>
  <c r="B24" i="14"/>
  <c r="B23" i="14"/>
  <c r="F79" i="14"/>
  <c r="B6" i="14"/>
  <c r="B7" i="14"/>
  <c r="B8" i="14"/>
  <c r="B10" i="14"/>
  <c r="B9" i="14"/>
  <c r="B11" i="14"/>
  <c r="B12" i="14"/>
  <c r="B67" i="2"/>
  <c r="D10" i="13"/>
  <c r="E10" i="13"/>
  <c r="F10" i="13"/>
  <c r="G10" i="13"/>
  <c r="H10" i="13"/>
  <c r="I10" i="13"/>
  <c r="J10" i="13"/>
  <c r="D11" i="13"/>
  <c r="E11" i="13"/>
  <c r="F11" i="13"/>
  <c r="G11" i="13"/>
  <c r="H11" i="13"/>
  <c r="I11" i="13"/>
  <c r="J11" i="13"/>
  <c r="K8" i="13"/>
  <c r="K9" i="13"/>
  <c r="C23" i="13"/>
  <c r="C24" i="13"/>
  <c r="B66" i="14"/>
  <c r="F95" i="14"/>
  <c r="C52" i="13"/>
  <c r="C53" i="13"/>
  <c r="C54" i="13"/>
  <c r="C55" i="13"/>
  <c r="B23" i="13"/>
  <c r="B24" i="13"/>
  <c r="B20" i="14"/>
  <c r="B21" i="14"/>
  <c r="B22" i="14"/>
  <c r="B25" i="14"/>
  <c r="B26" i="14"/>
  <c r="B47" i="14"/>
  <c r="B69" i="13"/>
  <c r="H7" i="2"/>
  <c r="F48" i="10"/>
  <c r="F49" i="10"/>
  <c r="F53" i="8"/>
  <c r="F54" i="8"/>
  <c r="F50" i="10"/>
  <c r="F44" i="10"/>
  <c r="I44" i="10"/>
  <c r="B44" i="10"/>
  <c r="B45" i="10"/>
  <c r="B47" i="10"/>
  <c r="B48" i="10"/>
  <c r="B49" i="10"/>
  <c r="B50" i="10"/>
  <c r="B51" i="10"/>
  <c r="B52" i="10"/>
  <c r="F39" i="10"/>
  <c r="B35" i="10"/>
  <c r="B36" i="10"/>
  <c r="B37" i="10"/>
  <c r="B38" i="10"/>
  <c r="B39" i="10"/>
  <c r="B40" i="10"/>
  <c r="F24" i="10"/>
  <c r="F33" i="10"/>
  <c r="H6" i="2"/>
  <c r="F392" i="2"/>
  <c r="F90" i="14"/>
  <c r="E111" i="23"/>
  <c r="E62" i="23"/>
  <c r="I158" i="23"/>
  <c r="J159" i="23"/>
  <c r="E63" i="23"/>
  <c r="E105" i="23"/>
  <c r="E64" i="23"/>
  <c r="G64" i="23"/>
  <c r="C36" i="23"/>
  <c r="B172" i="2"/>
  <c r="C172" i="2"/>
  <c r="D172" i="2"/>
  <c r="E172" i="2"/>
  <c r="F172" i="2"/>
  <c r="B173" i="2"/>
  <c r="C173" i="2"/>
  <c r="D173" i="2"/>
  <c r="E173" i="2"/>
  <c r="F173" i="2"/>
  <c r="B131" i="2"/>
  <c r="B115" i="2"/>
  <c r="A6" i="14"/>
  <c r="B171" i="2"/>
  <c r="C171" i="2"/>
  <c r="D171" i="2"/>
  <c r="E171" i="2"/>
  <c r="C159" i="2"/>
  <c r="D159" i="2"/>
  <c r="E159" i="2"/>
  <c r="F159" i="2"/>
  <c r="A76" i="14"/>
  <c r="A77" i="14"/>
  <c r="A78" i="14"/>
  <c r="A79" i="14"/>
  <c r="A7" i="8"/>
  <c r="A8" i="8"/>
  <c r="A9" i="8"/>
  <c r="A10" i="8"/>
  <c r="A11" i="8"/>
  <c r="A12" i="8"/>
  <c r="A13" i="8"/>
  <c r="A14" i="8"/>
  <c r="A15" i="8"/>
  <c r="A16" i="8"/>
  <c r="A17" i="8"/>
  <c r="A18" i="8"/>
  <c r="A19" i="8"/>
  <c r="A20" i="8"/>
  <c r="A21" i="8"/>
  <c r="A22" i="8"/>
  <c r="A24" i="8"/>
  <c r="A19" i="14"/>
  <c r="A20" i="14"/>
  <c r="A21" i="14"/>
  <c r="A22" i="14"/>
  <c r="A23" i="14"/>
  <c r="A24" i="14"/>
  <c r="A25" i="14"/>
  <c r="A26" i="14"/>
  <c r="A27" i="14"/>
  <c r="A28" i="14"/>
  <c r="A29" i="14"/>
  <c r="A30" i="14"/>
  <c r="A31" i="14"/>
  <c r="A7" i="14"/>
  <c r="A8" i="14"/>
  <c r="A9" i="14"/>
  <c r="A10" i="14"/>
  <c r="A11" i="14"/>
  <c r="A12" i="14"/>
  <c r="A3" i="13"/>
  <c r="L145" i="2"/>
  <c r="F52" i="23"/>
  <c r="H52" i="23"/>
  <c r="E56" i="23"/>
  <c r="E110" i="23"/>
  <c r="E57" i="23"/>
  <c r="J158" i="23"/>
  <c r="E58" i="23"/>
  <c r="E59" i="23"/>
  <c r="G59" i="23"/>
  <c r="C34" i="23"/>
  <c r="I57" i="2"/>
  <c r="I58" i="2"/>
  <c r="H36" i="23"/>
  <c r="R42" i="23"/>
  <c r="S42" i="23"/>
  <c r="F184" i="2"/>
  <c r="E57" i="8"/>
  <c r="D57" i="8"/>
  <c r="A39" i="13"/>
  <c r="A7" i="13"/>
  <c r="E104" i="23"/>
  <c r="J105" i="23"/>
  <c r="I59" i="2"/>
  <c r="N102" i="2"/>
  <c r="M102" i="2"/>
  <c r="K98" i="23"/>
  <c r="F20" i="23"/>
  <c r="H49" i="10"/>
  <c r="I49" i="10"/>
  <c r="H48" i="10"/>
  <c r="I48" i="10"/>
  <c r="K33" i="8"/>
  <c r="H50" i="10"/>
  <c r="I50" i="10"/>
  <c r="L146" i="2"/>
  <c r="C45" i="8"/>
  <c r="B13" i="14"/>
  <c r="H8" i="14"/>
  <c r="L8" i="14"/>
  <c r="C26" i="13"/>
  <c r="K10" i="13"/>
  <c r="K11" i="13"/>
  <c r="B26" i="13"/>
  <c r="Z111" i="2"/>
  <c r="Z110" i="2"/>
  <c r="K110" i="2"/>
  <c r="Z127" i="2"/>
  <c r="Z126" i="2"/>
  <c r="K126" i="2"/>
  <c r="B38" i="2"/>
  <c r="F96" i="14"/>
  <c r="B45" i="8"/>
  <c r="N110" i="2"/>
  <c r="N119" i="2"/>
  <c r="B56" i="13"/>
  <c r="O110" i="2"/>
  <c r="O119" i="2"/>
  <c r="C56" i="13"/>
  <c r="Z113" i="2"/>
  <c r="Z116" i="2"/>
  <c r="Z129" i="2"/>
  <c r="Z132" i="2"/>
  <c r="N126" i="2"/>
  <c r="N135" i="2"/>
  <c r="B57" i="13"/>
  <c r="O126" i="2"/>
  <c r="O135" i="2"/>
  <c r="C57" i="13"/>
  <c r="D29" i="13"/>
  <c r="B27" i="13"/>
  <c r="C27" i="13"/>
  <c r="H60" i="10"/>
  <c r="G58" i="13"/>
  <c r="D58" i="13"/>
  <c r="H29" i="13"/>
  <c r="J58" i="13"/>
  <c r="F58" i="13"/>
  <c r="I29" i="13"/>
  <c r="J29" i="13"/>
  <c r="H58" i="13"/>
  <c r="I58" i="13"/>
  <c r="C29" i="13"/>
  <c r="C31" i="13"/>
  <c r="B29" i="13"/>
  <c r="B31" i="13"/>
  <c r="C58" i="13"/>
  <c r="F29" i="13"/>
  <c r="E58" i="13"/>
  <c r="L58" i="13"/>
  <c r="O29" i="13"/>
  <c r="J5" i="13"/>
  <c r="B57" i="8"/>
  <c r="E179" i="2"/>
  <c r="F179" i="2"/>
  <c r="B19" i="14"/>
  <c r="D177" i="2"/>
  <c r="D175" i="2"/>
  <c r="D174" i="2"/>
  <c r="B174" i="2"/>
  <c r="B51" i="13"/>
  <c r="B418" i="2"/>
  <c r="E180" i="2"/>
  <c r="E178" i="2"/>
  <c r="E177" i="2"/>
  <c r="E176" i="2"/>
  <c r="E175" i="2"/>
  <c r="E174" i="2"/>
  <c r="F180" i="2"/>
  <c r="F178" i="2"/>
  <c r="F177" i="2"/>
  <c r="F176" i="2"/>
  <c r="F175" i="2"/>
  <c r="F174" i="2"/>
  <c r="C180" i="2"/>
  <c r="C179" i="2"/>
  <c r="C178" i="2"/>
  <c r="C177" i="2"/>
  <c r="C176" i="2"/>
  <c r="C175" i="2"/>
  <c r="C174" i="2"/>
  <c r="B180" i="2"/>
  <c r="B179" i="2"/>
  <c r="B178" i="2"/>
  <c r="B177" i="2"/>
  <c r="B176" i="2"/>
  <c r="B175" i="2"/>
  <c r="F84" i="14"/>
  <c r="F87" i="14"/>
  <c r="F88" i="14"/>
  <c r="C57" i="8"/>
  <c r="F78" i="14"/>
  <c r="B58" i="13"/>
  <c r="F82" i="14"/>
  <c r="C87" i="7"/>
  <c r="B87" i="7"/>
  <c r="C73" i="13"/>
  <c r="B88" i="7"/>
  <c r="C85" i="7"/>
  <c r="B85" i="7"/>
  <c r="F83" i="14"/>
  <c r="C86" i="7"/>
  <c r="B86" i="7"/>
  <c r="F77" i="14"/>
  <c r="F89" i="14"/>
  <c r="F76" i="14"/>
  <c r="J46" i="8"/>
  <c r="H21" i="14"/>
  <c r="L21" i="14"/>
  <c r="B32" i="14"/>
  <c r="I177" i="2"/>
  <c r="I175" i="2"/>
  <c r="D178" i="2"/>
  <c r="I178" i="2"/>
  <c r="D179" i="2"/>
  <c r="I179" i="2"/>
  <c r="D176" i="2"/>
  <c r="I176" i="2"/>
  <c r="D180" i="2"/>
  <c r="I180" i="2"/>
  <c r="I174" i="2"/>
  <c r="E46" i="8"/>
  <c r="G46" i="8"/>
  <c r="F46" i="8"/>
  <c r="H46" i="8"/>
  <c r="I46" i="8"/>
  <c r="C71" i="2"/>
  <c r="B22" i="7"/>
  <c r="B7" i="7"/>
  <c r="B8" i="7"/>
  <c r="B10" i="7"/>
  <c r="B9" i="7"/>
  <c r="B6" i="7"/>
  <c r="B20" i="7"/>
  <c r="B31" i="7"/>
  <c r="B19" i="7"/>
  <c r="C43" i="7"/>
  <c r="B14" i="7"/>
  <c r="B30" i="7"/>
  <c r="B18" i="7"/>
  <c r="B32" i="7"/>
  <c r="C41" i="7"/>
  <c r="B29" i="7"/>
  <c r="B15" i="7"/>
  <c r="C40" i="7"/>
  <c r="B28" i="7"/>
  <c r="B13" i="7"/>
  <c r="B34" i="7"/>
  <c r="C44" i="7"/>
  <c r="B27" i="7"/>
  <c r="B21" i="7"/>
  <c r="B16" i="7"/>
  <c r="B26" i="7"/>
  <c r="B17" i="7"/>
  <c r="B33" i="7"/>
  <c r="B25" i="7"/>
  <c r="B35" i="7"/>
  <c r="F80" i="7"/>
  <c r="H80" i="7"/>
  <c r="F80" i="14"/>
  <c r="B14" i="14"/>
  <c r="F93" i="14"/>
  <c r="C88" i="7"/>
  <c r="C89" i="7"/>
  <c r="C74" i="13"/>
  <c r="F85" i="14"/>
  <c r="B33" i="14"/>
  <c r="B390" i="2"/>
  <c r="C390" i="2"/>
  <c r="F389" i="2"/>
  <c r="F91" i="14"/>
  <c r="B50" i="14"/>
  <c r="F94" i="14"/>
  <c r="H59" i="10"/>
  <c r="H58" i="10"/>
  <c r="I41" i="10"/>
  <c r="H41" i="10"/>
  <c r="H20" i="14"/>
  <c r="B23" i="7"/>
  <c r="B17" i="14"/>
  <c r="B36" i="7"/>
  <c r="B37" i="14"/>
  <c r="C45" i="7"/>
  <c r="B11" i="7"/>
  <c r="G29" i="13"/>
  <c r="E29" i="13"/>
  <c r="B89" i="7"/>
  <c r="B74" i="13"/>
  <c r="H7" i="14"/>
  <c r="B51" i="14"/>
  <c r="B37" i="13"/>
  <c r="F97" i="14"/>
  <c r="B68" i="14"/>
  <c r="B34" i="14"/>
  <c r="B36" i="13"/>
  <c r="C67" i="13"/>
  <c r="B61" i="13"/>
  <c r="C68" i="13"/>
  <c r="C61" i="13"/>
  <c r="C64" i="13"/>
  <c r="D80" i="7"/>
  <c r="H22" i="14"/>
  <c r="L20" i="14"/>
  <c r="L22" i="14"/>
  <c r="B75" i="13"/>
  <c r="L29" i="13"/>
  <c r="B4" i="14"/>
  <c r="B15" i="14"/>
  <c r="B35" i="13"/>
  <c r="B56" i="14"/>
  <c r="L7" i="14"/>
  <c r="L9" i="14"/>
  <c r="H9" i="14"/>
  <c r="B69" i="14"/>
  <c r="C38" i="13"/>
  <c r="C43" i="13"/>
  <c r="C44" i="13"/>
  <c r="J69" i="13"/>
  <c r="D69" i="13"/>
  <c r="B64" i="13"/>
  <c r="I55" i="10"/>
  <c r="J64" i="13"/>
  <c r="C69" i="13"/>
  <c r="D33" i="8"/>
  <c r="E33" i="8"/>
  <c r="B43" i="13"/>
  <c r="B44" i="13"/>
  <c r="B46" i="13"/>
  <c r="E64" i="13"/>
  <c r="I64" i="13"/>
  <c r="D64" i="13"/>
  <c r="H69" i="13"/>
  <c r="G69" i="13"/>
  <c r="B77" i="13"/>
  <c r="B79" i="13"/>
  <c r="B81" i="13"/>
  <c r="K69" i="13"/>
  <c r="I69" i="13"/>
  <c r="E69" i="13"/>
  <c r="F69" i="13"/>
  <c r="H64" i="13"/>
  <c r="F64" i="13"/>
  <c r="G64" i="13"/>
  <c r="F33" i="8"/>
  <c r="C46" i="13"/>
  <c r="C72" i="13"/>
  <c r="C75" i="13"/>
  <c r="L69" i="13"/>
  <c r="K64" i="13"/>
  <c r="L64" i="13"/>
  <c r="E75" i="13"/>
  <c r="E77" i="13"/>
  <c r="E79" i="13"/>
  <c r="G33" i="8"/>
  <c r="C77" i="13"/>
  <c r="C79" i="13"/>
  <c r="C81" i="13"/>
  <c r="H33" i="8"/>
  <c r="I33" i="8"/>
  <c r="J33" i="8"/>
  <c r="D75" i="13"/>
  <c r="G75" i="13"/>
  <c r="G77" i="13"/>
  <c r="G79" i="13"/>
  <c r="D77" i="13"/>
  <c r="F75" i="13"/>
  <c r="D79" i="13"/>
  <c r="F77" i="13"/>
  <c r="J75" i="13"/>
  <c r="J77" i="13"/>
  <c r="J79" i="13"/>
  <c r="I75" i="13"/>
  <c r="I77" i="13"/>
  <c r="I79" i="13"/>
  <c r="L44" i="13"/>
  <c r="F79" i="13"/>
  <c r="L46" i="13"/>
  <c r="H75" i="13"/>
  <c r="K77" i="13"/>
  <c r="K79" i="13"/>
  <c r="C72" i="2"/>
  <c r="H77" i="13"/>
  <c r="L75" i="13"/>
  <c r="B73" i="2"/>
  <c r="C73" i="2"/>
  <c r="H79" i="13"/>
  <c r="L77" i="13"/>
  <c r="L79" i="13"/>
  <c r="L156" i="2"/>
  <c r="W8" i="33"/>
  <c r="P10" i="32"/>
  <c r="D8" i="21"/>
  <c r="E8" i="21"/>
  <c r="B49" i="2"/>
  <c r="B50" i="2"/>
  <c r="D48" i="2"/>
  <c r="D49" i="2"/>
  <c r="G4" i="13"/>
  <c r="I4" i="13"/>
  <c r="J4" i="13"/>
  <c r="I5" i="13"/>
  <c r="H4" i="13"/>
  <c r="H5" i="13"/>
  <c r="G5" i="13"/>
  <c r="G20" i="13"/>
  <c r="G31" i="13"/>
  <c r="G81" i="13"/>
  <c r="E4" i="13"/>
  <c r="F4" i="13"/>
  <c r="F5" i="13"/>
  <c r="E5" i="13"/>
  <c r="E20" i="13"/>
  <c r="E31" i="13"/>
  <c r="E33" i="13"/>
  <c r="E81" i="13"/>
  <c r="D4" i="13"/>
  <c r="D5" i="13"/>
  <c r="K5" i="13"/>
  <c r="D20" i="13"/>
  <c r="F20" i="13"/>
  <c r="H20" i="13"/>
  <c r="I20" i="13"/>
  <c r="J20" i="13"/>
  <c r="L20" i="13"/>
  <c r="J31" i="13"/>
  <c r="J81" i="13"/>
  <c r="I31" i="13"/>
  <c r="I81" i="13"/>
  <c r="D31" i="13"/>
  <c r="F31" i="13"/>
  <c r="H31" i="13"/>
  <c r="L31" i="13"/>
  <c r="F81" i="13"/>
  <c r="K4" i="13"/>
  <c r="K20" i="13"/>
  <c r="K31" i="13"/>
  <c r="K81" i="13"/>
  <c r="H81" i="13"/>
  <c r="D81" i="13"/>
  <c r="L81" i="13"/>
</calcChain>
</file>

<file path=xl/comments1.xml><?xml version="1.0" encoding="utf-8"?>
<comments xmlns="http://schemas.openxmlformats.org/spreadsheetml/2006/main">
  <authors>
    <author>Juan Hernandez</author>
  </authors>
  <commentList>
    <comment ref="AC9" authorId="0" shapeId="0">
      <text>
        <r>
          <rPr>
            <b/>
            <sz val="9"/>
            <color indexed="81"/>
            <rFont val="Calibri"/>
            <family val="2"/>
          </rPr>
          <t>Juan Hernandez:</t>
        </r>
        <r>
          <rPr>
            <sz val="9"/>
            <color indexed="81"/>
            <rFont val="Calibri"/>
            <family val="2"/>
          </rPr>
          <t xml:space="preserve">
It will change according to user input</t>
        </r>
      </text>
    </comment>
    <comment ref="AC12" authorId="0" shapeId="0">
      <text>
        <r>
          <rPr>
            <b/>
            <sz val="9"/>
            <color indexed="81"/>
            <rFont val="Calibri"/>
            <family val="2"/>
          </rPr>
          <t>Juan Hernandez:</t>
        </r>
        <r>
          <rPr>
            <sz val="9"/>
            <color indexed="81"/>
            <rFont val="Calibri"/>
            <family val="2"/>
          </rPr>
          <t xml:space="preserve">
Feel free to attach this number to a reliable source that update each day.
From now I am taking from:
http://markets.businessinsider.com/commodities/coffee-price</t>
        </r>
      </text>
    </comment>
  </commentList>
</comments>
</file>

<file path=xl/comments2.xml><?xml version="1.0" encoding="utf-8"?>
<comments xmlns="http://schemas.openxmlformats.org/spreadsheetml/2006/main">
  <authors>
    <author>Juan Hernandez</author>
  </authors>
  <commentList>
    <comment ref="J15" authorId="0" shapeId="0">
      <text>
        <r>
          <rPr>
            <b/>
            <sz val="9"/>
            <color indexed="81"/>
            <rFont val="Calibri"/>
            <family val="2"/>
          </rPr>
          <t>Juan Hernandez:</t>
        </r>
        <r>
          <rPr>
            <sz val="9"/>
            <color indexed="81"/>
            <rFont val="Calibri"/>
            <family val="2"/>
          </rPr>
          <t xml:space="preserve">
It will change according to user input</t>
        </r>
      </text>
    </comment>
    <comment ref="A36" authorId="0" shapeId="0">
      <text>
        <r>
          <rPr>
            <b/>
            <sz val="9"/>
            <color indexed="81"/>
            <rFont val="Calibri"/>
            <family val="2"/>
          </rPr>
          <t>Juan Hernandez: For now this average match previous studies</t>
        </r>
        <r>
          <rPr>
            <sz val="9"/>
            <color indexed="81"/>
            <rFont val="Calibri"/>
            <family val="2"/>
          </rPr>
          <t xml:space="preserve"> </t>
        </r>
      </text>
    </comment>
    <comment ref="D60" authorId="0" shapeId="0">
      <text>
        <r>
          <rPr>
            <b/>
            <sz val="9"/>
            <color indexed="81"/>
            <rFont val="Calibri"/>
            <family val="2"/>
          </rPr>
          <t>Juan Hernandez:</t>
        </r>
        <r>
          <rPr>
            <sz val="9"/>
            <color indexed="81"/>
            <rFont val="Calibri"/>
            <family val="2"/>
          </rPr>
          <t xml:space="preserve">
Info comes from fieldwork in Peru</t>
        </r>
      </text>
    </comment>
    <comment ref="E60" authorId="0" shapeId="0">
      <text>
        <r>
          <rPr>
            <b/>
            <sz val="9"/>
            <color indexed="81"/>
            <rFont val="Calibri"/>
            <family val="2"/>
          </rPr>
          <t>Juan Hernandez:</t>
        </r>
        <r>
          <rPr>
            <sz val="9"/>
            <color indexed="81"/>
            <rFont val="Calibri"/>
            <family val="2"/>
          </rPr>
          <t xml:space="preserve">
Info comes from fieldwork in Peru</t>
        </r>
      </text>
    </comment>
  </commentList>
</comments>
</file>

<file path=xl/comments3.xml><?xml version="1.0" encoding="utf-8"?>
<comments xmlns="http://schemas.openxmlformats.org/spreadsheetml/2006/main">
  <authors>
    <author>Juan Hernandez</author>
  </authors>
  <commentList>
    <comment ref="B15" authorId="0" shapeId="0">
      <text>
        <r>
          <rPr>
            <b/>
            <sz val="9"/>
            <color indexed="81"/>
            <rFont val="Calibri"/>
            <family val="2"/>
          </rPr>
          <t>Juan Hernandez:</t>
        </r>
        <r>
          <rPr>
            <sz val="9"/>
            <color indexed="81"/>
            <rFont val="Calibri"/>
            <family val="2"/>
          </rPr>
          <t xml:space="preserve">
Exogenous at this time. From previous studies</t>
        </r>
      </text>
    </comment>
  </commentList>
</comments>
</file>

<file path=xl/comments4.xml><?xml version="1.0" encoding="utf-8"?>
<comments xmlns="http://schemas.openxmlformats.org/spreadsheetml/2006/main">
  <authors>
    <author>Juan Hernandez</author>
  </authors>
  <commentList>
    <comment ref="F301" authorId="0" shapeId="0">
      <text>
        <r>
          <rPr>
            <b/>
            <sz val="9"/>
            <color indexed="81"/>
            <rFont val="Calibri"/>
            <family val="2"/>
          </rPr>
          <t>Juan Hernandez:</t>
        </r>
        <r>
          <rPr>
            <sz val="9"/>
            <color indexed="81"/>
            <rFont val="Calibri"/>
            <family val="2"/>
          </rPr>
          <t xml:space="preserve">
976 para que cuadre con el link externo?</t>
        </r>
      </text>
    </comment>
  </commentList>
</comments>
</file>

<file path=xl/comments5.xml><?xml version="1.0" encoding="utf-8"?>
<comments xmlns="http://schemas.openxmlformats.org/spreadsheetml/2006/main">
  <authors>
    <author>Adriana Ramírez Flores</author>
    <author>Luisa Escobar</author>
  </authors>
  <commentList>
    <comment ref="C148" authorId="0" shapeId="0">
      <text>
        <r>
          <rPr>
            <b/>
            <sz val="9"/>
            <color indexed="81"/>
            <rFont val="Tahoma"/>
            <family val="2"/>
          </rPr>
          <t>Adriana Ramírez Flores:</t>
        </r>
        <r>
          <rPr>
            <sz val="9"/>
            <color indexed="81"/>
            <rFont val="Tahoma"/>
            <family val="2"/>
          </rPr>
          <t xml:space="preserve">
aquí no funciona pero se lleva a como 15 celdas abajo</t>
        </r>
      </text>
    </comment>
    <comment ref="D183" authorId="1" shapeId="0">
      <text>
        <r>
          <rPr>
            <b/>
            <sz val="9"/>
            <color indexed="81"/>
            <rFont val="Calibri"/>
            <family val="2"/>
          </rPr>
          <t>Luisa Escobar:</t>
        </r>
        <r>
          <rPr>
            <sz val="9"/>
            <color indexed="81"/>
            <rFont val="Calibri"/>
            <family val="2"/>
          </rPr>
          <t xml:space="preserve">
 En la pregunta queda implicito que se refiere a la productividad de la variedad por hectarea de cada productor, lo cual asumiria que este esta asumiendo las proporciones respectivas de cada variedad)</t>
        </r>
      </text>
    </comment>
    <comment ref="A349" authorId="0" shapeId="0">
      <text>
        <r>
          <rPr>
            <b/>
            <sz val="9"/>
            <color indexed="81"/>
            <rFont val="Tahoma"/>
            <family val="2"/>
          </rPr>
          <t>Adriana Ramírez Flores:</t>
        </r>
        <r>
          <rPr>
            <sz val="9"/>
            <color indexed="81"/>
            <rFont val="Tahoma"/>
            <family val="2"/>
          </rPr>
          <t xml:space="preserve">
esta puede ser el recibo de luz
</t>
        </r>
      </text>
    </comment>
  </commentList>
</comments>
</file>

<file path=xl/comments6.xml><?xml version="1.0" encoding="utf-8"?>
<comments xmlns="http://schemas.openxmlformats.org/spreadsheetml/2006/main">
  <authors>
    <author>Juan Hernandez</author>
  </authors>
  <commentList>
    <comment ref="W11" authorId="0" shapeId="0">
      <text>
        <r>
          <rPr>
            <b/>
            <sz val="9"/>
            <color indexed="81"/>
            <rFont val="Calibri"/>
            <family val="2"/>
          </rPr>
          <t>Juan Hernandez:</t>
        </r>
        <r>
          <rPr>
            <sz val="9"/>
            <color indexed="81"/>
            <rFont val="Calibri"/>
            <family val="2"/>
          </rPr>
          <t xml:space="preserve">
Feel free to attach this number to a reliable source that update each day.
From now I am taking from:
http://markets.businessinsider.com/commodities/coffee-price</t>
        </r>
      </text>
    </comment>
  </commentList>
</comments>
</file>

<file path=xl/comments7.xml><?xml version="1.0" encoding="utf-8"?>
<comments xmlns="http://schemas.openxmlformats.org/spreadsheetml/2006/main">
  <authors>
    <author>Juan Hernandez</author>
    <author>Cornell University</author>
  </authors>
  <commentList>
    <comment ref="C14" authorId="0" shapeId="0">
      <text>
        <r>
          <rPr>
            <b/>
            <sz val="9"/>
            <color indexed="81"/>
            <rFont val="Calibri"/>
            <family val="2"/>
          </rPr>
          <t>Juan Hernandez:</t>
        </r>
        <r>
          <rPr>
            <sz val="9"/>
            <color indexed="81"/>
            <rFont val="Calibri"/>
            <family val="2"/>
          </rPr>
          <t xml:space="preserve">
Christopher Bacon "Estudio de Costos y Propuesta de Precios para sostener el Café, las familias de Productores y Organizaciones Certificadas por Comercio Justo en America Latina"</t>
        </r>
      </text>
    </comment>
    <comment ref="H42" authorId="0" shapeId="0">
      <text>
        <r>
          <rPr>
            <b/>
            <sz val="9"/>
            <color indexed="81"/>
            <rFont val="Calibri"/>
            <family val="2"/>
          </rPr>
          <t>Juan Hernandez:</t>
        </r>
        <r>
          <rPr>
            <sz val="9"/>
            <color indexed="81"/>
            <rFont val="Calibri"/>
            <family val="2"/>
          </rPr>
          <t xml:space="preserve">
esto fue confirmado con Gustavo Cerna</t>
        </r>
      </text>
    </comment>
    <comment ref="H105" authorId="1" shapeId="0">
      <text>
        <r>
          <rPr>
            <b/>
            <sz val="9"/>
            <color indexed="81"/>
            <rFont val="Calibri"/>
            <family val="2"/>
          </rPr>
          <t>Cornell University:</t>
        </r>
        <r>
          <rPr>
            <sz val="9"/>
            <color indexed="81"/>
            <rFont val="Calibri"/>
            <family val="2"/>
          </rPr>
          <t xml:space="preserve">
Ver notas cuaderno
Fair Trade</t>
        </r>
      </text>
    </comment>
  </commentList>
</comments>
</file>

<file path=xl/sharedStrings.xml><?xml version="1.0" encoding="utf-8"?>
<sst xmlns="http://schemas.openxmlformats.org/spreadsheetml/2006/main" count="2460" uniqueCount="982">
  <si>
    <t>Total Variable Costs</t>
  </si>
  <si>
    <t>Fixed Costs ($/hectare)</t>
  </si>
  <si>
    <t>Other Fixed Costs</t>
  </si>
  <si>
    <t>Total Fixed Costs</t>
  </si>
  <si>
    <t>TOTAL COSTS</t>
  </si>
  <si>
    <t>Castillo</t>
  </si>
  <si>
    <t>Item</t>
  </si>
  <si>
    <t>TOTAL</t>
  </si>
  <si>
    <t>Machete</t>
  </si>
  <si>
    <t xml:space="preserve">     Application Fee</t>
  </si>
  <si>
    <t xml:space="preserve">     Flo Premium</t>
  </si>
  <si>
    <t xml:space="preserve">     Organic Premium</t>
  </si>
  <si>
    <t>NET REVENUE</t>
  </si>
  <si>
    <t>Arboles en Total</t>
  </si>
  <si>
    <t>Area de la finca en total</t>
  </si>
  <si>
    <t>Arboles de café</t>
  </si>
  <si>
    <t>Año</t>
  </si>
  <si>
    <t>Costos</t>
  </si>
  <si>
    <t>Precio</t>
  </si>
  <si>
    <t>Sustrato de arena</t>
  </si>
  <si>
    <t>Equipo</t>
  </si>
  <si>
    <t>Bolsitas de plastico</t>
  </si>
  <si>
    <t>Postes de madera</t>
  </si>
  <si>
    <t>Anualmente</t>
  </si>
  <si>
    <t>Carretilla</t>
  </si>
  <si>
    <t>Lima</t>
  </si>
  <si>
    <t>Procentaje</t>
  </si>
  <si>
    <t>Finca Quimica</t>
  </si>
  <si>
    <t>Finca Organica</t>
  </si>
  <si>
    <t>Semilla</t>
  </si>
  <si>
    <t>kilo</t>
  </si>
  <si>
    <t>Materiales</t>
  </si>
  <si>
    <t>Al principio</t>
  </si>
  <si>
    <t>Area de café en total</t>
  </si>
  <si>
    <t>Valor de la Tierra</t>
  </si>
  <si>
    <t>Mano de Obra</t>
  </si>
  <si>
    <t>Supuestos de la Finca</t>
  </si>
  <si>
    <t>Riego</t>
  </si>
  <si>
    <t>Resiembras</t>
  </si>
  <si>
    <t>Recoleccion de café</t>
  </si>
  <si>
    <t>Beneficio seco</t>
  </si>
  <si>
    <t>Preparacion de tierra con abono organico para llenado</t>
  </si>
  <si>
    <t>Cosecha</t>
  </si>
  <si>
    <t>Año 0</t>
  </si>
  <si>
    <t>Año 1</t>
  </si>
  <si>
    <t>Año 2</t>
  </si>
  <si>
    <t>Año 3</t>
  </si>
  <si>
    <t>Año 4</t>
  </si>
  <si>
    <t>Año 5</t>
  </si>
  <si>
    <t>Año 6</t>
  </si>
  <si>
    <t>Año 7</t>
  </si>
  <si>
    <t>Año 8</t>
  </si>
  <si>
    <t>Valor de Mano de Obra</t>
  </si>
  <si>
    <t>Preparación Terreno y Siembra</t>
  </si>
  <si>
    <t>Notes</t>
  </si>
  <si>
    <t>Jornal</t>
  </si>
  <si>
    <t>Finca Cafetera</t>
  </si>
  <si>
    <t>Metodos de Producción</t>
  </si>
  <si>
    <t>1 = yes</t>
  </si>
  <si>
    <t>Ingresos</t>
  </si>
  <si>
    <t>Productividad - Café Pergamino Seco</t>
  </si>
  <si>
    <t>USD/libra</t>
  </si>
  <si>
    <t xml:space="preserve">     Baseline</t>
  </si>
  <si>
    <t>Total Value</t>
  </si>
  <si>
    <t>Annual Opportunity Cost (4% interest)</t>
  </si>
  <si>
    <t xml:space="preserve">     Tierra</t>
  </si>
  <si>
    <t>Notas</t>
  </si>
  <si>
    <t>1 m3 de arena</t>
  </si>
  <si>
    <t>6000 bolsitas</t>
  </si>
  <si>
    <t>2 cm2</t>
  </si>
  <si>
    <t>1 m x 2 m x 40 cm</t>
  </si>
  <si>
    <t>90 kilos</t>
  </si>
  <si>
    <t xml:space="preserve">4 m x 15 m </t>
  </si>
  <si>
    <t>20 postes</t>
  </si>
  <si>
    <t xml:space="preserve">     Impuestos de la tierra</t>
  </si>
  <si>
    <t>Costo Total</t>
  </si>
  <si>
    <t xml:space="preserve">     Equipo</t>
  </si>
  <si>
    <t>Overhead (5% of VC?)</t>
  </si>
  <si>
    <t>Interest (5% of VC?)</t>
  </si>
  <si>
    <t>Tasa de cambio</t>
  </si>
  <si>
    <t xml:space="preserve">     FLO Certificatoin</t>
  </si>
  <si>
    <t xml:space="preserve">     Organic Certification</t>
  </si>
  <si>
    <t xml:space="preserve">     Miscellaneous Supplies (10% of variable costs)</t>
  </si>
  <si>
    <t>USD</t>
  </si>
  <si>
    <t>The second breakeven return allows the producer to stay in business in the short run.</t>
  </si>
  <si>
    <t>If the return is below this level, coffee is uneconomical to produce.</t>
  </si>
  <si>
    <t>The third breakeven allows the producer to stay in business in the long run.</t>
  </si>
  <si>
    <t>Breakeven Implications</t>
  </si>
  <si>
    <t>The fourth breakeven return is the total cost breakeven return. Only when this breakeven return is received can the grower recover all out-of-pocket expenses plus opportunity costs.</t>
  </si>
  <si>
    <t>Total Cash Costs = Total Variable Costs + Membership &amp; Certification Costs + Taxes on Land + Miscellaneous Supplies</t>
  </si>
  <si>
    <t>Out Of Pocket Costs = Total Cash Costs + Depreciation Costs</t>
  </si>
  <si>
    <t xml:space="preserve"> Total Costs = Out of Pocket Costs + Amortized Establishment Costs + Management Costs + Opportunity Costs</t>
  </si>
  <si>
    <t>$/kilo</t>
  </si>
  <si>
    <t>$/lb</t>
  </si>
  <si>
    <t xml:space="preserve">     Baseline (pergamino)</t>
  </si>
  <si>
    <t>Hectareas</t>
  </si>
  <si>
    <t>Tamaño area productiva analizada (ha)</t>
  </si>
  <si>
    <t>Manzanas</t>
  </si>
  <si>
    <t>Hectarea</t>
  </si>
  <si>
    <t>Factores de Conversión</t>
  </si>
  <si>
    <t>Manzana</t>
  </si>
  <si>
    <t>.</t>
  </si>
  <si>
    <t>ANTES ERA 5000 COMO QUE REDONDEABA</t>
  </si>
  <si>
    <t>If both go with the most important</t>
  </si>
  <si>
    <t xml:space="preserve">Moneda local </t>
  </si>
  <si>
    <t>moneda local/kilo</t>
  </si>
  <si>
    <t>moneda local/medida alternativa</t>
  </si>
  <si>
    <t>USD Dollars</t>
  </si>
  <si>
    <t>Conversión a precio por kilo en moneda local</t>
  </si>
  <si>
    <t>Columna links</t>
  </si>
  <si>
    <t>Kilo</t>
  </si>
  <si>
    <t>Libra</t>
  </si>
  <si>
    <t>Quintal</t>
  </si>
  <si>
    <t>Metros 2</t>
  </si>
  <si>
    <t>Arroba</t>
  </si>
  <si>
    <t>Carga</t>
  </si>
  <si>
    <t>Sacos</t>
  </si>
  <si>
    <t>Area</t>
  </si>
  <si>
    <t>Weight</t>
  </si>
  <si>
    <t>Arrobas</t>
  </si>
  <si>
    <t>Currency</t>
  </si>
  <si>
    <t>Lempira (Honduras)</t>
  </si>
  <si>
    <t>Nuevo Sol (Peru)</t>
  </si>
  <si>
    <t>Pesos  (Colombia)</t>
  </si>
  <si>
    <t>Ingreso annual aproximado</t>
  </si>
  <si>
    <t>Administración de su finca</t>
  </si>
  <si>
    <t>Cuantos dias al mes gasta ud en cuestiones administrativas de su finca como llevar las cuentas, pagar servicios etc.?</t>
  </si>
  <si>
    <t>Atarlo a presupuesto C50</t>
  </si>
  <si>
    <t>Cuantos dias al mes gasta UD en cuestiones administrativas de su finca como llevar las cuentas, pagar servicios etc.?</t>
  </si>
  <si>
    <t xml:space="preserve">     Management Cost </t>
  </si>
  <si>
    <t>Cual es el valor del Jornal en la zona? (el pago por días)</t>
  </si>
  <si>
    <t>Cual es el salario minimo mensual por ley?</t>
  </si>
  <si>
    <r>
      <rPr>
        <b/>
        <sz val="12"/>
        <color theme="0"/>
        <rFont val="Calibri"/>
        <family val="2"/>
        <scheme val="minor"/>
      </rPr>
      <t>Nota:</t>
    </r>
    <r>
      <rPr>
        <sz val="12"/>
        <color theme="0"/>
        <rFont val="Calibri"/>
        <family val="2"/>
        <scheme val="minor"/>
      </rPr>
      <t xml:space="preserve"> Para productividad esta es al final la variable objetivo</t>
    </r>
  </si>
  <si>
    <t>Primas</t>
  </si>
  <si>
    <t>1=yes</t>
  </si>
  <si>
    <t xml:space="preserve">Fair Trade </t>
  </si>
  <si>
    <t>Organic</t>
  </si>
  <si>
    <t xml:space="preserve">Otra:                                   .                    </t>
  </si>
  <si>
    <t xml:space="preserve">libra </t>
  </si>
  <si>
    <t>quintal</t>
  </si>
  <si>
    <r>
      <rPr>
        <b/>
        <sz val="12"/>
        <color theme="0"/>
        <rFont val="Calibri"/>
        <family val="2"/>
        <scheme val="minor"/>
      </rPr>
      <t>Nota:</t>
    </r>
    <r>
      <rPr>
        <sz val="12"/>
        <color theme="0"/>
        <rFont val="Calibri"/>
        <family val="2"/>
        <scheme val="minor"/>
      </rPr>
      <t xml:space="preserve"> Esta información es para efecto comparativo con lo que diga la cooperativa</t>
    </r>
  </si>
  <si>
    <t>Productividad</t>
  </si>
  <si>
    <t>Recibio usted otros ingresos por parte de la cooperativa diferentes a prestamos? (Regalos, premios, ayudas). Cuál fue la suma?</t>
  </si>
  <si>
    <t xml:space="preserve">En que Año?:                                           </t>
  </si>
  <si>
    <t xml:space="preserve">Preparacion terreno (Año 0) </t>
  </si>
  <si>
    <t>Fertilización y control de plagas (Año 1)</t>
  </si>
  <si>
    <t>Cosecha y Postcosecha (Año 2)</t>
  </si>
  <si>
    <t>Cosecha y Postcosecha (Año 3)</t>
  </si>
  <si>
    <t>Cosecha y Postcosecha (Año 4)</t>
  </si>
  <si>
    <t>Cosecha y Postcosecha (Año 5)</t>
  </si>
  <si>
    <t>Cosecha y Postcosecha (Año 6)</t>
  </si>
  <si>
    <t>Cosecha y Postcosecha (Año 7)</t>
  </si>
  <si>
    <t>Cosecha y Postcosecha (Año 8)</t>
  </si>
  <si>
    <t>Cantidad anual en moneda local</t>
  </si>
  <si>
    <t>Otra variedad 1:</t>
  </si>
  <si>
    <t>Sub Total Returns ($/hectare)</t>
  </si>
  <si>
    <t>Prestamos de la cooperativa</t>
  </si>
  <si>
    <t xml:space="preserve">     Pago prestamo a la cooperativa</t>
  </si>
  <si>
    <t>A</t>
  </si>
  <si>
    <t>Año Prestamo</t>
  </si>
  <si>
    <t>Año Pago</t>
  </si>
  <si>
    <t>X</t>
  </si>
  <si>
    <t>Marque P (mayuscula) en el año en que recibio el prestamo</t>
  </si>
  <si>
    <t>Prestamo a cuantos años:</t>
  </si>
  <si>
    <t>Cuando termina o terminó de pagar el prestamo? (Marque X mayuscula)</t>
  </si>
  <si>
    <t>Tasa implicita anual</t>
  </si>
  <si>
    <t>Y</t>
  </si>
  <si>
    <t>Total Ingresos</t>
  </si>
  <si>
    <t>Sub Total Otros Ingresos</t>
  </si>
  <si>
    <t>Prestamos otros bancos o prestamistas</t>
  </si>
  <si>
    <t>B</t>
  </si>
  <si>
    <t>C</t>
  </si>
  <si>
    <t>Nota 2: En caso de más de un prestamo registrar año de recibido y devolución en todos los casos con los códigos X-Y, A-B, C-D etc</t>
  </si>
  <si>
    <t>Cantidad en moneda local</t>
  </si>
  <si>
    <t>Cuanto pagó en total por ese prestamo?</t>
  </si>
  <si>
    <t>Resumen Prestamos</t>
  </si>
  <si>
    <t>Valor prestamo</t>
  </si>
  <si>
    <t>Resumen Pagos</t>
  </si>
  <si>
    <t>Nota 3: Para más de un prestamo en el mismo año sumar los prestamos. Tomar el año de devolucion como el año medio (en caso de ser distinto años)</t>
  </si>
  <si>
    <t>Nota 1: Un prestamo que se cancela con un intervalo de más de 1.5 años se apunta en el siguiente renglón. (1.5 aproxima a 2do renglon contando el renglon del año del prestamo)</t>
  </si>
  <si>
    <t xml:space="preserve">Ejemplo 1: Prestamo Enero 2015, Cancelado Diciembre 2015 mismo renglon (menos de 18 meses). Ejemplo 2: Prestamo Enero 2015, Cancelacion Julio 2016, devolucion va siguiente renglon.   </t>
  </si>
  <si>
    <t xml:space="preserve">     Pago prestamo otros prestamistas</t>
  </si>
  <si>
    <t>Total Pago Prestamos Coop.</t>
  </si>
  <si>
    <t>Total Pago Prestamos Otros.</t>
  </si>
  <si>
    <t>Total Pago Prestamos Otros:</t>
  </si>
  <si>
    <t>Total Pago Prestamos Coop:</t>
  </si>
  <si>
    <t xml:space="preserve">     FT Premium (oro)</t>
  </si>
  <si>
    <t>Premio Fair Tade (centavos por libra CAFÉ ORO)</t>
  </si>
  <si>
    <t>Premio Organico (centavos por libra CAFÉ ORO)</t>
  </si>
  <si>
    <t>Prima "cooperativa"</t>
  </si>
  <si>
    <t>Premio "Cooperativa" (centavos por libra CAFÉ ORO)</t>
  </si>
  <si>
    <t xml:space="preserve">     Organic Premium (oro)</t>
  </si>
  <si>
    <t xml:space="preserve">     Prima "Cooperativa" (x volumen café oro)</t>
  </si>
  <si>
    <t>Otro(s):</t>
  </si>
  <si>
    <t>Materiales para Preparación del terreno y siembra</t>
  </si>
  <si>
    <t xml:space="preserve">Materiales para el Germinador </t>
  </si>
  <si>
    <t>Nota 1: Si no usa 0</t>
  </si>
  <si>
    <t>Nota 2: Algunas cosas se necesitan independiente si es una hectarea o 3. Registrarlas</t>
  </si>
  <si>
    <t>Unidad de medida de venta</t>
  </si>
  <si>
    <t>Equipo  y materiales reutilizables</t>
  </si>
  <si>
    <t>Sistema de filtración de agua (finca orgánica)</t>
  </si>
  <si>
    <t>Años de vida del Equipo (Vida util)</t>
  </si>
  <si>
    <t>Azadón</t>
  </si>
  <si>
    <t>Ingresos Indirectos</t>
  </si>
  <si>
    <t>Recibio por parte de la cooperativa algún tipo de capaciatación?</t>
  </si>
  <si>
    <t>Area de capacitacion:</t>
  </si>
  <si>
    <t>Membresía a la Cooperativa</t>
  </si>
  <si>
    <t xml:space="preserve">     Membresia annual</t>
  </si>
  <si>
    <t xml:space="preserve">     Seguro de vida</t>
  </si>
  <si>
    <t>Llenada y encerrada de bolsas</t>
  </si>
  <si>
    <t>Otros:</t>
  </si>
  <si>
    <t>En días por favor describa cuanto tiempo se invierte en las siguientes actividades para una hectarea de café:</t>
  </si>
  <si>
    <t>Valor Mano Obra Terreno para Renovación</t>
  </si>
  <si>
    <t>Tenga en cuenta que la intensidad de días puede cambiar de año a año</t>
  </si>
  <si>
    <t>Estos assumptions son discutibles</t>
  </si>
  <si>
    <t>"Servicios" en el beneficio humedo y seco</t>
  </si>
  <si>
    <t xml:space="preserve">litros por quintal de pergamino seco. 1 quintal 45.99 kilos  </t>
  </si>
  <si>
    <t>Cuantos Kw consume en el secado de un quintal de pergaminos seco?</t>
  </si>
  <si>
    <t xml:space="preserve">kw </t>
  </si>
  <si>
    <t>Que cantidad de combustible se gasta para secar un quintal de café pergamino?</t>
  </si>
  <si>
    <t>galones/quintal</t>
  </si>
  <si>
    <t>Capacidad</t>
  </si>
  <si>
    <t>Litro</t>
  </si>
  <si>
    <t>Ojo pues hay dos medidas de Galón (usa-international, y UK)</t>
  </si>
  <si>
    <t>Galones USA int.</t>
  </si>
  <si>
    <t>Galón USA int.</t>
  </si>
  <si>
    <t>Es usted propietario de su finca?</t>
  </si>
  <si>
    <t>Cuanto paga anualmente por impuestos a la propiedad en  su finca?</t>
  </si>
  <si>
    <t>Costo de entrada</t>
  </si>
  <si>
    <t>Membresía annual</t>
  </si>
  <si>
    <t>Seguro de vida</t>
  </si>
  <si>
    <t>Pago por certificación Fair Trade</t>
  </si>
  <si>
    <t>Pago annual por certificación Orgánico</t>
  </si>
  <si>
    <r>
      <t xml:space="preserve">Interest/Opportunity Cost </t>
    </r>
    <r>
      <rPr>
        <u/>
        <sz val="12"/>
        <color rgb="FFFF0000"/>
        <rFont val="Calibri"/>
        <family val="2"/>
        <scheme val="minor"/>
      </rPr>
      <t>(4%)</t>
    </r>
  </si>
  <si>
    <t>Conversiones adicionales que salieron de la recolección de informacion</t>
  </si>
  <si>
    <t>GENERALES</t>
  </si>
  <si>
    <t xml:space="preserve">Un quital de oro entre 17 y 19 latas </t>
  </si>
  <si>
    <t>(Gustavo Cerna)</t>
  </si>
  <si>
    <t>Kilos</t>
  </si>
  <si>
    <t>Una lata entre 7500 - 8500 uvas</t>
  </si>
  <si>
    <t>1 quintal son 56 kilos</t>
  </si>
  <si>
    <t>Confirmar</t>
  </si>
  <si>
    <t>100 lb</t>
  </si>
  <si>
    <t>80 quintales de pergamino seco por hectarea en una cosecha</t>
  </si>
  <si>
    <t>De 20 latas de cereza salen 56 kilos de pergamino seco. Es decir 20 latas de cereza por quintal del pergamino seco</t>
  </si>
  <si>
    <t>1 lata son 3 kilos (Guia Julio 4)</t>
  </si>
  <si>
    <t>VIVERO</t>
  </si>
  <si>
    <t>Cada peon llena 500 bolsas en un dia</t>
  </si>
  <si>
    <t>SIEMBRA</t>
  </si>
  <si>
    <t>10 dias con cerrucho equivalen a 1 con motosierra</t>
  </si>
  <si>
    <t>El costo de desyerbar una hectarea con motosierra es de 140 soles por hectarea</t>
  </si>
  <si>
    <t>El desyerbe y la quitada de los hijos para muchos productores es lo mismo</t>
  </si>
  <si>
    <t>RECOLECCION</t>
  </si>
  <si>
    <t>Kg</t>
  </si>
  <si>
    <t>Lata</t>
  </si>
  <si>
    <t>Cereza</t>
  </si>
  <si>
    <t>Pergamino seco</t>
  </si>
  <si>
    <t>20 de cereza para una de pergamino seco</t>
  </si>
  <si>
    <t>(mas bien para un quintal, verificar)</t>
  </si>
  <si>
    <t>Numero de Latas</t>
  </si>
  <si>
    <t>Para la recoleccion</t>
  </si>
  <si>
    <t>Soles</t>
  </si>
  <si>
    <t>Pago lata</t>
  </si>
  <si>
    <t>Latas en un día</t>
  </si>
  <si>
    <t>4 latas</t>
  </si>
  <si>
    <t>(un peon)</t>
  </si>
  <si>
    <t>5 latas</t>
  </si>
  <si>
    <t>Si de una cosecha salen 80 quintales de pergamino seco</t>
  </si>
  <si>
    <t>[ 80 quintales * (20 latas/quintal) ] /  (5latas/jornada)</t>
  </si>
  <si>
    <t>quintales</t>
  </si>
  <si>
    <t>latas</t>
  </si>
  <si>
    <t>jornada</t>
  </si>
  <si>
    <t>320  jornadas para toda la cosecha</t>
  </si>
  <si>
    <t>NO son 45.6</t>
  </si>
  <si>
    <t>Oficial</t>
  </si>
  <si>
    <t>Nota : Los siguientes datos de prima de café oro en dolares pueden tomarse de lo que diga el productor, de la prima que se sabe se da en el mercado, o de una prima que la cooperativa reeporta transfiere al productor. Ver vinculo.</t>
  </si>
  <si>
    <t>Otros ingresos indirectos</t>
  </si>
  <si>
    <t>Capacitaciones</t>
  </si>
  <si>
    <t>Prestamos</t>
  </si>
  <si>
    <t>Transferencias de la cooperativa en dinero o bienes</t>
  </si>
  <si>
    <t>Transferencias de la cooperativa en dinero o bienes (fertilizantes, abonos)</t>
  </si>
  <si>
    <t>Numero de años</t>
  </si>
  <si>
    <t>Número días por año</t>
  </si>
  <si>
    <t>Percentage Yes</t>
  </si>
  <si>
    <t>Valor monetario de las capacitaciones</t>
  </si>
  <si>
    <r>
      <t xml:space="preserve">Recibio algún prestamo para </t>
    </r>
    <r>
      <rPr>
        <sz val="12"/>
        <color rgb="FF0000FF"/>
        <rFont val="Calibri"/>
        <family val="2"/>
        <scheme val="minor"/>
      </rPr>
      <t>inversión</t>
    </r>
    <r>
      <rPr>
        <sz val="12"/>
        <rFont val="Calibri"/>
        <family val="2"/>
        <scheme val="minor"/>
      </rPr>
      <t xml:space="preserve"> por parte de la cooperativa?</t>
    </r>
  </si>
  <si>
    <r>
      <t xml:space="preserve">Recibio algún prestamo para </t>
    </r>
    <r>
      <rPr>
        <sz val="12"/>
        <color rgb="FF0000FF"/>
        <rFont val="Calibri"/>
        <family val="2"/>
        <scheme val="minor"/>
      </rPr>
      <t xml:space="preserve"> inversión</t>
    </r>
    <r>
      <rPr>
        <sz val="12"/>
        <rFont val="Calibri"/>
        <family val="2"/>
        <scheme val="minor"/>
      </rPr>
      <t xml:space="preserve"> por parte de un Banco u otro prestamista?</t>
    </r>
  </si>
  <si>
    <t>Porcentaje afirmativo</t>
  </si>
  <si>
    <t>Tiempo del prestamo</t>
  </si>
  <si>
    <t>Monto en moneda local</t>
  </si>
  <si>
    <t>Se considera este prestamo para el productor representativo?</t>
  </si>
  <si>
    <t>Si = 1</t>
  </si>
  <si>
    <t>Cual es la tasa de interés annual de dicho prestamo</t>
  </si>
  <si>
    <t>Prima libra oro</t>
  </si>
  <si>
    <t>NOTA: El presupuesto se hará por hectarea, tomando kilos como unidad de medida para los calculos</t>
  </si>
  <si>
    <t>Factores Rendimiento</t>
  </si>
  <si>
    <t>kilos</t>
  </si>
  <si>
    <t>Cereza a pergamino</t>
  </si>
  <si>
    <t>20 latas cereza</t>
  </si>
  <si>
    <t>1 quintal pergamino</t>
  </si>
  <si>
    <t>Factor</t>
  </si>
  <si>
    <t>Oro</t>
  </si>
  <si>
    <t>Fuentes Internet factores rendimiento</t>
  </si>
  <si>
    <t>Federacion Nacional</t>
  </si>
  <si>
    <t>Pergamino</t>
  </si>
  <si>
    <t>(contrastar con P24, P22 que dice 20 latas 15 kilos, parece mas compatible con lo que se encuentra en otras referencias)</t>
  </si>
  <si>
    <t>Contrastar con P24, P22 que dice 20 latas 15 kilos, parece mas compatible con lo que se encuentra en otras referencias</t>
  </si>
  <si>
    <t>FACTORES RENDIMIENTO</t>
  </si>
  <si>
    <t>Empirico</t>
  </si>
  <si>
    <t>internet Mexico</t>
  </si>
  <si>
    <t>FNC</t>
  </si>
  <si>
    <t>Pergamino a oro</t>
  </si>
  <si>
    <t>Prior</t>
  </si>
  <si>
    <t>Internet Mexico</t>
  </si>
  <si>
    <t>ALTERNATIVAS</t>
  </si>
  <si>
    <t>AJUSTAR EL PROMEDIO MANUALMENTE CONFORME A LOS DATOS DISPONIBLES</t>
  </si>
  <si>
    <t>COMSA</t>
  </si>
  <si>
    <t>Factores rendimiento COMSA</t>
  </si>
  <si>
    <t>Uva</t>
  </si>
  <si>
    <t>Uva a oro</t>
  </si>
  <si>
    <t xml:space="preserve">Precio POR UNIDAD  en Moneda local </t>
  </si>
  <si>
    <t>Germinador/Marco semillero</t>
  </si>
  <si>
    <t>Sulfocalcio</t>
  </si>
  <si>
    <t>Cal</t>
  </si>
  <si>
    <t>Plastico</t>
  </si>
  <si>
    <t>Abono orgánico (Ej: Bocachi, otros)</t>
  </si>
  <si>
    <t>Saran - Polisombra - Malla rache</t>
  </si>
  <si>
    <t>Alambre de amarre</t>
  </si>
  <si>
    <t>Grapas</t>
  </si>
  <si>
    <t>Biofertilizantes líquidos (para foliar en el vivero)</t>
  </si>
  <si>
    <t>Agroquímicos (en el vivero)</t>
  </si>
  <si>
    <t>Fungicida</t>
  </si>
  <si>
    <t>Roca fosfórica</t>
  </si>
  <si>
    <t>Especificos:</t>
  </si>
  <si>
    <t>Abono organico para levante (alrededor de la planta)</t>
  </si>
  <si>
    <t>Abono químico para levante (alrededor de la planta)</t>
  </si>
  <si>
    <t>Otros elementos para siembra y levante:</t>
  </si>
  <si>
    <t>Germinador</t>
  </si>
  <si>
    <t>Vivero</t>
  </si>
  <si>
    <t>Tierra para almacigos</t>
  </si>
  <si>
    <t>Mano de obra preparacion terreno y siembra</t>
  </si>
  <si>
    <t>Materiales para vivero o ramada incluyendo almacigos</t>
  </si>
  <si>
    <t>Insumos para la foliación en la plantilla</t>
  </si>
  <si>
    <t>Notas FCC: 5 bolsas de 37 kilos para 1,000 arboles</t>
  </si>
  <si>
    <t>Total Preparacion terreno y siembra</t>
  </si>
  <si>
    <t>Materiales para Sostenimiento o Mantenimiento de la Finca</t>
  </si>
  <si>
    <t>Escriba 1 si desea incluir insumos quimicos u organico. Pero ojo pues eso puede afectar productividades</t>
  </si>
  <si>
    <t>Costos de Transporte</t>
  </si>
  <si>
    <t>Fertilización y control de plagas</t>
  </si>
  <si>
    <t>Abonos</t>
  </si>
  <si>
    <t>Fertilizantes</t>
  </si>
  <si>
    <t>Beneficio humedo</t>
  </si>
  <si>
    <t>Otro(s) abono (s):</t>
  </si>
  <si>
    <t xml:space="preserve">Abono químico para mantenimiento del cultivo </t>
  </si>
  <si>
    <t>Caldos bordeles</t>
  </si>
  <si>
    <t>Biofertilizante - multiminerales</t>
  </si>
  <si>
    <t>Químicos para foliación</t>
  </si>
  <si>
    <t>Otro(s) fertilizantes (s):</t>
  </si>
  <si>
    <t>Cuadro. Establecimiento. Costos variables detallados</t>
  </si>
  <si>
    <t>Cuadro. Sostenimiento. Costos Variables detallados</t>
  </si>
  <si>
    <t>Fertilizante organico para foliación:</t>
  </si>
  <si>
    <t>Mano de obra para el germinador</t>
  </si>
  <si>
    <t>Recolección de semillas</t>
  </si>
  <si>
    <t>Selección de semillas</t>
  </si>
  <si>
    <t>Sostenimiento semillero - Riego</t>
  </si>
  <si>
    <t>Valor Mano de obra para el germinador</t>
  </si>
  <si>
    <t>Total Valor Mano Obra Germinador</t>
  </si>
  <si>
    <t>Valor Mano de obra para el vivero</t>
  </si>
  <si>
    <t>Construcción del vivero</t>
  </si>
  <si>
    <t>Total Valor Mano Obra vivero</t>
  </si>
  <si>
    <t>Total costos variables germinador</t>
  </si>
  <si>
    <t>Total materiales germinador</t>
  </si>
  <si>
    <t>Materiales germinador:</t>
  </si>
  <si>
    <t>Materiales vivero:</t>
  </si>
  <si>
    <t>Total materiales vivero</t>
  </si>
  <si>
    <t>Total costos variables vivero</t>
  </si>
  <si>
    <t>Mano de obra germinador</t>
  </si>
  <si>
    <t>Mano de obra vivero</t>
  </si>
  <si>
    <t xml:space="preserve">Llevada de las plantas del vivero (en la finca) al terreno </t>
  </si>
  <si>
    <t>Siembra de plantones (o plantulas)</t>
  </si>
  <si>
    <t>Adecuación de los arboles de sombrio</t>
  </si>
  <si>
    <t>Preparación de abonos orgánicos</t>
  </si>
  <si>
    <t>Total materiales preparacion terreno y siembra</t>
  </si>
  <si>
    <t xml:space="preserve">Desyerbe periodico </t>
  </si>
  <si>
    <t>Aplicación de abonos orgánicos para levante</t>
  </si>
  <si>
    <t>Aplicación de abonos químicos para levante</t>
  </si>
  <si>
    <t>Aplicación de foliares para fertilización y control roya</t>
  </si>
  <si>
    <t xml:space="preserve">Mano de obra para la plantilla o levante </t>
  </si>
  <si>
    <t>Valor mano obra para la plantilla o el levante</t>
  </si>
  <si>
    <t>Plantilla o levante</t>
  </si>
  <si>
    <t>Mano de obra plantilla o levante</t>
  </si>
  <si>
    <t>Materiales preparcion terreno y siembra:</t>
  </si>
  <si>
    <t>Materiales plantilla o levante:</t>
  </si>
  <si>
    <t>Materiales para Levante</t>
  </si>
  <si>
    <t>Total materiales levante</t>
  </si>
  <si>
    <t>Total levante o plantilla</t>
  </si>
  <si>
    <t>Levante o plantilla</t>
  </si>
  <si>
    <t>Mano de obra para el vivero</t>
  </si>
  <si>
    <t>Mano de obra preparación terreno para renovacion</t>
  </si>
  <si>
    <t>Año 2-8</t>
  </si>
  <si>
    <t xml:space="preserve">Valor mano de obra para la plantilla o levante </t>
  </si>
  <si>
    <t>Valor mano de obra preparación terreno para renovacion</t>
  </si>
  <si>
    <t>Valor mano de obra para mantenimiento</t>
  </si>
  <si>
    <t>Valor mano de obra para beneficio</t>
  </si>
  <si>
    <t xml:space="preserve">Beneficio humedo </t>
  </si>
  <si>
    <t>Desyerbe para mantenimiento</t>
  </si>
  <si>
    <t>Aplicación de abonos orgánicos para mantenimiento</t>
  </si>
  <si>
    <t>Aplicación de abonos químicos para mantenimiento</t>
  </si>
  <si>
    <t>Construcción de barreras vivas (rompe-vientos)</t>
  </si>
  <si>
    <t>Podas de árboles de sombra (sostenimiento)</t>
  </si>
  <si>
    <t>Control de Broca (re-re, repela, fumigaciones)</t>
  </si>
  <si>
    <t>Manejo de tejido (desrrame o podas del café)</t>
  </si>
  <si>
    <t>Valor mano obra para mantenimiento</t>
  </si>
  <si>
    <t>Año 2- 8</t>
  </si>
  <si>
    <t>Mantenimiento, fertilización y control de plagas</t>
  </si>
  <si>
    <t>Materiales para fertilización y control plagas:</t>
  </si>
  <si>
    <t>Mano de obra mantenimiento, fertilización y control de plagas</t>
  </si>
  <si>
    <t>Total costos variables mantenimiento, fertilización y control de plagas</t>
  </si>
  <si>
    <t>Total materiales fertilización y control de plagas</t>
  </si>
  <si>
    <t>Mano de obra cosecha</t>
  </si>
  <si>
    <t>Valor mano de obra cosecha</t>
  </si>
  <si>
    <t>Zarandeo del cerezo o rebalze (separar granos afectados por broca, dañados)</t>
  </si>
  <si>
    <t>Valor mano obra para cosecha</t>
  </si>
  <si>
    <t>Lavado</t>
  </si>
  <si>
    <t>Almacenamiento</t>
  </si>
  <si>
    <t>Valor mano de obra para cuestiones administrativas</t>
  </si>
  <si>
    <t>Materiales para la cosecha:</t>
  </si>
  <si>
    <t>Total materiales cosecha</t>
  </si>
  <si>
    <t>Total costos variables cosecha</t>
  </si>
  <si>
    <t>Beneficio</t>
  </si>
  <si>
    <t>Mano de obra beneficio humedo</t>
  </si>
  <si>
    <t>Mano de obra beneficio seco</t>
  </si>
  <si>
    <t>Total costos variables beneficio</t>
  </si>
  <si>
    <t>Valor mano obra para beneficio seco</t>
  </si>
  <si>
    <t>Valor mano obra para beneficio  humedo</t>
  </si>
  <si>
    <t>Unidad de medida</t>
  </si>
  <si>
    <t xml:space="preserve">Bomba manual </t>
  </si>
  <si>
    <t>Pala</t>
  </si>
  <si>
    <t>Chancha o ahoyador</t>
  </si>
  <si>
    <t>Barretón</t>
  </si>
  <si>
    <t>Mangueras</t>
  </si>
  <si>
    <t>Motosierra</t>
  </si>
  <si>
    <t>Otro(s)</t>
  </si>
  <si>
    <t>Herramientas generales</t>
  </si>
  <si>
    <t>Despulpadora</t>
  </si>
  <si>
    <t>Motor</t>
  </si>
  <si>
    <t>Tanques o pilas de fermentacion</t>
  </si>
  <si>
    <t>Canal de correo para lavar café</t>
  </si>
  <si>
    <t>Tubos PVC</t>
  </si>
  <si>
    <t>Otro componente del beneficio húmedo</t>
  </si>
  <si>
    <t>Secador solar - Plancha concreto</t>
  </si>
  <si>
    <t>Equipos para el beneficio</t>
  </si>
  <si>
    <t>Bascula o balanza</t>
  </si>
  <si>
    <t>Vehiculo o automovil para trabajo</t>
  </si>
  <si>
    <t>Otros equipos y/o materiales reutilizables</t>
  </si>
  <si>
    <t>Otro componente del beneficio seco</t>
  </si>
  <si>
    <t>Cuadro. Equipos y Deprecición</t>
  </si>
  <si>
    <t>Unidad</t>
  </si>
  <si>
    <t>Años de vida</t>
  </si>
  <si>
    <t>Depreciación</t>
  </si>
  <si>
    <t>Valor salvamento</t>
  </si>
  <si>
    <t>Total depreciación herramientas generales</t>
  </si>
  <si>
    <t>Total depreciación equipos para el beneficio</t>
  </si>
  <si>
    <t>Total depreciación otros equipos  y/o materiales reutilizables</t>
  </si>
  <si>
    <t>Cuadro auxiliar de ajuste</t>
  </si>
  <si>
    <t>Promedio</t>
  </si>
  <si>
    <t>Crecimiento anual de la cosecha</t>
  </si>
  <si>
    <t>Datos para ajuste</t>
  </si>
  <si>
    <t>Participacion anual en relación al promedio</t>
  </si>
  <si>
    <t>Cantidad necesaria</t>
  </si>
  <si>
    <t>Costo por Unidad</t>
  </si>
  <si>
    <t>Semillero:</t>
  </si>
  <si>
    <t>Tiempo en dias</t>
  </si>
  <si>
    <t>Costo transporte</t>
  </si>
  <si>
    <t>ir a comprar la semilla</t>
  </si>
  <si>
    <t>Vivero:</t>
  </si>
  <si>
    <t>Jalada de tierra</t>
  </si>
  <si>
    <t>Ir a comprar bolsas y otros insumos para el vivero</t>
  </si>
  <si>
    <t>Preparación terreno y siembra:</t>
  </si>
  <si>
    <t>Llevada de leña</t>
  </si>
  <si>
    <t>Lleva del abono</t>
  </si>
  <si>
    <t>Llevar plantas del vivero al campo</t>
  </si>
  <si>
    <t>Otros gastos en transporte en terminos anuales</t>
  </si>
  <si>
    <t>Transporte equipo y herramientas</t>
  </si>
  <si>
    <t>Transporte mano de obra (no pagada en el jornal)</t>
  </si>
  <si>
    <t>Frecuencia</t>
  </si>
  <si>
    <t>Costo en transporte</t>
  </si>
  <si>
    <t>Transporte para ir a supervisas actividades (limpias, manejos, podas, obras conservación)</t>
  </si>
  <si>
    <t>Otro(s) transportes no considerados:</t>
  </si>
  <si>
    <t>Total costos transporte germinador</t>
  </si>
  <si>
    <t>Total costos preparacion terreno y siembra</t>
  </si>
  <si>
    <t>Total costos transporte vivero</t>
  </si>
  <si>
    <t>Total costos transporte  vivero</t>
  </si>
  <si>
    <t>Total costos transporte preparacion terreno y siembra</t>
  </si>
  <si>
    <t>Costos transporte levante Año 1</t>
  </si>
  <si>
    <t>Costos de Transporte establecimiento Año 0</t>
  </si>
  <si>
    <t>Total costos levante</t>
  </si>
  <si>
    <t>Costos transporte mantenimiento, fertilización y control plagas</t>
  </si>
  <si>
    <t>Costos transporte cosecha</t>
  </si>
  <si>
    <t>Total costos transporte mantenimiento</t>
  </si>
  <si>
    <t>Total costos transporte cosecha</t>
  </si>
  <si>
    <t>Total costos transporte cosecha/pergamino</t>
  </si>
  <si>
    <t>Valor de mercado que Ud. Le pondria al germinador?</t>
  </si>
  <si>
    <t>Preguntas control</t>
  </si>
  <si>
    <r>
      <t>Valor estimado vivero (</t>
    </r>
    <r>
      <rPr>
        <sz val="12"/>
        <color rgb="FF0000FF"/>
        <rFont val="Arial"/>
        <family val="2"/>
      </rPr>
      <t>de la estructura</t>
    </r>
    <r>
      <rPr>
        <sz val="12"/>
        <color theme="1"/>
        <rFont val="Arial"/>
        <family val="2"/>
      </rPr>
      <t>)</t>
    </r>
  </si>
  <si>
    <t>2 kilos semilla por hectaria</t>
  </si>
  <si>
    <t>Mano obra construccion germinador</t>
  </si>
  <si>
    <t>Materiales para estructura germinador</t>
  </si>
  <si>
    <t>Mano obra construccion vivero</t>
  </si>
  <si>
    <t>Materiales para estructura vivero</t>
  </si>
  <si>
    <t>Caracterización del productor</t>
  </si>
  <si>
    <t>¿Cuanto tiempo lleva usted en la actividad cafetera?</t>
  </si>
  <si>
    <t>(Esta información es relevante para la narrativa)</t>
  </si>
  <si>
    <t>Metodos de Producción 1=si, 0=no</t>
  </si>
  <si>
    <t>Transición</t>
  </si>
  <si>
    <t>Tipo de café producido y llevado a la cooperativa (Porcentaje):</t>
  </si>
  <si>
    <t>Uva / Cereza</t>
  </si>
  <si>
    <t>Pergamino húmedo</t>
  </si>
  <si>
    <t>Trillado</t>
  </si>
  <si>
    <t>Otro:</t>
  </si>
  <si>
    <t>Sabe si al momento de llevar su café a la cooperativa recibió algun premio ? (Ejemplo: Fair Trade o comercio justo, orgánico, priemio de calidad). Especifique.</t>
  </si>
  <si>
    <t>Es usted propietario de su finca?                                          ((1=si, 0=no, "." =  No sabe, no responde)</t>
  </si>
  <si>
    <t>En caso de no ser propietario,  paga alguna renta, cual es el valor ANUAL?</t>
  </si>
  <si>
    <t>Total herramientas generales</t>
  </si>
  <si>
    <t>Total equipos para el beneficio</t>
  </si>
  <si>
    <t>Total equipos  y/o materiales reutilizables</t>
  </si>
  <si>
    <t>Equipment opportunity cost</t>
  </si>
  <si>
    <t>Dias al año</t>
  </si>
  <si>
    <t>Total costos depreciación</t>
  </si>
  <si>
    <t>Total costo oportunidad</t>
  </si>
  <si>
    <t>Total otros costos fijos</t>
  </si>
  <si>
    <t>Año mas representativo</t>
  </si>
  <si>
    <t>Kilos por hectaria por año (conforme a proporcion reportada de la respectiva variedad en una hectarea)</t>
  </si>
  <si>
    <t>Kilos por hectaria por año (conforme a la hectarea de cada productor)</t>
  </si>
  <si>
    <t>TOTAL PRODUCIDO</t>
  </si>
  <si>
    <t>Total Costos Variables</t>
  </si>
  <si>
    <t>Table 6. Conventional breakeven return at different levels of enterprise costs assuming average cost and productivity  (years 2 to 8)</t>
  </si>
  <si>
    <t>Promedio Año 2 - 8</t>
  </si>
  <si>
    <t>Costos prestamos, certificaciones y membresias</t>
  </si>
  <si>
    <t>Total costos prestamos, certificaciones y membresias</t>
  </si>
  <si>
    <t>¿Se ha visto su finca fuertmente afectada por roya en algún año en particular? ¿Cuál ANO?</t>
  </si>
  <si>
    <t>¿En cuanto se redujo su producción como consecuencia de los efectos de la roya?. Porcentaje</t>
  </si>
  <si>
    <t>Transición químico a orgánico</t>
  </si>
  <si>
    <t>Trabajo particular</t>
  </si>
  <si>
    <t>Paso a otro cultivo</t>
  </si>
  <si>
    <t>Promedio secador</t>
  </si>
  <si>
    <t>Info que ya se metio al informe escrito</t>
  </si>
  <si>
    <t>Cost definition</t>
  </si>
  <si>
    <t>Catuai</t>
  </si>
  <si>
    <t>Borbon</t>
  </si>
  <si>
    <t>Otros</t>
  </si>
  <si>
    <t>Bomba motor</t>
  </si>
  <si>
    <t>Breakeven Retorno (us/pound pregamino)</t>
  </si>
  <si>
    <t>Icatu</t>
  </si>
  <si>
    <t>Lempira</t>
  </si>
  <si>
    <t>Icafe 90</t>
  </si>
  <si>
    <t>Ha recibido UD. En algun momento algun premio asociado a su produccion de café?</t>
  </si>
  <si>
    <t>Tasa de interes anual</t>
  </si>
  <si>
    <t>Marque X (mayuscula) en el año en que recibio el prestamo</t>
  </si>
  <si>
    <t>Cuando termina o terminó de pagar el prestamo? (Marque Y mayuscula)</t>
  </si>
  <si>
    <t>Media Otras Variedades</t>
  </si>
  <si>
    <t>Quintales por manzana por año (conforme a proporcion reportada de la respectiva variedad para un arbol)</t>
  </si>
  <si>
    <t>Media Total Ponderada</t>
  </si>
  <si>
    <t xml:space="preserve">Costo Total en Moneda local </t>
  </si>
  <si>
    <t>Cantidad confirmada con el productor necesarias para una manzana</t>
  </si>
  <si>
    <t>Harina de Roca</t>
  </si>
  <si>
    <t>Cascarilla de Café</t>
  </si>
  <si>
    <t>Gallinaza</t>
  </si>
  <si>
    <t>Abono químico para los hoyos</t>
  </si>
  <si>
    <t xml:space="preserve">Otros elementos para los hoyos: </t>
  </si>
  <si>
    <t>Sistema de riego</t>
  </si>
  <si>
    <t>Sacos para la recoleccion</t>
  </si>
  <si>
    <t>Cabuya:</t>
  </si>
  <si>
    <t>Sifon-Tolba</t>
  </si>
  <si>
    <t>Criba - Zaranda</t>
  </si>
  <si>
    <t>Rastrillo</t>
  </si>
  <si>
    <t>Escoba</t>
  </si>
  <si>
    <t>Bodega</t>
  </si>
  <si>
    <t>Llevada madera</t>
  </si>
  <si>
    <t>Llevada arena</t>
  </si>
  <si>
    <t>Jalada y arrancada de la tierra para el vivero</t>
  </si>
  <si>
    <t>Limpia del terreno</t>
  </si>
  <si>
    <t>Corte de arboles de café viejos u otros maderables</t>
  </si>
  <si>
    <t>Pique de la madera y/o elaboración de estacas</t>
  </si>
  <si>
    <t>Ahoyado para la siembra</t>
  </si>
  <si>
    <t>Cuanto tiempo puede gastar Ud. Supervisando (no trabajando) actividades como limpias, manejos, podas, obras conservación, cosecha etc</t>
  </si>
  <si>
    <t>Cuanto tiempo puede gastar Ud. al año en capacitar a la gente que contrata para las diversas labores de la finca</t>
  </si>
  <si>
    <t>Cuanto puede gastar Ud. En costos extraordinarios tales como cubrir asistencias médicas por accidentes de trabajo de sus trabajadores</t>
  </si>
  <si>
    <t>En Moneda Local</t>
  </si>
  <si>
    <t>Abono organico para los Hoyos</t>
  </si>
  <si>
    <t>Catimore</t>
  </si>
  <si>
    <t>Tasa de interes Anual</t>
  </si>
  <si>
    <t>Combustible:</t>
  </si>
  <si>
    <t>Sacos Pergamino</t>
  </si>
  <si>
    <t>Valor Por hectarea</t>
  </si>
  <si>
    <t>En total hectareas finca</t>
  </si>
  <si>
    <t>Limpia del vivero</t>
  </si>
  <si>
    <t xml:space="preserve">Herramientas </t>
  </si>
  <si>
    <t>Otros Equipos</t>
  </si>
  <si>
    <t>Animal de trabajo</t>
  </si>
  <si>
    <t>Pesos  (Mexico)</t>
  </si>
  <si>
    <t>Arabe</t>
  </si>
  <si>
    <t>Caturra</t>
  </si>
  <si>
    <t>Costa Rica</t>
  </si>
  <si>
    <t>Marago</t>
  </si>
  <si>
    <t>Mondonovo</t>
  </si>
  <si>
    <t>Pacamara</t>
  </si>
  <si>
    <t>PES/USD</t>
  </si>
  <si>
    <t>Incluida ya en precio considerado</t>
  </si>
  <si>
    <t>Media En general Reportada I</t>
  </si>
  <si>
    <t>Media En general Reportada II</t>
  </si>
  <si>
    <t>Malla Ciclonica</t>
  </si>
  <si>
    <t>Total Fertilizaciones</t>
  </si>
  <si>
    <t>Serrucho</t>
  </si>
  <si>
    <t>Tijeras Podar</t>
  </si>
  <si>
    <t>Hacha</t>
  </si>
  <si>
    <t>Pozo</t>
  </si>
  <si>
    <t>Canastas</t>
  </si>
  <si>
    <t>Cajas</t>
  </si>
  <si>
    <t>¿Cuantos arboles de café por hectarea estima en su finca?</t>
  </si>
  <si>
    <t>Construcción Semillero</t>
  </si>
  <si>
    <t>Siembra de maripositas</t>
  </si>
  <si>
    <t>Aplicación de foliares</t>
  </si>
  <si>
    <t>Recolección y acopio de madera de café</t>
  </si>
  <si>
    <t>Trazado Café</t>
  </si>
  <si>
    <t>Despulpado y Fermentado</t>
  </si>
  <si>
    <t>Zarandeo</t>
  </si>
  <si>
    <t>Escojo Selección</t>
  </si>
  <si>
    <t>Secado</t>
  </si>
  <si>
    <t>Aguas Miel</t>
  </si>
  <si>
    <t>Manejo de Pulpa</t>
  </si>
  <si>
    <t>Venta "Cerezo"</t>
  </si>
  <si>
    <t>Ingresos Cerezo por hectarea</t>
  </si>
  <si>
    <t>Valor por caja del Recolector</t>
  </si>
  <si>
    <t>Alimentacion Recolector</t>
  </si>
  <si>
    <t>Total</t>
  </si>
  <si>
    <t>Costo producción cereza (Pesos/Hectarea)</t>
  </si>
  <si>
    <t>Breakeven -  Retorno (Pesos/quintal)</t>
  </si>
  <si>
    <t>Costo producción pergamino (US/Hectarea)</t>
  </si>
  <si>
    <t>Precio actual en pesos Quintal:</t>
  </si>
  <si>
    <t>Precio actual en dolares por libra:</t>
  </si>
  <si>
    <t>Total Fertilizacion</t>
  </si>
  <si>
    <t>PES</t>
  </si>
  <si>
    <t>litros/quintal</t>
  </si>
  <si>
    <t xml:space="preserve">Si no tiene claro el precio por kilo, precio por medida alternativa (Ex: $/quintal) </t>
  </si>
  <si>
    <t>EN QUINTALES</t>
  </si>
  <si>
    <t>Desyerbe quimico para mantenimiento</t>
  </si>
  <si>
    <r>
      <t xml:space="preserve">Costos variables </t>
    </r>
    <r>
      <rPr>
        <b/>
        <sz val="12"/>
        <color rgb="FF00B050"/>
        <rFont val="Calibri"/>
        <family val="2"/>
        <scheme val="minor"/>
      </rPr>
      <t>(lempiras/manzana)</t>
    </r>
  </si>
  <si>
    <t>Finca transición</t>
  </si>
  <si>
    <t>pasar estos insumos uno por uno</t>
  </si>
  <si>
    <t>Motocicleta</t>
  </si>
  <si>
    <t>Desmucilagador</t>
  </si>
  <si>
    <t>Años de establecimiento</t>
  </si>
  <si>
    <t>INPUTS
(Days * # of times * # of persons)</t>
  </si>
  <si>
    <t>Construcción del semillero</t>
  </si>
  <si>
    <t xml:space="preserve">Otros: </t>
  </si>
  <si>
    <t>Mano de obra para preparacion del terreno y siembra</t>
  </si>
  <si>
    <t>Mano de obra para la plantilla o levante</t>
  </si>
  <si>
    <t>Mano de obra para mantenimiento</t>
  </si>
  <si>
    <t>Desyerbe químico para mantenimiento</t>
  </si>
  <si>
    <t>Mano de obra para cosecha</t>
  </si>
  <si>
    <r>
      <t xml:space="preserve">Cuantos </t>
    </r>
    <r>
      <rPr>
        <b/>
        <sz val="12"/>
        <color rgb="FF00B050"/>
        <rFont val="Arial"/>
        <family val="2"/>
      </rPr>
      <t>Quintales</t>
    </r>
    <r>
      <rPr>
        <sz val="12"/>
        <rFont val="Arial"/>
        <family val="2"/>
      </rPr>
      <t xml:space="preserve"> cosecha por hectarea</t>
    </r>
  </si>
  <si>
    <r>
      <t xml:space="preserve">Mano de obra para el beneficio </t>
    </r>
    <r>
      <rPr>
        <b/>
        <sz val="14"/>
        <color rgb="FFFF0000"/>
        <rFont val="Arial"/>
        <family val="2"/>
      </rPr>
      <t>(en Horas)</t>
    </r>
  </si>
  <si>
    <t>Lavado (incluye rebalse)</t>
  </si>
  <si>
    <t>Escojo/selección</t>
  </si>
  <si>
    <t>Manejo de pulpa</t>
  </si>
  <si>
    <t>Árbol joven</t>
  </si>
  <si>
    <t>Años 2 y 3</t>
  </si>
  <si>
    <t>Árbol maduro</t>
  </si>
  <si>
    <t>Árbol viejo</t>
  </si>
  <si>
    <t>Informacion General</t>
  </si>
  <si>
    <t>¿Cuántos KILOS de cereza recoge en promedio una persona en UN DÍA?</t>
  </si>
  <si>
    <t>¿Cuántos KILOS de CEREZA recoge POR HECTÁREA?</t>
  </si>
  <si>
    <r>
      <t xml:space="preserve">¿Cuánto tiempo lleva usted en la actividad cafetera?                                </t>
    </r>
    <r>
      <rPr>
        <i/>
        <sz val="14"/>
        <color theme="1"/>
        <rFont val="Arial"/>
        <family val="2"/>
      </rPr>
      <t>*Nota: Si toda la vida, poner un estimado de los años.</t>
    </r>
  </si>
  <si>
    <t>¿En que año realizó  la última renovación?</t>
  </si>
  <si>
    <t>Cuántas plantas de café estima en toda su finca</t>
  </si>
  <si>
    <t>Cuántas plantas de café puede sembrar en una hectárea</t>
  </si>
  <si>
    <t>Cuantos Quintales cosecha por hectarea</t>
  </si>
  <si>
    <t>Mano de obra para el beneficio (en Horas)</t>
  </si>
  <si>
    <t>¿Qué variedades de café tiene en su parcela?</t>
  </si>
  <si>
    <t>Colombia</t>
  </si>
  <si>
    <t>Giesha</t>
  </si>
  <si>
    <t>Maragogype o Marago</t>
  </si>
  <si>
    <t>Pache</t>
  </si>
  <si>
    <t>Parainema</t>
  </si>
  <si>
    <t>Suprema</t>
  </si>
  <si>
    <t>Tipico</t>
  </si>
  <si>
    <t>Villaserechi</t>
  </si>
  <si>
    <t>Otra variedad:</t>
  </si>
  <si>
    <t>Árabe</t>
  </si>
  <si>
    <t>INPUTS
#</t>
  </si>
  <si>
    <t>INPUTS
%</t>
  </si>
  <si>
    <t>Finca química</t>
  </si>
  <si>
    <t>Finca orgánica</t>
  </si>
  <si>
    <t>Celdas amarillas se pueden borrar, pero són útiles para el equipo de programación y diseño que sepan dónde separar las secciones y qué subtítulos usar</t>
  </si>
  <si>
    <t>Tipo de café producido y llevado a la asociación (Porcentaje):</t>
  </si>
  <si>
    <t>¿Vende usted parte de su café a otro comprador distinto de la asociación?</t>
  </si>
  <si>
    <t>INPUTS
(yes, no)</t>
  </si>
  <si>
    <t>* misma que la anterior</t>
  </si>
  <si>
    <t>Actividades en la parcela</t>
  </si>
  <si>
    <t>¿Construye  el germinador o germinador? (1=sí, 0=no))</t>
  </si>
  <si>
    <t>Valor estimado germinador</t>
  </si>
  <si>
    <t>¿Construye  el vivero? (1=sí, 0=no))</t>
  </si>
  <si>
    <t>Valor estimado vivero (de la estructura)</t>
  </si>
  <si>
    <t>¿Compra  las plantulas o plantones? (1=sí, 0=no)</t>
  </si>
  <si>
    <r>
      <t>Valor estimado  por</t>
    </r>
    <r>
      <rPr>
        <u/>
        <sz val="14"/>
        <rFont val="Arial"/>
        <family val="2"/>
      </rPr>
      <t xml:space="preserve"> planta</t>
    </r>
  </si>
  <si>
    <t xml:space="preserve">¿Cuál fue el valor por KILO del premio Comercio Justo </t>
  </si>
  <si>
    <t>¿Cuál fue el valor por KILO del premio Orgánico</t>
  </si>
  <si>
    <t xml:space="preserve">Ha recibido en algún momento algún premio asociado a su producción de café? (Ejemplo: Comercio Justo, orgánico, premio de taza, factor de rendimiento). </t>
  </si>
  <si>
    <t>Si va a contratar a una persona por días, ¿cuál es el valor promedio que le pagaría por día? (Ej: Jornal, tarea que dura un día)</t>
  </si>
  <si>
    <t>Si fuera a ser contratado por alguién hoy, ¿cuál sería el valor aproximado que a  le pagarían?</t>
  </si>
  <si>
    <t>Alimenta usted a sus trabajadores aparte de pagarles el jornal? ¿Cuál es el valor estimado?</t>
  </si>
  <si>
    <t>¿Cuál es el salario mínimo mensual vigente actualmente?</t>
  </si>
  <si>
    <t>¿Últimamente se ha visto su finca fuertmente afectada por plagas, enfermedades o desastres naturales en algún año en particular? ¿Cuál año?</t>
  </si>
  <si>
    <t>¿En qué porcentaje se redujo su producción como consecuencia de este evento particular?</t>
  </si>
  <si>
    <t>INPUTS
(Hours* # of times * # of persons)</t>
  </si>
  <si>
    <t>INPUTS
(Hours * # of times * # of persons)</t>
  </si>
  <si>
    <t>Letras en azul dictan formato de input</t>
  </si>
  <si>
    <t>¿Que alternativas utilizó  para sobrepasar el choque en los ingresos que ese evento representó? (Ej: crédito, venta de lote)</t>
  </si>
  <si>
    <t>Préstamos</t>
  </si>
  <si>
    <t>Venta de activos (Lotes, tierra, acciones en la asociación)</t>
  </si>
  <si>
    <t>Uso de ahorros</t>
  </si>
  <si>
    <t>Renovación a otras variedades. ¿Cuál?</t>
  </si>
  <si>
    <t>Transición orgánico a químico</t>
  </si>
  <si>
    <t>Ingresos indirectos</t>
  </si>
  <si>
    <t>¿Recibió otros ingresos por parte de la asociación DIFERENTES a préstamos? (Ej: Becas, abonos, fertilizantes)</t>
  </si>
  <si>
    <t>Descripción</t>
  </si>
  <si>
    <t>Por Cuántos años ha recibido esta ayuda</t>
  </si>
  <si>
    <t>Valor anual aproximado de la ayuda que recbio</t>
  </si>
  <si>
    <t>INPUTS
Alphanumeric</t>
  </si>
  <si>
    <t>Crédito</t>
  </si>
  <si>
    <t>Recibio algún prestamo por parte de la asociación?</t>
  </si>
  <si>
    <t>Propósito</t>
  </si>
  <si>
    <t>¿Cuándo recibió el préstamo? (Año / mes)</t>
  </si>
  <si>
    <t>¿Cuándo termina o terminó de pagar el préstamo? (Año / mes)</t>
  </si>
  <si>
    <t>Pagos del préstamo</t>
  </si>
  <si>
    <t>Tasa de interés</t>
  </si>
  <si>
    <t>INPUTS
(mensual, anual)</t>
  </si>
  <si>
    <t>Monto del pago</t>
  </si>
  <si>
    <t>Costos materiales o insumos</t>
  </si>
  <si>
    <t>Materiales para el germinador (Año 0)</t>
  </si>
  <si>
    <t>Materiales para Vivero o Almácigo (Año 0)</t>
  </si>
  <si>
    <t>Materiales para Preparacion terreno y siembra (Año 0)</t>
  </si>
  <si>
    <r>
      <t xml:space="preserve">Materiales para levante en una </t>
    </r>
    <r>
      <rPr>
        <b/>
        <i/>
        <u/>
        <sz val="15"/>
        <color rgb="FF008000"/>
        <rFont val="Arial"/>
        <family val="2"/>
      </rPr>
      <t>hectárea</t>
    </r>
    <r>
      <rPr>
        <b/>
        <i/>
        <sz val="15"/>
        <rFont val="Arial"/>
        <family val="2"/>
      </rPr>
      <t xml:space="preserve"> (Año 1)</t>
    </r>
  </si>
  <si>
    <r>
      <t xml:space="preserve">Materiales para mantener una </t>
    </r>
    <r>
      <rPr>
        <b/>
        <i/>
        <u/>
        <sz val="15"/>
        <color rgb="FF008000"/>
        <rFont val="Arial"/>
        <family val="2"/>
      </rPr>
      <t xml:space="preserve">hectárea </t>
    </r>
    <r>
      <rPr>
        <b/>
        <i/>
        <sz val="15"/>
        <rFont val="Arial"/>
        <family val="2"/>
      </rPr>
      <t>durante cosecha durante los años 2 a 8</t>
    </r>
  </si>
  <si>
    <t>Otro(s) insumos para mantenimiento:</t>
  </si>
  <si>
    <t>EQUIPOS Y MATERIALES REUTILIZABLES</t>
  </si>
  <si>
    <t>Equipos y Materiales para la cosecha y otras actividades</t>
  </si>
  <si>
    <t>Equipos y Materiales para el beneficio</t>
  </si>
  <si>
    <t>Otros materiales para el beneficio</t>
  </si>
  <si>
    <t>Que tantos litros de agua se pueden gastar en el beneficio húmedo de un KILO de café pergamino seco?</t>
  </si>
  <si>
    <t xml:space="preserve">Pago de energía utilizada únicamente pare el proceso de producción de café </t>
  </si>
  <si>
    <t>Otros materiales para el beneficio:</t>
  </si>
  <si>
    <t>Transporte</t>
  </si>
  <si>
    <t>Transporte relacionado con actividades o insumos para el 
GERMINADOR</t>
  </si>
  <si>
    <t>Transporte relacionado con actividades o insumos para el 
VIVERO o ALMÁCIGO</t>
  </si>
  <si>
    <t>Transporte relacionado con actividades o insumos para el 
PREPARACIÓN DEL TERRENO Y SIEMBRA</t>
  </si>
  <si>
    <t>Otros gastos en transporte en términos anuales</t>
  </si>
  <si>
    <t xml:space="preserve">Transporte de la cosecha al centro de acopio o asociación  </t>
  </si>
  <si>
    <t>Transporte para ir a supervisar actividades (Limpias, manejos, podas, obras conservación)</t>
  </si>
  <si>
    <t>Información general</t>
  </si>
  <si>
    <t>Costos relacionados a la asociación</t>
  </si>
  <si>
    <t>Costo de entrada / Costo de inscripción</t>
  </si>
  <si>
    <t>Ahorro / Fondo rotatorio (anual)</t>
  </si>
  <si>
    <t>Seguro de vida anual</t>
  </si>
  <si>
    <t>Es usted dueño de su tierra o es propiedad comunal?</t>
  </si>
  <si>
    <r>
      <t xml:space="preserve">Valor por hectarea </t>
    </r>
    <r>
      <rPr>
        <b/>
        <sz val="14"/>
        <color rgb="FF0000FF"/>
        <rFont val="Arial"/>
        <family val="2"/>
      </rPr>
      <t>(DE LA TIERRA POR SI SOLA, SIN CULTIVO)</t>
    </r>
  </si>
  <si>
    <r>
      <t xml:space="preserve">En caso de no ser propietario,  paga alguna renta, cuál es el valor </t>
    </r>
    <r>
      <rPr>
        <b/>
        <sz val="14"/>
        <color rgb="FF0000FF"/>
        <rFont val="Arial"/>
        <family val="2"/>
      </rPr>
      <t>ANUAL</t>
    </r>
    <r>
      <rPr>
        <sz val="14"/>
        <rFont val="Arial"/>
        <family val="2"/>
      </rPr>
      <t>?</t>
    </r>
  </si>
  <si>
    <t>Impuestos y Regulación</t>
  </si>
  <si>
    <t>Impuesto a la propiedad en PESOS (Catastro)</t>
  </si>
  <si>
    <t>Impuestos no oficiales en PESOS</t>
  </si>
  <si>
    <t>Costos Administrativos e imprevistos</t>
  </si>
  <si>
    <t>Cuánto tiempo puede gastar  supervisando (no trabajando) actividades como limpias, manejos, podas, obras conservación, cosecha etc</t>
  </si>
  <si>
    <t>Cuánto tiempo puede gastar  en cuestiones administrativas de su finca tales como llevar las cuentas, los registros, pagar servicios, pagar trabajdores, ir al banco, ir a la asociación por papeles, pagos, reuniones (NO capacitaciones).</t>
  </si>
  <si>
    <t>Cuánto tiempo puede gastar  en capacitar a la gente que contrata para las diversas labores de la finca</t>
  </si>
  <si>
    <t>sólo horas totales</t>
  </si>
  <si>
    <t>Cuánto puede gastar  En costos extraordinarios tales como cubrir asistencias médicas por accidentes de trabajo de sus trabajadores</t>
  </si>
  <si>
    <t>Costos no mencionados</t>
  </si>
  <si>
    <t>Años 2-8</t>
  </si>
  <si>
    <t>Sum = 100</t>
  </si>
  <si>
    <t>INPUTS
(yes = 1, no = 0)</t>
  </si>
  <si>
    <t>INPUTS
(required amount * cost per unit)</t>
  </si>
  <si>
    <t>INPUTS
(yes 1, no = 0)</t>
  </si>
  <si>
    <r>
      <t xml:space="preserve">Cuál fue el precio promedio por QUINTAL de </t>
    </r>
    <r>
      <rPr>
        <b/>
        <sz val="14"/>
        <color theme="1"/>
        <rFont val="Arial"/>
        <family val="2"/>
      </rPr>
      <t>café pergamino seco</t>
    </r>
    <r>
      <rPr>
        <sz val="14"/>
        <color theme="1"/>
        <rFont val="Arial"/>
        <family val="2"/>
      </rPr>
      <t xml:space="preserve">, que usted recibió en la última cosecha? </t>
    </r>
  </si>
  <si>
    <t>¿Cuál fue el valor por KILO del premio Cooperativa</t>
  </si>
  <si>
    <t>¿Cuál fue el valor por KILO de otros premios?</t>
  </si>
  <si>
    <t>¿Que alternativas utilizó UD. Para sobrepasar el choque en los ingresos que la roya representó?                                       Escriba ingreso aproximado ( 0 = No)</t>
  </si>
  <si>
    <t>sólo espacio para una cosa</t>
  </si>
  <si>
    <t>extintor</t>
  </si>
  <si>
    <t>¿Recibió usted por parte de la asociación algún tipo de capacitación en los últimos dos años?</t>
  </si>
  <si>
    <t>Temas tratados en la capacitacion (tres principales temas)</t>
  </si>
  <si>
    <r>
      <t>Intensidad</t>
    </r>
    <r>
      <rPr>
        <sz val="14"/>
        <color rgb="FF0000FF"/>
        <rFont val="Arial"/>
        <family val="2"/>
      </rPr>
      <t xml:space="preserve"> o duracion en días de cada capacitacion</t>
    </r>
  </si>
  <si>
    <t>Veces  al año</t>
  </si>
  <si>
    <t>foliación</t>
  </si>
  <si>
    <t>número de años</t>
  </si>
  <si>
    <t>fert</t>
  </si>
  <si>
    <t>mensual</t>
  </si>
  <si>
    <t>Tiempo del préstamo</t>
  </si>
  <si>
    <t>Cuanto paga por Caja Recolectada</t>
  </si>
  <si>
    <t>Transporte Años productivos</t>
  </si>
  <si>
    <r>
      <t xml:space="preserve">Cuantos </t>
    </r>
    <r>
      <rPr>
        <sz val="12"/>
        <color theme="4"/>
        <rFont val="Calibri"/>
        <family val="2"/>
        <scheme val="minor"/>
      </rPr>
      <t>quintales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 xml:space="preserve">de café </t>
    </r>
    <r>
      <rPr>
        <b/>
        <sz val="12"/>
        <color rgb="FF0000FF"/>
        <rFont val="Calibri"/>
        <family val="2"/>
        <scheme val="minor"/>
      </rPr>
      <t>pergamino seco</t>
    </r>
    <r>
      <rPr>
        <sz val="12"/>
        <color theme="1"/>
        <rFont val="Calibri"/>
        <family val="2"/>
        <scheme val="minor"/>
      </rPr>
      <t xml:space="preserve"> espera UD. </t>
    </r>
    <r>
      <rPr>
        <b/>
        <u/>
        <sz val="12"/>
        <color rgb="FF0000FF"/>
        <rFont val="Calibri"/>
        <family val="2"/>
        <scheme val="minor"/>
      </rPr>
      <t>por árbol</t>
    </r>
    <r>
      <rPr>
        <sz val="12"/>
        <color theme="1"/>
        <rFont val="Calibri"/>
        <family val="2"/>
        <scheme val="minor"/>
      </rPr>
      <t xml:space="preserve"> en cada </t>
    </r>
    <r>
      <rPr>
        <b/>
        <sz val="12"/>
        <color rgb="FF0000FF"/>
        <rFont val="Calibri"/>
        <family val="2"/>
        <scheme val="minor"/>
      </rPr>
      <t>año</t>
    </r>
    <r>
      <rPr>
        <sz val="12"/>
        <color theme="1"/>
        <rFont val="Calibri"/>
        <family val="2"/>
        <scheme val="minor"/>
      </rPr>
      <t>?</t>
    </r>
  </si>
  <si>
    <r>
      <t>Cual prima? (Si cero es por que</t>
    </r>
    <r>
      <rPr>
        <sz val="12"/>
        <color rgb="FF0000FF"/>
        <rFont val="Calibri"/>
        <family val="2"/>
        <scheme val="minor"/>
      </rPr>
      <t xml:space="preserve"> al menos del 50% de los productores afirma recibir la prima</t>
    </r>
    <r>
      <rPr>
        <sz val="12"/>
        <color theme="1"/>
        <rFont val="Calibri"/>
        <family val="2"/>
        <scheme val="minor"/>
      </rPr>
      <t>)</t>
    </r>
  </si>
  <si>
    <r>
      <t xml:space="preserve">Cual fue el precio por </t>
    </r>
    <r>
      <rPr>
        <sz val="12"/>
        <color rgb="FFFF0000"/>
        <rFont val="Calibri"/>
        <family val="2"/>
        <scheme val="minor"/>
      </rPr>
      <t xml:space="preserve">QUINTAL </t>
    </r>
    <r>
      <rPr>
        <sz val="12"/>
        <color theme="1"/>
        <rFont val="Calibri"/>
        <family val="2"/>
        <scheme val="minor"/>
      </rPr>
      <t xml:space="preserve">de </t>
    </r>
    <r>
      <rPr>
        <b/>
        <sz val="12"/>
        <color theme="1"/>
        <rFont val="Calibri"/>
        <family val="2"/>
        <scheme val="minor"/>
      </rPr>
      <t>café pergamino</t>
    </r>
    <r>
      <rPr>
        <sz val="12"/>
        <color theme="1"/>
        <rFont val="Calibri"/>
        <family val="2"/>
        <scheme val="minor"/>
      </rPr>
      <t xml:space="preserve">, que usted recibió en la ultima cosecha sin contar ninguna prima? </t>
    </r>
  </si>
  <si>
    <r>
      <t>Cual es el valorde esa</t>
    </r>
    <r>
      <rPr>
        <sz val="12"/>
        <color rgb="FF0000FF"/>
        <rFont val="Calibri"/>
        <family val="2"/>
        <scheme val="minor"/>
      </rPr>
      <t xml:space="preserve"> prima en pergamino seco</t>
    </r>
    <r>
      <rPr>
        <sz val="12"/>
        <color theme="1"/>
        <rFont val="Calibri"/>
        <family val="2"/>
        <scheme val="minor"/>
      </rPr>
      <t xml:space="preserve"> (en caso inclusive que menos del 50% de productores afirme recibirla):</t>
    </r>
  </si>
  <si>
    <r>
      <t xml:space="preserve">Cuantos </t>
    </r>
    <r>
      <rPr>
        <b/>
        <sz val="12"/>
        <color rgb="FFFF0000"/>
        <rFont val="Calibri"/>
        <family val="2"/>
        <scheme val="minor"/>
      </rPr>
      <t>Libras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de</t>
    </r>
    <r>
      <rPr>
        <sz val="12"/>
        <color rgb="FF0000FF"/>
        <rFont val="Calibri"/>
        <family val="2"/>
        <scheme val="minor"/>
      </rPr>
      <t xml:space="preserve"> café cereza o uva</t>
    </r>
    <r>
      <rPr>
        <sz val="12"/>
        <color theme="1"/>
        <rFont val="Calibri"/>
        <family val="2"/>
        <scheme val="minor"/>
      </rPr>
      <t xml:space="preserve"> espera UD. </t>
    </r>
    <r>
      <rPr>
        <b/>
        <u/>
        <sz val="12"/>
        <color rgb="FF0000FF"/>
        <rFont val="Calibri"/>
        <family val="2"/>
        <scheme val="minor"/>
      </rPr>
      <t>por arbol</t>
    </r>
    <r>
      <rPr>
        <sz val="12"/>
        <color theme="1"/>
        <rFont val="Calibri"/>
        <family val="2"/>
        <scheme val="minor"/>
      </rPr>
      <t xml:space="preserve"> en cada </t>
    </r>
    <r>
      <rPr>
        <b/>
        <sz val="12"/>
        <color rgb="FF0000FF"/>
        <rFont val="Calibri"/>
        <family val="2"/>
        <scheme val="minor"/>
      </rPr>
      <t>año</t>
    </r>
    <r>
      <rPr>
        <sz val="12"/>
        <color theme="1"/>
        <rFont val="Calibri"/>
        <family val="2"/>
        <scheme val="minor"/>
      </rPr>
      <t>?</t>
    </r>
  </si>
  <si>
    <r>
      <t>Cuantos</t>
    </r>
    <r>
      <rPr>
        <sz val="12"/>
        <color rgb="FF00B050"/>
        <rFont val="Calibri"/>
        <family val="2"/>
        <scheme val="minor"/>
      </rPr>
      <t xml:space="preserve"> Quintales</t>
    </r>
    <r>
      <rPr>
        <b/>
        <sz val="12"/>
        <color theme="1"/>
        <rFont val="Calibri"/>
        <family val="2"/>
        <scheme val="minor"/>
      </rPr>
      <t xml:space="preserve"> </t>
    </r>
    <r>
      <rPr>
        <sz val="12"/>
        <color theme="1"/>
        <rFont val="Calibri"/>
        <family val="2"/>
        <scheme val="minor"/>
      </rPr>
      <t>de</t>
    </r>
    <r>
      <rPr>
        <sz val="12"/>
        <color rgb="FF0000FF"/>
        <rFont val="Calibri"/>
        <family val="2"/>
        <scheme val="minor"/>
      </rPr>
      <t xml:space="preserve"> pergamino seco</t>
    </r>
    <r>
      <rPr>
        <sz val="12"/>
        <color theme="1"/>
        <rFont val="Calibri"/>
        <family val="2"/>
        <scheme val="minor"/>
      </rPr>
      <t xml:space="preserve"> espera UD. manzana en cada </t>
    </r>
    <r>
      <rPr>
        <b/>
        <sz val="12"/>
        <color rgb="FF0000FF"/>
        <rFont val="Calibri"/>
        <family val="2"/>
        <scheme val="minor"/>
      </rPr>
      <t>año</t>
    </r>
    <r>
      <rPr>
        <sz val="12"/>
        <color theme="1"/>
        <rFont val="Calibri"/>
        <family val="2"/>
        <scheme val="minor"/>
      </rPr>
      <t>?</t>
    </r>
  </si>
  <si>
    <r>
      <t xml:space="preserve">Que tantos litros de agua se pueden gastar en el beneficio húmedo de 1 </t>
    </r>
    <r>
      <rPr>
        <sz val="12"/>
        <color theme="1"/>
        <rFont val="Calibri"/>
        <family val="2"/>
        <scheme val="minor"/>
      </rPr>
      <t>arroba</t>
    </r>
    <r>
      <rPr>
        <sz val="12"/>
        <color rgb="FFFF0000"/>
        <rFont val="Calibri"/>
        <family val="2"/>
        <scheme val="minor"/>
      </rPr>
      <t xml:space="preserve"> de café pergamino seco?</t>
    </r>
  </si>
  <si>
    <t>TOTAL de tiempo recogiendo café</t>
  </si>
  <si>
    <t>147..28</t>
  </si>
  <si>
    <t>Otras actividades relacionadas con la cosecha</t>
  </si>
  <si>
    <t>Años de vida útil</t>
  </si>
  <si>
    <t>Cuánto paga por un litro de agua utilizado en su proceso de producción de café?</t>
  </si>
  <si>
    <t xml:space="preserve">Recibio algún prestamo por parte de un Banco u otro prestamista? </t>
  </si>
  <si>
    <t>inv</t>
  </si>
  <si>
    <t>Cell with dark purple fill are cells with operations</t>
  </si>
  <si>
    <t>Cells with light purple fill are input por operations</t>
  </si>
  <si>
    <t>Salary</t>
  </si>
  <si>
    <t>Chemical</t>
  </si>
  <si>
    <t xml:space="preserve">Organic </t>
  </si>
  <si>
    <t>Transition</t>
  </si>
  <si>
    <t>Hectares young trees</t>
  </si>
  <si>
    <t>Hectares mature trees</t>
  </si>
  <si>
    <t>Hectares old trees</t>
  </si>
  <si>
    <t>Total hectares</t>
  </si>
  <si>
    <t>Áños 7 y 8</t>
  </si>
  <si>
    <t>Años 4, 5 y 6</t>
  </si>
  <si>
    <t>Indique cuántas hectáreas de café tienen árboles jóvenes</t>
  </si>
  <si>
    <t>Área total en café (hectáreas)</t>
  </si>
  <si>
    <t>Área total de la finca (hectáreas)</t>
  </si>
  <si>
    <t>Indique cuántas hectáreas de café tienen árboles maduros</t>
  </si>
  <si>
    <t>Indique cuántas hectáreas de café tienen árboles viejos</t>
  </si>
  <si>
    <t>INPUTS
(hectares young trees + hectares grown up trees + hectares old trees)</t>
  </si>
  <si>
    <t>INPUTS advanced</t>
  </si>
  <si>
    <t>Production average</t>
  </si>
  <si>
    <t>Reported productivity</t>
  </si>
  <si>
    <t>years</t>
  </si>
  <si>
    <t xml:space="preserve"> Yr 2,3</t>
  </si>
  <si>
    <t>Yr 4,5,6</t>
  </si>
  <si>
    <t>YR 7,8</t>
  </si>
  <si>
    <t>Land by age</t>
  </si>
  <si>
    <t>Percentage of land</t>
  </si>
  <si>
    <t>Perú</t>
  </si>
  <si>
    <t>Mexico CESMACH</t>
  </si>
  <si>
    <t>FCC</t>
  </si>
  <si>
    <t>Pergamino seco (kilos / hectarea)</t>
  </si>
  <si>
    <t>cambio %</t>
  </si>
  <si>
    <t>Pergamino seco (quintales/ha)</t>
  </si>
  <si>
    <t>Pergamino seco (kilos / Manzana)</t>
  </si>
  <si>
    <t>Promedios crecimientos %</t>
  </si>
  <si>
    <t>Años 2,3</t>
  </si>
  <si>
    <t>Años 4,5,6</t>
  </si>
  <si>
    <t>Años 7, 8</t>
  </si>
  <si>
    <t>UVA 
(Quintales/ Manzana)</t>
  </si>
  <si>
    <t>Valores originales</t>
  </si>
  <si>
    <r>
      <t xml:space="preserve">¿Cuántas </t>
    </r>
    <r>
      <rPr>
        <b/>
        <sz val="12"/>
        <rFont val="Arial"/>
        <family val="2"/>
      </rPr>
      <t>Quintales</t>
    </r>
    <r>
      <rPr>
        <sz val="12"/>
        <color rgb="FFFF0000"/>
        <rFont val="Arial"/>
        <family val="2"/>
      </rPr>
      <t xml:space="preserve"> de PERGAMINO SECO recoge POR HECTÁREA?</t>
    </r>
  </si>
  <si>
    <t>no se usa para calculos</t>
  </si>
  <si>
    <r>
      <t xml:space="preserve">¿Cuántas </t>
    </r>
    <r>
      <rPr>
        <b/>
        <sz val="12"/>
        <color rgb="FFFF0000"/>
        <rFont val="Arial"/>
        <family val="2"/>
      </rPr>
      <t>QUINTALES</t>
    </r>
    <r>
      <rPr>
        <sz val="12"/>
        <rFont val="Arial"/>
        <family val="2"/>
      </rPr>
      <t xml:space="preserve"> de PERGAMINO SECO recoge POR HECTÁREA?</t>
    </r>
  </si>
  <si>
    <r>
      <t xml:space="preserve">     Baseline (Precio pergamino seco</t>
    </r>
    <r>
      <rPr>
        <sz val="12"/>
        <color rgb="FF0000FF"/>
        <rFont val="Calibri"/>
        <family val="2"/>
        <scheme val="minor"/>
      </rPr>
      <t xml:space="preserve"> * Nº Kg</t>
    </r>
    <r>
      <rPr>
        <sz val="12"/>
        <color theme="1"/>
        <rFont val="Calibri"/>
        <family val="2"/>
        <scheme val="minor"/>
      </rPr>
      <t xml:space="preserve">)                                           </t>
    </r>
    <r>
      <rPr>
        <sz val="12"/>
        <color rgb="FFFF0000"/>
        <rFont val="Calibri"/>
        <family val="2"/>
        <scheme val="minor"/>
      </rPr>
      <t xml:space="preserve">ESTO ES Precio </t>
    </r>
    <r>
      <rPr>
        <b/>
        <sz val="12"/>
        <rFont val="Calibri"/>
        <family val="2"/>
        <scheme val="minor"/>
      </rPr>
      <t>QUINTALES</t>
    </r>
    <r>
      <rPr>
        <sz val="12"/>
        <color rgb="FFFF0000"/>
        <rFont val="Calibri"/>
        <family val="2"/>
        <scheme val="minor"/>
      </rPr>
      <t xml:space="preserve"> * No. </t>
    </r>
    <r>
      <rPr>
        <b/>
        <sz val="12"/>
        <rFont val="Calibri"/>
        <family val="2"/>
        <scheme val="minor"/>
      </rPr>
      <t>QUINTALES</t>
    </r>
  </si>
  <si>
    <t>Variable Costs</t>
  </si>
  <si>
    <t>Fixed costs</t>
  </si>
  <si>
    <t>Total costs and depreciation</t>
  </si>
  <si>
    <t xml:space="preserve">Cooperative </t>
  </si>
  <si>
    <t xml:space="preserve">Your variable cost of production is: </t>
  </si>
  <si>
    <t xml:space="preserve">Your total cost of production is: </t>
  </si>
  <si>
    <t xml:space="preserve">How much do you pay in pesos to transport your coffee  from the farm to the collection center in one year? </t>
  </si>
  <si>
    <t>How many quintales of coffee do you produce on average in one year per hectare?</t>
  </si>
  <si>
    <t>Nota: Los costos en general se han calculado basado en una productividad promedio sobre la cual se le pregunto al productor cuanto invertia en X o Y insumo</t>
  </si>
  <si>
    <t>Si se quieren ver los costos a productividades distintas aplicamos una regla de tres dada la productividad que se asume como referencia en este archivo, basado en CESMACH</t>
  </si>
  <si>
    <t>Quintales</t>
  </si>
  <si>
    <t>Kilogramos</t>
  </si>
  <si>
    <t>La productividad promedio en CESMACH fue relativamente baja 1,168 lbs/ht  Executive report</t>
  </si>
  <si>
    <t>Libras</t>
  </si>
  <si>
    <t>En este archivo la referencias fueron 14 quintales, que se aproxima a 1400 lbs por hectarea</t>
  </si>
  <si>
    <t>Referencia</t>
  </si>
  <si>
    <t>Assumptions reference</t>
  </si>
  <si>
    <t>US</t>
  </si>
  <si>
    <t>POUNDS/HT</t>
  </si>
  <si>
    <t>Diferencia asumiendo Y dado (1419.6 pounds/ht)</t>
  </si>
  <si>
    <t>DIFERENCIA Costo producción cereza (Pesos/Hectarea)</t>
  </si>
  <si>
    <t>Mexico</t>
  </si>
  <si>
    <t>Peru</t>
  </si>
  <si>
    <t>Honduras</t>
  </si>
  <si>
    <t>Cesmach</t>
  </si>
  <si>
    <t>Andes</t>
  </si>
  <si>
    <t>ADISA</t>
  </si>
  <si>
    <t>COMSA-Parch.</t>
  </si>
  <si>
    <t>Productivity (Pounds/ht)</t>
  </si>
  <si>
    <t>Cost (US/ht)</t>
  </si>
  <si>
    <t xml:space="preserve">Variable </t>
  </si>
  <si>
    <t>Fixed</t>
  </si>
  <si>
    <t xml:space="preserve">Depreciation </t>
  </si>
  <si>
    <t>Pounds/ht</t>
  </si>
  <si>
    <t>Variable</t>
  </si>
  <si>
    <t>Depreciation</t>
  </si>
  <si>
    <t>a</t>
  </si>
  <si>
    <t>b</t>
  </si>
  <si>
    <t>c</t>
  </si>
  <si>
    <t>x</t>
  </si>
  <si>
    <t>y</t>
  </si>
  <si>
    <t>Productivity Pounds/ht</t>
  </si>
  <si>
    <t>Productivity original scale (Quintales/ht)</t>
  </si>
  <si>
    <t>y pesos</t>
  </si>
  <si>
    <t>Cost (Pesos/ht)</t>
  </si>
  <si>
    <t>US/ht</t>
  </si>
  <si>
    <t>Pesos/ht</t>
  </si>
  <si>
    <t>Productor 1</t>
  </si>
  <si>
    <t>Productivity (Quintales/ht)</t>
  </si>
  <si>
    <t>What price did you received per quintal of coffee?</t>
  </si>
  <si>
    <t>(Note to Programmer)</t>
  </si>
  <si>
    <t>Please add in the graph the blue line according to the following linked value</t>
  </si>
  <si>
    <t>stock market</t>
  </si>
  <si>
    <t xml:space="preserve">Please add to the graph the red line according to the price of coffee per pound in the </t>
  </si>
  <si>
    <t>Y axis: US/POUND</t>
  </si>
  <si>
    <t>Conventional</t>
  </si>
  <si>
    <t>Hectares of tree early production</t>
  </si>
  <si>
    <t>Hectares of trees on peak production</t>
  </si>
  <si>
    <t>How much do you pay per day to your workers on average?</t>
  </si>
  <si>
    <t>Hectares with trees on early production</t>
  </si>
  <si>
    <t>Hectares with trees on peak of production</t>
  </si>
  <si>
    <t>Hectares with old trees</t>
  </si>
  <si>
    <t>How much do you pay per day to your workers in soles on average?</t>
  </si>
  <si>
    <t>Dollars</t>
  </si>
  <si>
    <t>From inputs (Soles)</t>
  </si>
  <si>
    <t>Mexican Pesos</t>
  </si>
  <si>
    <t>What price did you received in soles per quintal of coffee?</t>
  </si>
  <si>
    <t xml:space="preserve">How much do you pay in soles to transport your coffee  from the farm to the collection center in one year? </t>
  </si>
  <si>
    <t>Soles/ht</t>
  </si>
  <si>
    <t>Producer 2</t>
  </si>
  <si>
    <t xml:space="preserve">Producer 3 </t>
  </si>
  <si>
    <t>Producer 4</t>
  </si>
  <si>
    <t>Cooperative</t>
  </si>
  <si>
    <t>Producer 1</t>
  </si>
  <si>
    <t>SCREEN</t>
  </si>
  <si>
    <t>dbo.UserTable</t>
  </si>
  <si>
    <t>userID</t>
  </si>
  <si>
    <t>CoopID</t>
  </si>
  <si>
    <t>userName</t>
  </si>
  <si>
    <t>dbo.CoopIDTable</t>
  </si>
  <si>
    <t>CoopName</t>
  </si>
  <si>
    <t>CoopCountry</t>
  </si>
  <si>
    <t>CoopAdmin</t>
  </si>
  <si>
    <t>dbo.outputProducer</t>
  </si>
  <si>
    <t>VariableCostsUSPound</t>
  </si>
  <si>
    <t>FixedCostsUSPound</t>
  </si>
  <si>
    <t>TotalCostAndDeprUSPound</t>
  </si>
  <si>
    <t>TotalCostrUSPound</t>
  </si>
  <si>
    <t>VariableCostsUSHect</t>
  </si>
  <si>
    <t>VariableCostsSolesHect</t>
  </si>
  <si>
    <t>TotalCostUSHect</t>
  </si>
  <si>
    <t>TotalCostSolesHect</t>
  </si>
  <si>
    <t>BreakevenCostUSPound</t>
  </si>
  <si>
    <t>Producer1</t>
  </si>
  <si>
    <t>&lt;--Push result for logged in user to this table            &lt;--This is calculated</t>
  </si>
  <si>
    <t>dbo.outputGRAPH</t>
  </si>
  <si>
    <t>History from Producers Coop 1</t>
  </si>
  <si>
    <t>&lt;--Random example</t>
  </si>
  <si>
    <t>graphlabel</t>
  </si>
  <si>
    <t>dbo.outputCoop</t>
  </si>
  <si>
    <t>Coop1</t>
  </si>
  <si>
    <t>Cooperative 1</t>
  </si>
  <si>
    <t>&lt;--This is static after several producers generate output information</t>
  </si>
  <si>
    <t>dbo.Inputs</t>
  </si>
  <si>
    <t>hectTreesEarly</t>
  </si>
  <si>
    <t>hectTreesPeak</t>
  </si>
  <si>
    <t>hectTreesOld</t>
  </si>
  <si>
    <t>wagePerDay</t>
  </si>
  <si>
    <t>yieldPerHect</t>
  </si>
  <si>
    <t>transCost</t>
  </si>
  <si>
    <t>price</t>
  </si>
  <si>
    <t>&lt;--Push user entered inputs into this table.</t>
  </si>
  <si>
    <t>Without any historical information from producers (no average available) assumethe following values for Cooperative::</t>
  </si>
  <si>
    <t>&lt;--This is static and gets queried for output &lt;--See links</t>
  </si>
  <si>
    <t>&lt;--Average from producers</t>
  </si>
  <si>
    <t>Total Abonos</t>
  </si>
  <si>
    <t>Abono orgánicos o COMPOST para LOS HOYOS</t>
  </si>
  <si>
    <t>Abono orgánicos o COMPOST  para levante</t>
  </si>
  <si>
    <t>Abonos organicos mantenimiento</t>
  </si>
  <si>
    <t xml:space="preserve">In one year, and during the pick of production, how much did you spend in your coffee farm in the following inputs per hectare: </t>
  </si>
  <si>
    <t>Organic fertilizers (soles per hectare)</t>
  </si>
  <si>
    <t>Chemical fertilizers (soles per hectare)</t>
  </si>
  <si>
    <t>ChemCost</t>
  </si>
  <si>
    <t>OrganicCost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</si>
</sst>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4" formatCode="_(&quot;$&quot;* #,##0.00_);_(&quot;$&quot;* \(#,##0.00\);_(&quot;$&quot;* &quot;-&quot;??_);_(@_)"/>
    <numFmt numFmtId="164" formatCode="_-* #,##0.00_-;\-* #,##0.00_-;_-* &quot;-&quot;??_-;_-@_-"/>
    <numFmt numFmtId="165" formatCode="_-* #,##0.00\ &quot;€&quot;_-;\-* #,##0.00\ &quot;€&quot;_-;_-* &quot;-&quot;??\ &quot;€&quot;_-;_-@_-"/>
    <numFmt numFmtId="166" formatCode="0.0"/>
    <numFmt numFmtId="167" formatCode="0.000"/>
    <numFmt numFmtId="168" formatCode="0.0000"/>
    <numFmt numFmtId="169" formatCode="0.00000"/>
  </numFmts>
  <fonts count="129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  <font>
      <i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5"/>
      <name val="Calibri"/>
      <family val="2"/>
      <scheme val="minor"/>
    </font>
    <font>
      <sz val="14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9"/>
      <color indexed="81"/>
      <name val="Calibri"/>
      <family val="2"/>
    </font>
    <font>
      <b/>
      <sz val="9"/>
      <color indexed="81"/>
      <name val="Calibri"/>
      <family val="2"/>
    </font>
    <font>
      <sz val="12"/>
      <color rgb="FFFF6600"/>
      <name val="Calibri"/>
      <family val="2"/>
      <scheme val="minor"/>
    </font>
    <font>
      <sz val="12"/>
      <color theme="8" tint="-0.249977111117893"/>
      <name val="Calibri"/>
      <family val="2"/>
      <scheme val="minor"/>
    </font>
    <font>
      <b/>
      <u/>
      <sz val="12"/>
      <color rgb="FF0000FF"/>
      <name val="Calibri"/>
      <family val="2"/>
      <scheme val="minor"/>
    </font>
    <font>
      <b/>
      <i/>
      <sz val="12"/>
      <name val="Calibri"/>
      <family val="2"/>
      <scheme val="minor"/>
    </font>
    <font>
      <b/>
      <sz val="16"/>
      <color theme="0"/>
      <name val="Calibri"/>
      <family val="2"/>
      <scheme val="minor"/>
    </font>
    <font>
      <i/>
      <sz val="12"/>
      <color theme="0"/>
      <name val="Calibri"/>
      <family val="2"/>
      <scheme val="minor"/>
    </font>
    <font>
      <sz val="12"/>
      <color rgb="FFFFFFFF"/>
      <name val="Calibri"/>
      <family val="2"/>
      <scheme val="minor"/>
    </font>
    <font>
      <i/>
      <sz val="12"/>
      <color rgb="FFFFFFFF"/>
      <name val="Calibri"/>
      <family val="2"/>
      <scheme val="minor"/>
    </font>
    <font>
      <sz val="12"/>
      <color rgb="FF0000FF"/>
      <name val="Calibri"/>
      <family val="2"/>
      <scheme val="minor"/>
    </font>
    <font>
      <sz val="16"/>
      <color theme="0"/>
      <name val="Calibri"/>
      <family val="2"/>
      <scheme val="minor"/>
    </font>
    <font>
      <sz val="12"/>
      <color rgb="FF008000"/>
      <name val="Calibri"/>
      <family val="2"/>
      <scheme val="minor"/>
    </font>
    <font>
      <u/>
      <sz val="12"/>
      <color rgb="FF0000FF"/>
      <name val="Calibri"/>
      <family val="2"/>
      <scheme val="minor"/>
    </font>
    <font>
      <sz val="12"/>
      <color rgb="FF3366FF"/>
      <name val="Calibri"/>
      <family val="2"/>
      <scheme val="minor"/>
    </font>
    <font>
      <b/>
      <sz val="14"/>
      <color theme="1"/>
      <name val="Calibri"/>
      <family val="2"/>
      <scheme val="minor"/>
    </font>
    <font>
      <u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0000FF"/>
      <name val="Arial"/>
      <family val="2"/>
    </font>
    <font>
      <sz val="12"/>
      <color rgb="FF0000FF"/>
      <name val="Calibri"/>
      <family val="2"/>
    </font>
    <font>
      <i/>
      <sz val="12"/>
      <color rgb="FF0000FF"/>
      <name val="Calibri"/>
      <family val="2"/>
      <scheme val="minor"/>
    </font>
    <font>
      <i/>
      <sz val="12"/>
      <name val="Calibri"/>
      <family val="2"/>
      <scheme val="minor"/>
    </font>
    <font>
      <sz val="12"/>
      <name val="Arial"/>
      <family val="2"/>
    </font>
    <font>
      <sz val="12"/>
      <color theme="9" tint="-0.249977111117893"/>
      <name val="Calibri"/>
      <family val="2"/>
      <scheme val="minor"/>
    </font>
    <font>
      <b/>
      <sz val="12"/>
      <color theme="9" tint="-0.499984740745262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4"/>
      <color theme="9" tint="-0.499984740745262"/>
      <name val="Calibri"/>
      <family val="2"/>
      <scheme val="minor"/>
    </font>
    <font>
      <b/>
      <sz val="14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sz val="12"/>
      <color theme="7" tint="0.39997558519241921"/>
      <name val="Calibri"/>
      <family val="2"/>
      <scheme val="minor"/>
    </font>
    <font>
      <sz val="12"/>
      <color theme="3" tint="0.39997558519241921"/>
      <name val="Calibri"/>
      <family val="2"/>
      <scheme val="minor"/>
    </font>
    <font>
      <b/>
      <sz val="12"/>
      <color theme="7" tint="0.39997558519241921"/>
      <name val="Calibri"/>
      <family val="2"/>
      <scheme val="minor"/>
    </font>
    <font>
      <sz val="12"/>
      <color theme="0"/>
      <name val="Arial"/>
      <family val="2"/>
    </font>
    <font>
      <i/>
      <sz val="12"/>
      <color theme="0"/>
      <name val="Arial"/>
      <family val="2"/>
    </font>
    <font>
      <i/>
      <sz val="12"/>
      <name val="Arial"/>
      <family val="2"/>
    </font>
    <font>
      <sz val="12"/>
      <color rgb="FFFF0000"/>
      <name val="Arial"/>
      <family val="2"/>
    </font>
    <font>
      <b/>
      <sz val="12"/>
      <color theme="1"/>
      <name val="Arial"/>
      <family val="2"/>
    </font>
    <font>
      <sz val="12"/>
      <color theme="7" tint="0.59999389629810485"/>
      <name val="Calibri"/>
      <family val="2"/>
      <scheme val="minor"/>
    </font>
    <font>
      <sz val="12"/>
      <color theme="9" tint="0.39997558519241921"/>
      <name val="Arial"/>
      <family val="2"/>
    </font>
    <font>
      <sz val="12"/>
      <color theme="5" tint="-0.249977111117893"/>
      <name val="Calibri"/>
      <family val="2"/>
      <scheme val="minor"/>
    </font>
    <font>
      <b/>
      <sz val="12"/>
      <color rgb="FF800000"/>
      <name val="Calibri"/>
      <family val="2"/>
      <scheme val="minor"/>
    </font>
    <font>
      <i/>
      <sz val="12"/>
      <color rgb="FFFF0000"/>
      <name val="Calibri"/>
      <family val="2"/>
      <scheme val="minor"/>
    </font>
    <font>
      <b/>
      <sz val="14"/>
      <color theme="5" tint="-0.249977111117893"/>
      <name val="Calibri"/>
      <family val="2"/>
      <scheme val="minor"/>
    </font>
    <font>
      <i/>
      <sz val="12"/>
      <color theme="1"/>
      <name val="Arial"/>
      <family val="2"/>
    </font>
    <font>
      <sz val="12"/>
      <color rgb="FF008000"/>
      <name val="Arial"/>
      <family val="2"/>
    </font>
    <font>
      <sz val="12"/>
      <color theme="5"/>
      <name val="Calibri"/>
      <family val="2"/>
      <scheme val="minor"/>
    </font>
    <font>
      <b/>
      <sz val="12"/>
      <color rgb="FFFF6600"/>
      <name val="Arial"/>
      <family val="2"/>
    </font>
    <font>
      <b/>
      <i/>
      <sz val="12"/>
      <name val="Arial"/>
      <family val="2"/>
    </font>
    <font>
      <b/>
      <i/>
      <sz val="12"/>
      <color theme="1"/>
      <name val="Arial"/>
      <family val="2"/>
    </font>
    <font>
      <b/>
      <sz val="12"/>
      <color theme="7" tint="0.59999389629810485"/>
      <name val="Calibri"/>
      <family val="2"/>
      <scheme val="minor"/>
    </font>
    <font>
      <u/>
      <sz val="12"/>
      <color theme="7" tint="0.59999389629810485"/>
      <name val="Calibri"/>
      <family val="2"/>
      <scheme val="minor"/>
    </font>
    <font>
      <sz val="12"/>
      <color theme="7" tint="0.79998168889431442"/>
      <name val="Calibri"/>
      <family val="2"/>
      <scheme val="minor"/>
    </font>
    <font>
      <sz val="12"/>
      <color rgb="FF0000FF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i/>
      <sz val="12"/>
      <color rgb="FFFF0000"/>
      <name val="Calibri"/>
      <family val="2"/>
      <scheme val="minor"/>
    </font>
    <font>
      <b/>
      <i/>
      <sz val="12"/>
      <color rgb="FF0000FF"/>
      <name val="Calibri"/>
      <family val="2"/>
      <scheme val="minor"/>
    </font>
    <font>
      <sz val="12"/>
      <name val="Arial"/>
      <family val="2"/>
    </font>
    <font>
      <b/>
      <sz val="12"/>
      <name val="Arial"/>
      <family val="2"/>
    </font>
    <font>
      <b/>
      <sz val="12"/>
      <color theme="1"/>
      <name val="Arial"/>
      <family val="2"/>
    </font>
    <font>
      <b/>
      <i/>
      <sz val="12"/>
      <color theme="0"/>
      <name val="Calibri"/>
      <family val="2"/>
      <scheme val="minor"/>
    </font>
    <font>
      <i/>
      <sz val="14"/>
      <color theme="0"/>
      <name val="Calibri"/>
      <family val="2"/>
      <scheme val="minor"/>
    </font>
    <font>
      <b/>
      <i/>
      <sz val="14"/>
      <color theme="0"/>
      <name val="Calibri"/>
      <family val="2"/>
      <scheme val="minor"/>
    </font>
    <font>
      <b/>
      <i/>
      <sz val="12"/>
      <color theme="6" tint="-0.499984740745262"/>
      <name val="Calibri"/>
      <family val="2"/>
      <scheme val="minor"/>
    </font>
    <font>
      <strike/>
      <sz val="12"/>
      <color theme="1"/>
      <name val="Calibri"/>
      <family val="2"/>
      <scheme val="minor"/>
    </font>
    <font>
      <strike/>
      <sz val="12"/>
      <color rgb="FF0000FF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2"/>
      <color rgb="FF00B050"/>
      <name val="Calibri"/>
      <family val="2"/>
      <scheme val="minor"/>
    </font>
    <font>
      <u/>
      <sz val="12"/>
      <color rgb="FF0000FF"/>
      <name val="Arial"/>
      <family val="2"/>
    </font>
    <font>
      <b/>
      <sz val="14"/>
      <color theme="1"/>
      <name val="Arial"/>
      <family val="2"/>
    </font>
    <font>
      <b/>
      <sz val="12"/>
      <color rgb="FFFF0000"/>
      <name val="Arial"/>
      <family val="2"/>
    </font>
    <font>
      <b/>
      <sz val="12"/>
      <color rgb="FF00B050"/>
      <name val="Arial"/>
      <family val="2"/>
    </font>
    <font>
      <b/>
      <sz val="14"/>
      <color rgb="FFFF0000"/>
      <name val="Arial"/>
      <family val="2"/>
    </font>
    <font>
      <b/>
      <sz val="16"/>
      <name val="Arial"/>
      <family val="2"/>
    </font>
    <font>
      <sz val="14"/>
      <color theme="1"/>
      <name val="Arial"/>
      <family val="2"/>
    </font>
    <font>
      <i/>
      <sz val="14"/>
      <color theme="1"/>
      <name val="Arial"/>
      <family val="2"/>
    </font>
    <font>
      <sz val="14"/>
      <name val="Arial"/>
      <family val="2"/>
    </font>
    <font>
      <u/>
      <sz val="14"/>
      <name val="Arial"/>
      <family val="2"/>
    </font>
    <font>
      <b/>
      <sz val="12"/>
      <color theme="3" tint="0.39997558519241921"/>
      <name val="Arial"/>
      <family val="2"/>
    </font>
    <font>
      <b/>
      <i/>
      <sz val="12"/>
      <color theme="3" tint="0.39997558519241921"/>
      <name val="Arial"/>
      <family val="2"/>
    </font>
    <font>
      <b/>
      <sz val="18"/>
      <color theme="3" tint="0.39997558519241921"/>
      <name val="Arial"/>
      <family val="2"/>
    </font>
    <font>
      <b/>
      <sz val="18"/>
      <name val="Arial"/>
      <family val="2"/>
    </font>
    <font>
      <b/>
      <sz val="20"/>
      <name val="Arial"/>
      <family val="2"/>
    </font>
    <font>
      <b/>
      <i/>
      <sz val="14"/>
      <name val="Arial"/>
      <family val="2"/>
    </font>
    <font>
      <b/>
      <i/>
      <sz val="15"/>
      <name val="Arial"/>
      <family val="2"/>
    </font>
    <font>
      <b/>
      <i/>
      <u/>
      <sz val="15"/>
      <color rgb="FF008000"/>
      <name val="Arial"/>
      <family val="2"/>
    </font>
    <font>
      <b/>
      <sz val="16"/>
      <color theme="1"/>
      <name val="Arial"/>
      <family val="2"/>
    </font>
    <font>
      <b/>
      <i/>
      <sz val="16"/>
      <name val="Arial"/>
      <family val="2"/>
    </font>
    <font>
      <b/>
      <sz val="14"/>
      <color rgb="FF0000FF"/>
      <name val="Arial"/>
      <family val="2"/>
    </font>
    <font>
      <sz val="14"/>
      <color rgb="FF0000FF"/>
      <name val="Arial"/>
      <family val="2"/>
    </font>
    <font>
      <sz val="12"/>
      <color theme="4"/>
      <name val="Calibri"/>
      <family val="2"/>
      <scheme val="minor"/>
    </font>
    <font>
      <sz val="10"/>
      <color rgb="FF0000FF"/>
      <name val="Calibri"/>
      <family val="2"/>
      <scheme val="minor"/>
    </font>
    <font>
      <sz val="24"/>
      <color theme="1"/>
      <name val="Calibri"/>
      <family val="2"/>
      <scheme val="minor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2"/>
      <color rgb="FF000000"/>
      <name val="Calibri"/>
      <family val="2"/>
    </font>
    <font>
      <sz val="10"/>
      <color theme="0"/>
      <name val="Calibri"/>
      <family val="2"/>
      <scheme val="minor"/>
    </font>
    <font>
      <sz val="10"/>
      <color rgb="FFFF0000"/>
      <name val="Calibri"/>
      <family val="2"/>
      <scheme val="minor"/>
    </font>
    <font>
      <sz val="14"/>
      <color theme="0"/>
      <name val="Calibri"/>
      <family val="2"/>
      <scheme val="minor"/>
    </font>
    <font>
      <sz val="18"/>
      <color theme="1"/>
      <name val="Calibri"/>
      <family val="2"/>
      <scheme val="minor"/>
    </font>
    <font>
      <sz val="16"/>
      <color theme="0"/>
      <name val="Arial"/>
    </font>
    <font>
      <sz val="20"/>
      <color rgb="FFFF0000"/>
      <name val="Calibri"/>
      <family val="2"/>
      <scheme val="minor"/>
    </font>
    <font>
      <sz val="20"/>
      <color theme="1"/>
      <name val="Calibri"/>
      <scheme val="minor"/>
    </font>
    <font>
      <sz val="20"/>
      <name val="Calibri"/>
      <scheme val="minor"/>
    </font>
  </fonts>
  <fills count="42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BFBFBF"/>
        <bgColor rgb="FF000000"/>
      </patternFill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0000FF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3366FF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E81F19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rgb="FF000000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EE50AD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FFBA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5E0B3"/>
        <bgColor indexed="64"/>
      </patternFill>
    </fill>
    <fill>
      <patternFill patternType="solid">
        <fgColor rgb="FFE2EFD9"/>
        <bgColor indexed="64"/>
      </patternFill>
    </fill>
    <fill>
      <patternFill patternType="solid">
        <fgColor rgb="FF80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42"/>
        <bgColor indexed="64"/>
      </patternFill>
    </fill>
  </fills>
  <borders count="26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 style="medium">
        <color rgb="FFFFFFFF"/>
      </left>
      <right/>
      <top style="medium">
        <color rgb="FFFFFFFF"/>
      </top>
      <bottom style="medium">
        <color rgb="FFFFFFFF"/>
      </bottom>
      <diagonal/>
    </border>
    <border>
      <left style="medium">
        <color rgb="FFFFFFFF"/>
      </left>
      <right/>
      <top/>
      <bottom style="medium">
        <color rgb="FFFFFFFF"/>
      </bottom>
      <diagonal/>
    </border>
    <border>
      <left style="thin">
        <color auto="1"/>
      </left>
      <right/>
      <top/>
      <bottom/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/>
      <top style="thin">
        <color theme="0" tint="-0.14999847407452621"/>
      </top>
      <bottom/>
      <diagonal/>
    </border>
    <border>
      <left/>
      <right/>
      <top style="thin">
        <color theme="0" tint="-0.14999847407452621"/>
      </top>
      <bottom style="thin">
        <color theme="0" tint="-0.14999847407452621"/>
      </bottom>
      <diagonal/>
    </border>
  </borders>
  <cellStyleXfs count="1926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4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44" fontId="3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164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9" fontId="2" fillId="0" borderId="0" applyFont="0" applyFill="0" applyBorder="0" applyAlignment="0" applyProtection="0"/>
    <xf numFmtId="165" fontId="2" fillId="0" borderId="0" applyFon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804">
    <xf numFmtId="0" fontId="0" fillId="0" borderId="0" xfId="0"/>
    <xf numFmtId="0" fontId="0" fillId="0" borderId="1" xfId="0" applyBorder="1"/>
    <xf numFmtId="0" fontId="0" fillId="0" borderId="1" xfId="0" applyFill="1" applyBorder="1" applyAlignment="1">
      <alignment horizont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Fill="1"/>
    <xf numFmtId="0" fontId="5" fillId="0" borderId="0" xfId="0" applyFont="1" applyBorder="1"/>
    <xf numFmtId="0" fontId="0" fillId="0" borderId="0" xfId="0" applyBorder="1"/>
    <xf numFmtId="0" fontId="0" fillId="0" borderId="0" xfId="0" applyFill="1" applyBorder="1"/>
    <xf numFmtId="0" fontId="8" fillId="0" borderId="0" xfId="0" applyFont="1" applyBorder="1"/>
    <xf numFmtId="0" fontId="0" fillId="0" borderId="0" xfId="0" applyFont="1"/>
    <xf numFmtId="0" fontId="8" fillId="0" borderId="0" xfId="0" applyFont="1" applyFill="1" applyBorder="1"/>
    <xf numFmtId="0" fontId="0" fillId="0" borderId="0" xfId="0" applyFont="1" applyFill="1" applyBorder="1"/>
    <xf numFmtId="0" fontId="0" fillId="0" borderId="0" xfId="0" applyFont="1" applyAlignment="1">
      <alignment horizontal="right"/>
    </xf>
    <xf numFmtId="0" fontId="0" fillId="0" borderId="0" xfId="0" applyAlignment="1">
      <alignment wrapText="1"/>
    </xf>
    <xf numFmtId="0" fontId="5" fillId="0" borderId="1" xfId="0" applyFont="1" applyBorder="1"/>
    <xf numFmtId="0" fontId="5" fillId="0" borderId="0" xfId="0" applyFont="1" applyFill="1" applyBorder="1"/>
    <xf numFmtId="0" fontId="0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0" fontId="11" fillId="0" borderId="1" xfId="0" applyFont="1" applyBorder="1"/>
    <xf numFmtId="1" fontId="0" fillId="0" borderId="0" xfId="0" applyNumberFormat="1" applyFont="1"/>
    <xf numFmtId="0" fontId="5" fillId="0" borderId="0" xfId="0" applyFont="1" applyFill="1"/>
    <xf numFmtId="0" fontId="0" fillId="0" borderId="0" xfId="0" applyFont="1" applyFill="1"/>
    <xf numFmtId="0" fontId="11" fillId="0" borderId="1" xfId="0" applyFont="1" applyFill="1" applyBorder="1"/>
    <xf numFmtId="0" fontId="5" fillId="2" borderId="0" xfId="0" applyFont="1" applyFill="1" applyBorder="1"/>
    <xf numFmtId="0" fontId="10" fillId="0" borderId="0" xfId="0" applyFont="1" applyFill="1" applyBorder="1"/>
    <xf numFmtId="0" fontId="12" fillId="2" borderId="0" xfId="0" applyFont="1" applyFill="1" applyBorder="1"/>
    <xf numFmtId="0" fontId="0" fillId="2" borderId="0" xfId="0" applyFon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0" fontId="9" fillId="3" borderId="0" xfId="0" applyFont="1" applyFill="1" applyAlignment="1">
      <alignment horizontal="center"/>
    </xf>
    <xf numFmtId="9" fontId="0" fillId="0" borderId="0" xfId="293" applyFont="1" applyFill="1"/>
    <xf numFmtId="0" fontId="13" fillId="0" borderId="0" xfId="0" applyFont="1"/>
    <xf numFmtId="0" fontId="12" fillId="0" borderId="0" xfId="0" applyFont="1" applyFill="1" applyBorder="1"/>
    <xf numFmtId="0" fontId="0" fillId="0" borderId="0" xfId="0" applyFont="1" applyFill="1" applyBorder="1" applyAlignment="1">
      <alignment horizontal="left"/>
    </xf>
    <xf numFmtId="0" fontId="9" fillId="3" borderId="0" xfId="0" applyFont="1" applyFill="1" applyBorder="1" applyAlignment="1">
      <alignment horizontal="center"/>
    </xf>
    <xf numFmtId="0" fontId="0" fillId="0" borderId="1" xfId="0" applyFont="1" applyBorder="1"/>
    <xf numFmtId="0" fontId="0" fillId="0" borderId="1" xfId="0" applyFont="1" applyFill="1" applyBorder="1"/>
    <xf numFmtId="1" fontId="0" fillId="0" borderId="1" xfId="0" applyNumberFormat="1" applyFont="1" applyBorder="1"/>
    <xf numFmtId="1" fontId="0" fillId="0" borderId="0" xfId="0" applyNumberFormat="1" applyFill="1" applyBorder="1"/>
    <xf numFmtId="0" fontId="5" fillId="0" borderId="1" xfId="0" applyFont="1" applyFill="1" applyBorder="1"/>
    <xf numFmtId="1" fontId="0" fillId="0" borderId="0" xfId="0" applyNumberFormat="1" applyBorder="1"/>
    <xf numFmtId="1" fontId="0" fillId="0" borderId="1" xfId="0" applyNumberFormat="1" applyBorder="1"/>
    <xf numFmtId="1" fontId="0" fillId="0" borderId="0" xfId="0" applyNumberFormat="1" applyFont="1" applyBorder="1"/>
    <xf numFmtId="0" fontId="0" fillId="0" borderId="1" xfId="0" applyFont="1" applyFill="1" applyBorder="1" applyAlignment="1">
      <alignment horizontal="center"/>
    </xf>
    <xf numFmtId="166" fontId="0" fillId="0" borderId="0" xfId="0" applyNumberFormat="1" applyBorder="1"/>
    <xf numFmtId="0" fontId="0" fillId="0" borderId="0" xfId="0" applyFont="1" applyAlignment="1">
      <alignment wrapText="1"/>
    </xf>
    <xf numFmtId="0" fontId="17" fillId="0" borderId="0" xfId="0" applyFont="1" applyBorder="1"/>
    <xf numFmtId="0" fontId="19" fillId="0" borderId="0" xfId="0" applyFont="1" applyBorder="1"/>
    <xf numFmtId="0" fontId="18" fillId="0" borderId="1" xfId="0" applyFont="1" applyBorder="1" applyAlignment="1">
      <alignment horizontal="center" wrapText="1"/>
    </xf>
    <xf numFmtId="0" fontId="17" fillId="0" borderId="1" xfId="0" applyFont="1" applyBorder="1" applyAlignment="1">
      <alignment horizontal="center"/>
    </xf>
    <xf numFmtId="0" fontId="17" fillId="0" borderId="1" xfId="0" applyFont="1" applyBorder="1" applyAlignment="1">
      <alignment horizontal="left" vertical="top"/>
    </xf>
    <xf numFmtId="0" fontId="17" fillId="0" borderId="1" xfId="0" quotePrefix="1" applyFont="1" applyBorder="1" applyAlignment="1">
      <alignment vertical="top" wrapText="1"/>
    </xf>
    <xf numFmtId="0" fontId="17" fillId="0" borderId="2" xfId="0" applyFont="1" applyBorder="1" applyAlignment="1">
      <alignment horizontal="left" vertical="top" wrapText="1"/>
    </xf>
    <xf numFmtId="0" fontId="17" fillId="0" borderId="1" xfId="0" applyFont="1" applyBorder="1" applyAlignment="1">
      <alignment horizontal="left" vertical="top" wrapText="1"/>
    </xf>
    <xf numFmtId="0" fontId="17" fillId="0" borderId="3" xfId="0" applyFont="1" applyBorder="1" applyAlignment="1">
      <alignment horizontal="left" vertical="top"/>
    </xf>
    <xf numFmtId="0" fontId="17" fillId="0" borderId="3" xfId="0" quotePrefix="1" applyFont="1" applyBorder="1" applyAlignment="1">
      <alignment wrapText="1"/>
    </xf>
    <xf numFmtId="0" fontId="17" fillId="0" borderId="3" xfId="0" applyFont="1" applyBorder="1" applyAlignment="1">
      <alignment horizontal="left" vertical="top" wrapText="1"/>
    </xf>
    <xf numFmtId="0" fontId="17" fillId="0" borderId="3" xfId="0" applyFont="1" applyBorder="1" applyAlignment="1">
      <alignment wrapText="1"/>
    </xf>
    <xf numFmtId="0" fontId="17" fillId="0" borderId="1" xfId="0" applyFont="1" applyBorder="1" applyAlignment="1">
      <alignment horizontal="center" wrapText="1"/>
    </xf>
    <xf numFmtId="1" fontId="17" fillId="0" borderId="3" xfId="0" applyNumberFormat="1" applyFont="1" applyBorder="1" applyAlignment="1">
      <alignment horizontal="center" vertical="center"/>
    </xf>
    <xf numFmtId="0" fontId="0" fillId="4" borderId="0" xfId="0" applyFill="1"/>
    <xf numFmtId="0" fontId="0" fillId="8" borderId="0" xfId="0" applyFont="1" applyFill="1"/>
    <xf numFmtId="0" fontId="22" fillId="7" borderId="0" xfId="0" applyFont="1" applyFill="1"/>
    <xf numFmtId="0" fontId="21" fillId="9" borderId="0" xfId="0" applyFont="1" applyFill="1"/>
    <xf numFmtId="0" fontId="21" fillId="9" borderId="0" xfId="0" applyFont="1" applyFill="1" applyAlignment="1">
      <alignment horizontal="left"/>
    </xf>
    <xf numFmtId="0" fontId="11" fillId="0" borderId="0" xfId="0" applyFont="1" applyAlignment="1">
      <alignment horizontal="center"/>
    </xf>
    <xf numFmtId="0" fontId="0" fillId="10" borderId="0" xfId="0" applyFill="1"/>
    <xf numFmtId="0" fontId="5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10" borderId="0" xfId="0" applyFont="1" applyFill="1" applyAlignment="1">
      <alignment horizontal="center"/>
    </xf>
    <xf numFmtId="0" fontId="0" fillId="8" borderId="0" xfId="0" applyFont="1" applyFill="1" applyAlignment="1">
      <alignment horizontal="center"/>
    </xf>
    <xf numFmtId="1" fontId="0" fillId="12" borderId="0" xfId="0" applyNumberFormat="1" applyFont="1" applyFill="1"/>
    <xf numFmtId="0" fontId="0" fillId="12" borderId="0" xfId="0" applyFont="1" applyFill="1"/>
    <xf numFmtId="0" fontId="0" fillId="8" borderId="0" xfId="0" applyFill="1"/>
    <xf numFmtId="0" fontId="22" fillId="9" borderId="1" xfId="0" applyFont="1" applyFill="1" applyBorder="1"/>
    <xf numFmtId="0" fontId="20" fillId="0" borderId="0" xfId="0" applyFont="1"/>
    <xf numFmtId="0" fontId="21" fillId="0" borderId="0" xfId="0" applyFont="1" applyFill="1"/>
    <xf numFmtId="0" fontId="5" fillId="0" borderId="0" xfId="0" applyFont="1" applyFill="1" applyAlignment="1">
      <alignment horizontal="center"/>
    </xf>
    <xf numFmtId="0" fontId="0" fillId="0" borderId="0" xfId="0" applyFont="1" applyAlignment="1">
      <alignment horizontal="right" wrapText="1"/>
    </xf>
    <xf numFmtId="0" fontId="11" fillId="10" borderId="0" xfId="0" applyFont="1" applyFill="1" applyAlignment="1">
      <alignment horizontal="center"/>
    </xf>
    <xf numFmtId="2" fontId="0" fillId="0" borderId="0" xfId="0" applyNumberFormat="1" applyAlignment="1">
      <alignment horizontal="center"/>
    </xf>
    <xf numFmtId="0" fontId="0" fillId="10" borderId="0" xfId="0" applyFill="1" applyAlignment="1">
      <alignment horizontal="center"/>
    </xf>
    <xf numFmtId="0" fontId="24" fillId="0" borderId="0" xfId="0" applyFont="1" applyFill="1" applyAlignment="1">
      <alignment horizontal="center"/>
    </xf>
    <xf numFmtId="0" fontId="22" fillId="9" borderId="0" xfId="0" applyFont="1" applyFill="1"/>
    <xf numFmtId="0" fontId="0" fillId="12" borderId="0" xfId="0" applyFont="1" applyFill="1" applyBorder="1"/>
    <xf numFmtId="0" fontId="0" fillId="0" borderId="0" xfId="0" applyFill="1" applyBorder="1" applyAlignment="1">
      <alignment wrapText="1"/>
    </xf>
    <xf numFmtId="0" fontId="5" fillId="12" borderId="0" xfId="0" applyFont="1" applyFill="1" applyBorder="1"/>
    <xf numFmtId="0" fontId="20" fillId="0" borderId="0" xfId="0" applyFont="1" applyFill="1" applyBorder="1"/>
    <xf numFmtId="0" fontId="28" fillId="0" borderId="0" xfId="0" applyFont="1" applyFill="1" applyBorder="1"/>
    <xf numFmtId="2" fontId="10" fillId="12" borderId="0" xfId="0" applyNumberFormat="1" applyFont="1" applyFill="1"/>
    <xf numFmtId="0" fontId="0" fillId="0" borderId="0" xfId="0" applyFont="1" applyBorder="1" applyAlignment="1">
      <alignment horizontal="center"/>
    </xf>
    <xf numFmtId="0" fontId="0" fillId="0" borderId="0" xfId="0" applyFont="1" applyFill="1" applyAlignment="1">
      <alignment wrapText="1"/>
    </xf>
    <xf numFmtId="0" fontId="0" fillId="11" borderId="0" xfId="0" applyFont="1" applyFill="1"/>
    <xf numFmtId="0" fontId="22" fillId="11" borderId="0" xfId="0" applyFont="1" applyFill="1"/>
    <xf numFmtId="0" fontId="21" fillId="7" borderId="0" xfId="0" applyFont="1" applyFill="1"/>
    <xf numFmtId="1" fontId="0" fillId="0" borderId="0" xfId="0" applyNumberFormat="1" applyFont="1" applyFill="1" applyAlignment="1">
      <alignment horizontal="center"/>
    </xf>
    <xf numFmtId="0" fontId="22" fillId="9" borderId="0" xfId="0" applyFont="1" applyFill="1" applyAlignment="1">
      <alignment horizontal="left" wrapText="1"/>
    </xf>
    <xf numFmtId="0" fontId="10" fillId="0" borderId="0" xfId="0" applyFont="1" applyFill="1"/>
    <xf numFmtId="0" fontId="10" fillId="0" borderId="0" xfId="0" applyFont="1" applyFill="1" applyAlignment="1">
      <alignment wrapText="1"/>
    </xf>
    <xf numFmtId="0" fontId="9" fillId="0" borderId="0" xfId="0" applyFont="1" applyAlignment="1">
      <alignment wrapText="1"/>
    </xf>
    <xf numFmtId="0" fontId="0" fillId="16" borderId="0" xfId="0" applyFont="1" applyFill="1" applyAlignment="1">
      <alignment horizontal="center"/>
    </xf>
    <xf numFmtId="0" fontId="22" fillId="0" borderId="0" xfId="0" applyFont="1" applyFill="1"/>
    <xf numFmtId="0" fontId="5" fillId="12" borderId="0" xfId="0" applyFont="1" applyFill="1"/>
    <xf numFmtId="0" fontId="10" fillId="0" borderId="0" xfId="0" applyFont="1"/>
    <xf numFmtId="0" fontId="10" fillId="11" borderId="0" xfId="0" applyFont="1" applyFill="1"/>
    <xf numFmtId="0" fontId="33" fillId="17" borderId="0" xfId="0" applyFont="1" applyFill="1"/>
    <xf numFmtId="0" fontId="34" fillId="17" borderId="0" xfId="0" applyFont="1" applyFill="1"/>
    <xf numFmtId="0" fontId="35" fillId="0" borderId="0" xfId="0" applyFont="1" applyFill="1" applyBorder="1"/>
    <xf numFmtId="0" fontId="19" fillId="4" borderId="4" xfId="0" applyFont="1" applyFill="1" applyBorder="1" applyAlignment="1">
      <alignment horizontal="center"/>
    </xf>
    <xf numFmtId="0" fontId="0" fillId="0" borderId="5" xfId="0" applyFont="1" applyFill="1" applyBorder="1"/>
    <xf numFmtId="0" fontId="0" fillId="12" borderId="5" xfId="0" applyFont="1" applyFill="1" applyBorder="1"/>
    <xf numFmtId="0" fontId="0" fillId="0" borderId="5" xfId="0" applyFont="1" applyBorder="1"/>
    <xf numFmtId="0" fontId="5" fillId="0" borderId="5" xfId="0" applyFont="1" applyBorder="1"/>
    <xf numFmtId="0" fontId="0" fillId="0" borderId="0" xfId="0" applyFont="1" applyBorder="1"/>
    <xf numFmtId="0" fontId="0" fillId="11" borderId="0" xfId="0" applyFont="1" applyFill="1" applyBorder="1"/>
    <xf numFmtId="0" fontId="22" fillId="11" borderId="0" xfId="0" applyFont="1" applyFill="1" applyBorder="1"/>
    <xf numFmtId="0" fontId="0" fillId="10" borderId="0" xfId="0" applyFont="1" applyFill="1" applyBorder="1" applyAlignment="1">
      <alignment horizontal="center" wrapText="1"/>
    </xf>
    <xf numFmtId="0" fontId="0" fillId="1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11" borderId="0" xfId="0" applyFont="1" applyFill="1" applyBorder="1"/>
    <xf numFmtId="0" fontId="11" fillId="0" borderId="0" xfId="0" applyFont="1" applyBorder="1"/>
    <xf numFmtId="0" fontId="11" fillId="10" borderId="0" xfId="0" applyFont="1" applyFill="1" applyBorder="1" applyAlignment="1">
      <alignment horizontal="center"/>
    </xf>
    <xf numFmtId="0" fontId="32" fillId="9" borderId="1" xfId="0" applyFont="1" applyFill="1" applyBorder="1"/>
    <xf numFmtId="0" fontId="31" fillId="18" borderId="0" xfId="0" applyFont="1" applyFill="1"/>
    <xf numFmtId="0" fontId="32" fillId="9" borderId="0" xfId="0" applyFont="1" applyFill="1" applyBorder="1"/>
    <xf numFmtId="0" fontId="32" fillId="0" borderId="0" xfId="0" applyFont="1" applyFill="1" applyBorder="1"/>
    <xf numFmtId="0" fontId="11" fillId="0" borderId="0" xfId="0" applyFont="1" applyFill="1" applyBorder="1"/>
    <xf numFmtId="0" fontId="32" fillId="9" borderId="0" xfId="0" applyFont="1" applyFill="1" applyBorder="1" applyAlignment="1">
      <alignment horizontal="center"/>
    </xf>
    <xf numFmtId="0" fontId="35" fillId="0" borderId="0" xfId="0" applyFont="1"/>
    <xf numFmtId="0" fontId="20" fillId="0" borderId="0" xfId="0" applyFont="1" applyFill="1"/>
    <xf numFmtId="0" fontId="0" fillId="0" borderId="0" xfId="0" applyFont="1" applyFill="1" applyAlignment="1">
      <alignment horizontal="center"/>
    </xf>
    <xf numFmtId="0" fontId="32" fillId="9" borderId="0" xfId="0" applyFont="1" applyFill="1" applyAlignment="1">
      <alignment horizontal="center"/>
    </xf>
    <xf numFmtId="0" fontId="22" fillId="9" borderId="0" xfId="0" applyFont="1" applyFill="1" applyAlignment="1">
      <alignment horizontal="center" wrapText="1"/>
    </xf>
    <xf numFmtId="0" fontId="36" fillId="20" borderId="0" xfId="0" applyFont="1" applyFill="1"/>
    <xf numFmtId="0" fontId="5" fillId="8" borderId="0" xfId="0" applyFont="1" applyFill="1"/>
    <xf numFmtId="0" fontId="35" fillId="0" borderId="0" xfId="0" applyFont="1" applyFill="1"/>
    <xf numFmtId="0" fontId="40" fillId="0" borderId="0" xfId="0" applyFont="1" applyFill="1" applyBorder="1"/>
    <xf numFmtId="0" fontId="39" fillId="0" borderId="0" xfId="0" applyFont="1" applyFill="1" applyBorder="1"/>
    <xf numFmtId="0" fontId="39" fillId="0" borderId="0" xfId="0" applyFont="1" applyBorder="1"/>
    <xf numFmtId="0" fontId="20" fillId="0" borderId="0" xfId="0" applyFont="1" applyAlignment="1">
      <alignment wrapText="1"/>
    </xf>
    <xf numFmtId="2" fontId="0" fillId="0" borderId="0" xfId="0" applyNumberFormat="1"/>
    <xf numFmtId="166" fontId="0" fillId="0" borderId="0" xfId="0" applyNumberFormat="1"/>
    <xf numFmtId="1" fontId="0" fillId="12" borderId="0" xfId="0" applyNumberFormat="1" applyFill="1"/>
    <xf numFmtId="0" fontId="20" fillId="0" borderId="0" xfId="0" applyFont="1" applyFill="1" applyAlignment="1">
      <alignment wrapText="1"/>
    </xf>
    <xf numFmtId="0" fontId="11" fillId="0" borderId="1" xfId="0" applyFont="1" applyFill="1" applyBorder="1" applyAlignment="1">
      <alignment horizontal="center"/>
    </xf>
    <xf numFmtId="168" fontId="35" fillId="12" borderId="5" xfId="0" applyNumberFormat="1" applyFont="1" applyFill="1" applyBorder="1"/>
    <xf numFmtId="0" fontId="35" fillId="8" borderId="0" xfId="0" applyFont="1" applyFill="1"/>
    <xf numFmtId="0" fontId="21" fillId="11" borderId="0" xfId="0" applyFont="1" applyFill="1" applyBorder="1" applyAlignment="1">
      <alignment horizontal="center"/>
    </xf>
    <xf numFmtId="2" fontId="35" fillId="22" borderId="0" xfId="0" applyNumberFormat="1" applyFont="1" applyFill="1"/>
    <xf numFmtId="0" fontId="35" fillId="12" borderId="0" xfId="0" applyFont="1" applyFill="1" applyBorder="1"/>
    <xf numFmtId="0" fontId="36" fillId="0" borderId="0" xfId="0" applyFont="1" applyFill="1"/>
    <xf numFmtId="0" fontId="42" fillId="0" borderId="0" xfId="0" applyFont="1" applyBorder="1" applyAlignment="1">
      <alignment horizontal="right" wrapText="1"/>
    </xf>
    <xf numFmtId="0" fontId="35" fillId="0" borderId="0" xfId="0" applyFont="1" applyBorder="1" applyAlignment="1">
      <alignment wrapText="1"/>
    </xf>
    <xf numFmtId="0" fontId="35" fillId="8" borderId="0" xfId="0" applyFont="1" applyFill="1" applyBorder="1"/>
    <xf numFmtId="0" fontId="22" fillId="7" borderId="0" xfId="0" applyFont="1" applyFill="1" applyAlignment="1">
      <alignment wrapText="1"/>
    </xf>
    <xf numFmtId="0" fontId="22" fillId="0" borderId="0" xfId="0" applyFont="1" applyFill="1" applyAlignment="1">
      <alignment wrapText="1"/>
    </xf>
    <xf numFmtId="0" fontId="10" fillId="10" borderId="0" xfId="0" applyFont="1" applyFill="1" applyAlignment="1">
      <alignment wrapText="1"/>
    </xf>
    <xf numFmtId="0" fontId="22" fillId="0" borderId="0" xfId="0" applyFont="1" applyFill="1" applyAlignment="1">
      <alignment horizontal="center"/>
    </xf>
    <xf numFmtId="1" fontId="0" fillId="0" borderId="0" xfId="0" applyNumberFormat="1" applyFont="1" applyFill="1"/>
    <xf numFmtId="1" fontId="0" fillId="0" borderId="0" xfId="0" applyNumberFormat="1" applyFont="1" applyFill="1" applyBorder="1"/>
    <xf numFmtId="1" fontId="0" fillId="14" borderId="0" xfId="0" applyNumberFormat="1" applyFont="1" applyFill="1"/>
    <xf numFmtId="0" fontId="21" fillId="15" borderId="0" xfId="0" applyFont="1" applyFill="1" applyAlignment="1">
      <alignment horizontal="center"/>
    </xf>
    <xf numFmtId="0" fontId="5" fillId="4" borderId="0" xfId="0" applyFont="1" applyFill="1"/>
    <xf numFmtId="0" fontId="0" fillId="4" borderId="0" xfId="0" applyFont="1" applyFill="1"/>
    <xf numFmtId="0" fontId="0" fillId="0" borderId="0" xfId="0" applyFont="1" applyBorder="1" applyAlignment="1">
      <alignment horizontal="right"/>
    </xf>
    <xf numFmtId="0" fontId="11" fillId="0" borderId="1" xfId="0" applyFont="1" applyBorder="1" applyAlignment="1">
      <alignment wrapText="1"/>
    </xf>
    <xf numFmtId="0" fontId="42" fillId="0" borderId="0" xfId="0" applyFont="1" applyBorder="1"/>
    <xf numFmtId="0" fontId="46" fillId="0" borderId="0" xfId="0" applyFont="1"/>
    <xf numFmtId="0" fontId="47" fillId="0" borderId="0" xfId="0" applyFont="1" applyFill="1" applyBorder="1"/>
    <xf numFmtId="0" fontId="47" fillId="0" borderId="0" xfId="0" applyFont="1" applyFill="1" applyBorder="1" applyAlignment="1">
      <alignment horizontal="left" wrapText="1"/>
    </xf>
    <xf numFmtId="0" fontId="49" fillId="0" borderId="0" xfId="0" applyFont="1" applyFill="1"/>
    <xf numFmtId="0" fontId="50" fillId="0" borderId="0" xfId="0" applyFont="1" applyFill="1"/>
    <xf numFmtId="0" fontId="51" fillId="24" borderId="0" xfId="0" applyFont="1" applyFill="1"/>
    <xf numFmtId="0" fontId="52" fillId="0" borderId="0" xfId="0" applyFont="1" applyFill="1" applyBorder="1"/>
    <xf numFmtId="0" fontId="53" fillId="0" borderId="0" xfId="0" applyFont="1" applyFill="1" applyBorder="1" applyAlignment="1">
      <alignment wrapText="1"/>
    </xf>
    <xf numFmtId="0" fontId="32" fillId="9" borderId="1" xfId="0" applyFont="1" applyFill="1" applyBorder="1" applyAlignment="1">
      <alignment vertical="center" wrapText="1"/>
    </xf>
    <xf numFmtId="0" fontId="21" fillId="7" borderId="0" xfId="0" applyFont="1" applyFill="1" applyAlignment="1">
      <alignment horizontal="center"/>
    </xf>
    <xf numFmtId="0" fontId="5" fillId="2" borderId="0" xfId="0" applyFont="1" applyFill="1"/>
    <xf numFmtId="0" fontId="57" fillId="13" borderId="0" xfId="0" applyFont="1" applyFill="1" applyBorder="1" applyAlignment="1">
      <alignment horizontal="center" wrapText="1"/>
    </xf>
    <xf numFmtId="0" fontId="58" fillId="13" borderId="0" xfId="0" applyFont="1" applyFill="1" applyBorder="1" applyAlignment="1">
      <alignment horizontal="center" wrapText="1"/>
    </xf>
    <xf numFmtId="0" fontId="59" fillId="0" borderId="0" xfId="0" applyFont="1" applyFill="1" applyBorder="1" applyAlignment="1">
      <alignment horizontal="right" wrapText="1"/>
    </xf>
    <xf numFmtId="0" fontId="42" fillId="0" borderId="0" xfId="0" applyFont="1" applyBorder="1" applyAlignment="1">
      <alignment horizontal="right"/>
    </xf>
    <xf numFmtId="0" fontId="60" fillId="0" borderId="0" xfId="0" applyFont="1" applyBorder="1" applyAlignment="1">
      <alignment wrapText="1"/>
    </xf>
    <xf numFmtId="0" fontId="42" fillId="0" borderId="0" xfId="0" applyFont="1" applyBorder="1" applyAlignment="1">
      <alignment horizontal="left"/>
    </xf>
    <xf numFmtId="0" fontId="60" fillId="0" borderId="0" xfId="0" applyFont="1" applyBorder="1" applyAlignment="1">
      <alignment horizontal="left"/>
    </xf>
    <xf numFmtId="0" fontId="42" fillId="0" borderId="0" xfId="0" applyFont="1" applyFill="1" applyBorder="1" applyAlignment="1">
      <alignment horizontal="right"/>
    </xf>
    <xf numFmtId="0" fontId="42" fillId="0" borderId="0" xfId="0" applyFont="1" applyFill="1" applyBorder="1"/>
    <xf numFmtId="0" fontId="43" fillId="0" borderId="0" xfId="0" applyFont="1" applyFill="1" applyBorder="1"/>
    <xf numFmtId="0" fontId="63" fillId="0" borderId="0" xfId="0" applyFont="1" applyFill="1" applyBorder="1"/>
    <xf numFmtId="0" fontId="53" fillId="0" borderId="0" xfId="0" applyFont="1"/>
    <xf numFmtId="0" fontId="49" fillId="24" borderId="0" xfId="0" applyFont="1" applyFill="1"/>
    <xf numFmtId="0" fontId="49" fillId="0" borderId="0" xfId="0" applyFont="1" applyFill="1" applyAlignment="1">
      <alignment horizontal="left"/>
    </xf>
    <xf numFmtId="0" fontId="10" fillId="0" borderId="0" xfId="0" applyFont="1" applyFill="1" applyBorder="1" applyAlignment="1">
      <alignment horizontal="right" wrapText="1"/>
    </xf>
    <xf numFmtId="0" fontId="10" fillId="0" borderId="0" xfId="0" applyFont="1" applyBorder="1" applyAlignment="1">
      <alignment horizontal="right"/>
    </xf>
    <xf numFmtId="0" fontId="10" fillId="0" borderId="0" xfId="0" applyFont="1" applyFill="1" applyBorder="1" applyAlignment="1">
      <alignment horizontal="right"/>
    </xf>
    <xf numFmtId="0" fontId="35" fillId="0" borderId="0" xfId="0" applyFont="1" applyAlignment="1">
      <alignment horizontal="right"/>
    </xf>
    <xf numFmtId="0" fontId="43" fillId="0" borderId="0" xfId="0" applyFont="1" applyFill="1" applyBorder="1" applyAlignment="1">
      <alignment wrapText="1"/>
    </xf>
    <xf numFmtId="0" fontId="61" fillId="0" borderId="0" xfId="0" applyFont="1" applyBorder="1" applyAlignment="1">
      <alignment wrapText="1"/>
    </xf>
    <xf numFmtId="0" fontId="65" fillId="0" borderId="0" xfId="0" applyFont="1" applyFill="1"/>
    <xf numFmtId="0" fontId="0" fillId="0" borderId="0" xfId="0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40" fillId="0" borderId="0" xfId="0" applyFont="1" applyFill="1" applyAlignment="1">
      <alignment wrapText="1"/>
    </xf>
    <xf numFmtId="0" fontId="66" fillId="0" borderId="0" xfId="0" applyFont="1" applyFill="1" applyAlignment="1">
      <alignment horizontal="center"/>
    </xf>
    <xf numFmtId="0" fontId="59" fillId="0" borderId="0" xfId="0" applyFont="1" applyFill="1" applyBorder="1" applyAlignment="1">
      <alignment horizontal="center" wrapText="1"/>
    </xf>
    <xf numFmtId="0" fontId="67" fillId="24" borderId="0" xfId="0" applyFont="1" applyFill="1" applyBorder="1" applyAlignment="1">
      <alignment wrapText="1"/>
    </xf>
    <xf numFmtId="0" fontId="47" fillId="0" borderId="0" xfId="0" applyFont="1" applyFill="1" applyBorder="1" applyAlignment="1" applyProtection="1">
      <alignment wrapText="1"/>
      <protection locked="0"/>
    </xf>
    <xf numFmtId="0" fontId="12" fillId="5" borderId="0" xfId="0" applyFont="1" applyFill="1" applyBorder="1" applyAlignment="1">
      <alignment horizontal="center"/>
    </xf>
    <xf numFmtId="0" fontId="47" fillId="0" borderId="0" xfId="0" applyFont="1" applyFill="1" applyBorder="1" applyAlignment="1"/>
    <xf numFmtId="0" fontId="5" fillId="5" borderId="0" xfId="0" applyFont="1" applyFill="1" applyBorder="1" applyAlignment="1">
      <alignment horizontal="center"/>
    </xf>
    <xf numFmtId="0" fontId="0" fillId="0" borderId="0" xfId="0" applyFont="1" applyAlignment="1">
      <alignment horizontal="center" vertical="center"/>
    </xf>
    <xf numFmtId="0" fontId="12" fillId="8" borderId="0" xfId="0" applyFont="1" applyFill="1" applyBorder="1"/>
    <xf numFmtId="0" fontId="15" fillId="8" borderId="0" xfId="0" applyFont="1" applyFill="1"/>
    <xf numFmtId="0" fontId="22" fillId="0" borderId="0" xfId="0" applyFont="1" applyFill="1" applyAlignment="1">
      <alignment horizontal="center" wrapText="1"/>
    </xf>
    <xf numFmtId="0" fontId="0" fillId="22" borderId="0" xfId="0" applyFill="1"/>
    <xf numFmtId="0" fontId="53" fillId="0" borderId="0" xfId="0" applyFont="1" applyAlignment="1"/>
    <xf numFmtId="1" fontId="0" fillId="14" borderId="0" xfId="0" applyNumberFormat="1" applyFill="1"/>
    <xf numFmtId="0" fontId="12" fillId="4" borderId="0" xfId="0" applyFont="1" applyFill="1" applyBorder="1"/>
    <xf numFmtId="0" fontId="9" fillId="26" borderId="0" xfId="0" applyFont="1" applyFill="1" applyAlignment="1">
      <alignment horizontal="center"/>
    </xf>
    <xf numFmtId="0" fontId="0" fillId="14" borderId="0" xfId="0" applyFill="1"/>
    <xf numFmtId="0" fontId="68" fillId="0" borderId="0" xfId="0" applyFont="1" applyBorder="1" applyAlignment="1">
      <alignment horizontal="right"/>
    </xf>
    <xf numFmtId="0" fontId="47" fillId="0" borderId="6" xfId="0" applyFont="1" applyFill="1" applyBorder="1" applyAlignment="1">
      <alignment horizontal="left" wrapText="1"/>
    </xf>
    <xf numFmtId="0" fontId="69" fillId="0" borderId="0" xfId="0" applyFont="1" applyFill="1" applyBorder="1" applyAlignment="1">
      <alignment horizontal="left" wrapText="1"/>
    </xf>
    <xf numFmtId="0" fontId="42" fillId="0" borderId="6" xfId="0" applyFont="1" applyFill="1" applyBorder="1"/>
    <xf numFmtId="0" fontId="70" fillId="0" borderId="0" xfId="0" applyFont="1" applyFill="1"/>
    <xf numFmtId="0" fontId="49" fillId="24" borderId="0" xfId="0" applyFont="1" applyFill="1" applyAlignment="1">
      <alignment wrapText="1"/>
    </xf>
    <xf numFmtId="0" fontId="14" fillId="0" borderId="0" xfId="0" applyFont="1" applyFill="1" applyAlignment="1"/>
    <xf numFmtId="0" fontId="53" fillId="0" borderId="0" xfId="0" applyFont="1" applyFill="1" applyAlignment="1"/>
    <xf numFmtId="0" fontId="13" fillId="4" borderId="0" xfId="0" applyFont="1" applyFill="1"/>
    <xf numFmtId="0" fontId="42" fillId="0" borderId="6" xfId="0" applyFont="1" applyBorder="1" applyAlignment="1">
      <alignment horizontal="left"/>
    </xf>
    <xf numFmtId="0" fontId="42" fillId="0" borderId="6" xfId="0" applyFont="1" applyBorder="1" applyAlignment="1">
      <alignment wrapText="1"/>
    </xf>
    <xf numFmtId="0" fontId="71" fillId="0" borderId="6" xfId="0" applyFont="1" applyFill="1" applyBorder="1" applyAlignment="1">
      <alignment wrapText="1"/>
    </xf>
    <xf numFmtId="0" fontId="72" fillId="0" borderId="6" xfId="0" applyFont="1" applyFill="1" applyBorder="1"/>
    <xf numFmtId="0" fontId="73" fillId="0" borderId="6" xfId="0" applyFont="1" applyBorder="1" applyAlignment="1">
      <alignment horizontal="left" wrapText="1"/>
    </xf>
    <xf numFmtId="0" fontId="47" fillId="0" borderId="6" xfId="0" applyFont="1" applyFill="1" applyBorder="1" applyAlignment="1">
      <alignment wrapText="1"/>
    </xf>
    <xf numFmtId="0" fontId="12" fillId="0" borderId="0" xfId="0" applyFont="1" applyBorder="1"/>
    <xf numFmtId="0" fontId="22" fillId="7" borderId="0" xfId="0" applyFont="1" applyFill="1" applyBorder="1" applyAlignment="1">
      <alignment horizontal="center" wrapText="1"/>
    </xf>
    <xf numFmtId="1" fontId="0" fillId="22" borderId="0" xfId="0" applyNumberFormat="1" applyFill="1" applyBorder="1"/>
    <xf numFmtId="0" fontId="42" fillId="0" borderId="0" xfId="0" applyFont="1" applyFill="1" applyBorder="1" applyAlignment="1">
      <alignment wrapText="1"/>
    </xf>
    <xf numFmtId="0" fontId="35" fillId="28" borderId="0" xfId="0" applyFont="1" applyFill="1" applyAlignment="1">
      <alignment horizontal="center"/>
    </xf>
    <xf numFmtId="1" fontId="35" fillId="28" borderId="0" xfId="691" applyNumberFormat="1" applyFont="1" applyFill="1"/>
    <xf numFmtId="167" fontId="35" fillId="28" borderId="0" xfId="0" applyNumberFormat="1" applyFont="1" applyFill="1" applyAlignment="1">
      <alignment horizontal="center"/>
    </xf>
    <xf numFmtId="167" fontId="35" fillId="14" borderId="0" xfId="0" applyNumberFormat="1" applyFont="1" applyFill="1" applyAlignment="1">
      <alignment horizontal="center"/>
    </xf>
    <xf numFmtId="0" fontId="0" fillId="14" borderId="0" xfId="0" applyFont="1" applyFill="1"/>
    <xf numFmtId="169" fontId="35" fillId="29" borderId="0" xfId="0" applyNumberFormat="1" applyFont="1" applyFill="1" applyAlignment="1">
      <alignment horizontal="center"/>
    </xf>
    <xf numFmtId="2" fontId="10" fillId="14" borderId="0" xfId="0" applyNumberFormat="1" applyFont="1" applyFill="1"/>
    <xf numFmtId="0" fontId="83" fillId="0" borderId="6" xfId="0" applyFont="1" applyFill="1" applyBorder="1" applyAlignment="1">
      <alignment horizontal="left" wrapText="1"/>
    </xf>
    <xf numFmtId="0" fontId="85" fillId="9" borderId="0" xfId="0" applyFont="1" applyFill="1" applyBorder="1"/>
    <xf numFmtId="0" fontId="86" fillId="9" borderId="0" xfId="0" applyFont="1" applyFill="1" applyBorder="1"/>
    <xf numFmtId="0" fontId="87" fillId="9" borderId="0" xfId="0" applyFont="1" applyFill="1" applyBorder="1"/>
    <xf numFmtId="0" fontId="82" fillId="0" borderId="0" xfId="0" applyFont="1" applyFill="1" applyBorder="1" applyAlignment="1">
      <alignment horizontal="left" wrapText="1"/>
    </xf>
    <xf numFmtId="0" fontId="40" fillId="0" borderId="0" xfId="0" applyFont="1"/>
    <xf numFmtId="0" fontId="5" fillId="0" borderId="0" xfId="0" applyFont="1" applyAlignment="1">
      <alignment horizontal="center" vertical="center"/>
    </xf>
    <xf numFmtId="3" fontId="0" fillId="0" borderId="0" xfId="0" applyNumberFormat="1" applyFill="1"/>
    <xf numFmtId="3" fontId="35" fillId="0" borderId="0" xfId="0" applyNumberFormat="1" applyFont="1"/>
    <xf numFmtId="3" fontId="0" fillId="0" borderId="0" xfId="0" applyNumberFormat="1"/>
    <xf numFmtId="3" fontId="5" fillId="0" borderId="0" xfId="0" applyNumberFormat="1" applyFont="1"/>
    <xf numFmtId="3" fontId="49" fillId="0" borderId="0" xfId="0" applyNumberFormat="1" applyFont="1" applyFill="1" applyAlignment="1">
      <alignment horizontal="left"/>
    </xf>
    <xf numFmtId="3" fontId="20" fillId="0" borderId="0" xfId="0" applyNumberFormat="1" applyFont="1" applyFill="1"/>
    <xf numFmtId="3" fontId="39" fillId="0" borderId="0" xfId="0" applyNumberFormat="1" applyFont="1" applyFill="1"/>
    <xf numFmtId="3" fontId="64" fillId="0" borderId="0" xfId="0" applyNumberFormat="1" applyFont="1" applyFill="1"/>
    <xf numFmtId="3" fontId="65" fillId="0" borderId="0" xfId="0" applyNumberFormat="1" applyFont="1"/>
    <xf numFmtId="3" fontId="35" fillId="8" borderId="0" xfId="0" applyNumberFormat="1" applyFont="1" applyFill="1"/>
    <xf numFmtId="3" fontId="11" fillId="0" borderId="1" xfId="0" applyNumberFormat="1" applyFont="1" applyBorder="1" applyAlignment="1">
      <alignment wrapText="1"/>
    </xf>
    <xf numFmtId="3" fontId="0" fillId="8" borderId="0" xfId="0" applyNumberFormat="1" applyFill="1"/>
    <xf numFmtId="3" fontId="5" fillId="0" borderId="0" xfId="0" applyNumberFormat="1" applyFont="1" applyBorder="1"/>
    <xf numFmtId="3" fontId="0" fillId="0" borderId="0" xfId="0" applyNumberFormat="1" applyBorder="1" applyAlignment="1">
      <alignment horizontal="center"/>
    </xf>
    <xf numFmtId="3" fontId="0" fillId="22" borderId="0" xfId="0" applyNumberFormat="1" applyFill="1" applyBorder="1"/>
    <xf numFmtId="3" fontId="38" fillId="0" borderId="0" xfId="0" applyNumberFormat="1" applyFont="1" applyBorder="1"/>
    <xf numFmtId="3" fontId="0" fillId="0" borderId="0" xfId="0" applyNumberFormat="1" applyBorder="1"/>
    <xf numFmtId="3" fontId="0" fillId="0" borderId="0" xfId="0" applyNumberFormat="1" applyFill="1" applyBorder="1"/>
    <xf numFmtId="3" fontId="54" fillId="0" borderId="0" xfId="0" applyNumberFormat="1" applyFont="1" applyFill="1" applyBorder="1"/>
    <xf numFmtId="3" fontId="38" fillId="0" borderId="0" xfId="0" applyNumberFormat="1" applyFont="1" applyFill="1" applyBorder="1"/>
    <xf numFmtId="3" fontId="35" fillId="0" borderId="0" xfId="0" applyNumberFormat="1" applyFont="1" applyFill="1" applyBorder="1"/>
    <xf numFmtId="3" fontId="8" fillId="0" borderId="0" xfId="0" applyNumberFormat="1" applyFont="1" applyFill="1" applyBorder="1"/>
    <xf numFmtId="3" fontId="35" fillId="0" borderId="0" xfId="0" applyNumberFormat="1" applyFont="1" applyBorder="1"/>
    <xf numFmtId="3" fontId="13" fillId="0" borderId="1" xfId="0" applyNumberFormat="1" applyFont="1" applyBorder="1"/>
    <xf numFmtId="3" fontId="5" fillId="0" borderId="1" xfId="0" applyNumberFormat="1" applyFont="1" applyBorder="1"/>
    <xf numFmtId="3" fontId="23" fillId="0" borderId="1" xfId="0" applyNumberFormat="1" applyFont="1" applyBorder="1"/>
    <xf numFmtId="3" fontId="23" fillId="22" borderId="1" xfId="0" applyNumberFormat="1" applyFont="1" applyFill="1" applyBorder="1"/>
    <xf numFmtId="3" fontId="5" fillId="0" borderId="0" xfId="0" applyNumberFormat="1" applyFont="1" applyFill="1" applyBorder="1"/>
    <xf numFmtId="3" fontId="35" fillId="0" borderId="0" xfId="0" applyNumberFormat="1" applyFont="1" applyFill="1" applyBorder="1" applyAlignment="1">
      <alignment wrapText="1"/>
    </xf>
    <xf numFmtId="3" fontId="54" fillId="0" borderId="0" xfId="0" applyNumberFormat="1" applyFont="1" applyBorder="1"/>
    <xf numFmtId="3" fontId="12" fillId="0" borderId="0" xfId="0" applyNumberFormat="1" applyFont="1" applyFill="1" applyBorder="1"/>
    <xf numFmtId="3" fontId="13" fillId="0" borderId="1" xfId="0" applyNumberFormat="1" applyFont="1" applyFill="1" applyBorder="1"/>
    <xf numFmtId="3" fontId="20" fillId="0" borderId="0" xfId="0" applyNumberFormat="1" applyFont="1" applyFill="1" applyBorder="1"/>
    <xf numFmtId="3" fontId="62" fillId="0" borderId="0" xfId="0" applyNumberFormat="1" applyFont="1" applyBorder="1"/>
    <xf numFmtId="3" fontId="55" fillId="0" borderId="0" xfId="0" applyNumberFormat="1" applyFont="1" applyFill="1" applyBorder="1"/>
    <xf numFmtId="3" fontId="62" fillId="0" borderId="0" xfId="0" applyNumberFormat="1" applyFont="1" applyFill="1" applyBorder="1"/>
    <xf numFmtId="3" fontId="20" fillId="4" borderId="0" xfId="0" applyNumberFormat="1" applyFont="1" applyFill="1" applyBorder="1"/>
    <xf numFmtId="3" fontId="5" fillId="0" borderId="1" xfId="0" applyNumberFormat="1" applyFont="1" applyFill="1" applyBorder="1"/>
    <xf numFmtId="3" fontId="8" fillId="0" borderId="0" xfId="0" applyNumberFormat="1" applyFont="1" applyBorder="1"/>
    <xf numFmtId="3" fontId="74" fillId="0" borderId="0" xfId="0" applyNumberFormat="1" applyFont="1" applyFill="1" applyBorder="1"/>
    <xf numFmtId="3" fontId="75" fillId="0" borderId="0" xfId="0" applyNumberFormat="1" applyFont="1" applyFill="1" applyBorder="1"/>
    <xf numFmtId="3" fontId="5" fillId="22" borderId="0" xfId="0" applyNumberFormat="1" applyFont="1" applyFill="1" applyBorder="1"/>
    <xf numFmtId="3" fontId="20" fillId="27" borderId="0" xfId="0" applyNumberFormat="1" applyFont="1" applyFill="1" applyBorder="1"/>
    <xf numFmtId="3" fontId="76" fillId="0" borderId="0" xfId="0" applyNumberFormat="1" applyFont="1" applyBorder="1"/>
    <xf numFmtId="3" fontId="12" fillId="0" borderId="0" xfId="0" applyNumberFormat="1" applyFont="1" applyBorder="1"/>
    <xf numFmtId="3" fontId="12" fillId="22" borderId="0" xfId="0" applyNumberFormat="1" applyFont="1" applyFill="1" applyBorder="1"/>
    <xf numFmtId="3" fontId="12" fillId="0" borderId="1" xfId="0" applyNumberFormat="1" applyFont="1" applyBorder="1"/>
    <xf numFmtId="3" fontId="12" fillId="22" borderId="1" xfId="0" applyNumberFormat="1" applyFont="1" applyFill="1" applyBorder="1"/>
    <xf numFmtId="3" fontId="0" fillId="0" borderId="0" xfId="684" applyNumberFormat="1" applyFont="1" applyBorder="1"/>
    <xf numFmtId="3" fontId="0" fillId="22" borderId="0" xfId="684" applyNumberFormat="1" applyFont="1" applyFill="1" applyBorder="1"/>
    <xf numFmtId="3" fontId="0" fillId="0" borderId="1" xfId="0" applyNumberFormat="1" applyBorder="1"/>
    <xf numFmtId="166" fontId="35" fillId="8" borderId="0" xfId="0" applyNumberFormat="1" applyFont="1" applyFill="1"/>
    <xf numFmtId="3" fontId="53" fillId="12" borderId="0" xfId="0" applyNumberFormat="1" applyFont="1" applyFill="1" applyAlignment="1"/>
    <xf numFmtId="3" fontId="53" fillId="12" borderId="0" xfId="0" applyNumberFormat="1" applyFont="1" applyFill="1" applyBorder="1"/>
    <xf numFmtId="3" fontId="0" fillId="22" borderId="0" xfId="0" applyNumberFormat="1" applyFill="1"/>
    <xf numFmtId="3" fontId="0" fillId="12" borderId="0" xfId="0" applyNumberFormat="1" applyFill="1" applyBorder="1"/>
    <xf numFmtId="1" fontId="88" fillId="0" borderId="0" xfId="0" applyNumberFormat="1" applyFont="1" applyFill="1" applyBorder="1"/>
    <xf numFmtId="0" fontId="47" fillId="0" borderId="0" xfId="0" applyFont="1" applyBorder="1" applyAlignment="1">
      <alignment horizontal="left"/>
    </xf>
    <xf numFmtId="0" fontId="47" fillId="0" borderId="0" xfId="0" applyFont="1" applyBorder="1" applyAlignment="1">
      <alignment wrapText="1"/>
    </xf>
    <xf numFmtId="0" fontId="20" fillId="0" borderId="0" xfId="0" applyFont="1" applyFill="1" applyBorder="1" applyAlignment="1">
      <alignment wrapText="1"/>
    </xf>
    <xf numFmtId="0" fontId="46" fillId="0" borderId="0" xfId="0" applyFont="1" applyFill="1" applyBorder="1"/>
    <xf numFmtId="0" fontId="73" fillId="0" borderId="0" xfId="0" applyFont="1" applyFill="1" applyBorder="1" applyAlignment="1">
      <alignment wrapText="1"/>
    </xf>
    <xf numFmtId="0" fontId="0" fillId="0" borderId="0" xfId="0"/>
    <xf numFmtId="0" fontId="0" fillId="0" borderId="0" xfId="0" applyFill="1"/>
    <xf numFmtId="0" fontId="0" fillId="0" borderId="0" xfId="0" applyBorder="1"/>
    <xf numFmtId="0" fontId="42" fillId="0" borderId="0" xfId="0" applyFont="1" applyFill="1" applyBorder="1"/>
    <xf numFmtId="0" fontId="47" fillId="0" borderId="0" xfId="0" applyFont="1" applyFill="1" applyBorder="1"/>
    <xf numFmtId="0" fontId="47" fillId="0" borderId="0" xfId="0" applyFont="1" applyFill="1" applyBorder="1" applyAlignment="1">
      <alignment horizontal="left"/>
    </xf>
    <xf numFmtId="0" fontId="42" fillId="25" borderId="0" xfId="0" applyFont="1" applyFill="1" applyBorder="1"/>
    <xf numFmtId="0" fontId="0" fillId="0" borderId="0" xfId="0"/>
    <xf numFmtId="0" fontId="0" fillId="0" borderId="0" xfId="0" applyBorder="1"/>
    <xf numFmtId="0" fontId="60" fillId="0" borderId="0" xfId="0" applyFont="1" applyBorder="1"/>
    <xf numFmtId="4" fontId="43" fillId="0" borderId="0" xfId="0" applyNumberFormat="1" applyFont="1" applyFill="1" applyBorder="1"/>
    <xf numFmtId="4" fontId="42" fillId="0" borderId="0" xfId="0" applyNumberFormat="1" applyFont="1" applyFill="1" applyBorder="1"/>
    <xf numFmtId="4" fontId="47" fillId="0" borderId="0" xfId="0" applyNumberFormat="1" applyFont="1" applyFill="1" applyBorder="1"/>
    <xf numFmtId="4" fontId="0" fillId="2" borderId="0" xfId="0" applyNumberFormat="1" applyFont="1" applyFill="1" applyBorder="1" applyAlignment="1">
      <alignment horizontal="center"/>
    </xf>
    <xf numFmtId="4" fontId="63" fillId="0" borderId="0" xfId="0" applyNumberFormat="1" applyFont="1" applyFill="1" applyBorder="1"/>
    <xf numFmtId="4" fontId="43" fillId="0" borderId="0" xfId="0" applyNumberFormat="1" applyFont="1" applyFill="1" applyBorder="1" applyAlignment="1">
      <alignment wrapText="1"/>
    </xf>
    <xf numFmtId="4" fontId="0" fillId="0" borderId="0" xfId="0" applyNumberFormat="1" applyFill="1" applyBorder="1"/>
    <xf numFmtId="4" fontId="0" fillId="0" borderId="0" xfId="0" applyNumberFormat="1" applyFont="1" applyFill="1" applyBorder="1" applyAlignment="1">
      <alignment horizontal="center"/>
    </xf>
    <xf numFmtId="4" fontId="0" fillId="0" borderId="0" xfId="0" applyNumberFormat="1" applyFill="1" applyBorder="1" applyAlignment="1">
      <alignment horizontal="center"/>
    </xf>
    <xf numFmtId="4" fontId="35" fillId="0" borderId="0" xfId="0" applyNumberFormat="1" applyFont="1" applyFill="1" applyBorder="1"/>
    <xf numFmtId="4" fontId="35" fillId="22" borderId="0" xfId="0" applyNumberFormat="1" applyFont="1" applyFill="1" applyBorder="1"/>
    <xf numFmtId="4" fontId="43" fillId="0" borderId="0" xfId="0" applyNumberFormat="1" applyFont="1" applyBorder="1"/>
    <xf numFmtId="2" fontId="35" fillId="8" borderId="0" xfId="0" applyNumberFormat="1" applyFont="1" applyFill="1"/>
    <xf numFmtId="2" fontId="60" fillId="0" borderId="0" xfId="0" applyNumberFormat="1" applyFont="1" applyFill="1" applyBorder="1"/>
    <xf numFmtId="0" fontId="60" fillId="0" borderId="0" xfId="0" applyFont="1" applyFill="1" applyBorder="1"/>
    <xf numFmtId="3" fontId="53" fillId="5" borderId="0" xfId="0" applyNumberFormat="1" applyFont="1" applyFill="1" applyBorder="1"/>
    <xf numFmtId="3" fontId="0" fillId="5" borderId="0" xfId="0" applyNumberFormat="1" applyFill="1" applyBorder="1"/>
    <xf numFmtId="0" fontId="13" fillId="0" borderId="0" xfId="0" applyFont="1" applyAlignment="1">
      <alignment horizontal="right" wrapText="1"/>
    </xf>
    <xf numFmtId="0" fontId="13" fillId="5" borderId="0" xfId="0" applyFont="1" applyFill="1" applyAlignment="1">
      <alignment horizontal="right"/>
    </xf>
    <xf numFmtId="0" fontId="20" fillId="4" borderId="0" xfId="0" applyFont="1" applyFill="1"/>
    <xf numFmtId="3" fontId="0" fillId="4" borderId="0" xfId="0" applyNumberFormat="1" applyFill="1" applyBorder="1" applyAlignment="1">
      <alignment wrapText="1"/>
    </xf>
    <xf numFmtId="1" fontId="11" fillId="0" borderId="0" xfId="0" applyNumberFormat="1" applyFont="1" applyBorder="1"/>
    <xf numFmtId="0" fontId="5" fillId="4" borderId="0" xfId="0" applyFont="1" applyFill="1" applyBorder="1"/>
    <xf numFmtId="0" fontId="89" fillId="0" borderId="0" xfId="0" applyFont="1"/>
    <xf numFmtId="3" fontId="53" fillId="0" borderId="0" xfId="0" applyNumberFormat="1" applyFont="1" applyBorder="1"/>
    <xf numFmtId="0" fontId="9" fillId="0" borderId="0" xfId="0" applyFont="1" applyFill="1" applyBorder="1"/>
    <xf numFmtId="0" fontId="35" fillId="0" borderId="0" xfId="0" applyFont="1" applyFill="1" applyBorder="1" applyAlignment="1">
      <alignment horizontal="right"/>
    </xf>
    <xf numFmtId="0" fontId="27" fillId="0" borderId="0" xfId="0" applyFont="1" applyFill="1" applyBorder="1"/>
    <xf numFmtId="0" fontId="35" fillId="0" borderId="0" xfId="0" applyFont="1" applyFill="1" applyAlignment="1">
      <alignment horizontal="right"/>
    </xf>
    <xf numFmtId="0" fontId="94" fillId="4" borderId="0" xfId="0" applyFont="1" applyFill="1" applyBorder="1" applyAlignment="1">
      <alignment wrapText="1"/>
    </xf>
    <xf numFmtId="0" fontId="101" fillId="0" borderId="0" xfId="0" applyFont="1" applyBorder="1" applyAlignment="1">
      <alignment horizontal="left" indent="3"/>
    </xf>
    <xf numFmtId="0" fontId="72" fillId="4" borderId="6" xfId="0" applyFont="1" applyFill="1" applyBorder="1"/>
    <xf numFmtId="0" fontId="101" fillId="0" borderId="6" xfId="0" applyFont="1" applyFill="1" applyBorder="1" applyAlignment="1">
      <alignment horizontal="left" wrapText="1"/>
    </xf>
    <xf numFmtId="0" fontId="99" fillId="0" borderId="0" xfId="0" applyFont="1" applyBorder="1" applyAlignment="1">
      <alignment wrapText="1"/>
    </xf>
    <xf numFmtId="0" fontId="103" fillId="25" borderId="8" xfId="0" applyFont="1" applyFill="1" applyBorder="1" applyAlignment="1">
      <alignment horizontal="center" wrapText="1"/>
    </xf>
    <xf numFmtId="0" fontId="104" fillId="0" borderId="0" xfId="0" applyFont="1" applyFill="1" applyBorder="1"/>
    <xf numFmtId="0" fontId="99" fillId="0" borderId="6" xfId="0" applyFont="1" applyBorder="1" applyAlignment="1">
      <alignment horizontal="right" wrapText="1"/>
    </xf>
    <xf numFmtId="0" fontId="101" fillId="0" borderId="6" xfId="0" applyFont="1" applyFill="1" applyBorder="1" applyAlignment="1">
      <alignment horizontal="right" vertical="top" wrapText="1"/>
    </xf>
    <xf numFmtId="0" fontId="101" fillId="0" borderId="6" xfId="0" applyFont="1" applyFill="1" applyBorder="1" applyAlignment="1">
      <alignment horizontal="right"/>
    </xf>
    <xf numFmtId="0" fontId="99" fillId="0" borderId="6" xfId="0" applyFont="1" applyFill="1" applyBorder="1" applyAlignment="1">
      <alignment horizontal="right" wrapText="1"/>
    </xf>
    <xf numFmtId="0" fontId="101" fillId="0" borderId="6" xfId="0" applyFont="1" applyFill="1" applyBorder="1" applyAlignment="1">
      <alignment horizontal="right" wrapText="1"/>
    </xf>
    <xf numFmtId="0" fontId="107" fillId="0" borderId="0" xfId="0" applyFont="1" applyFill="1" applyAlignment="1"/>
    <xf numFmtId="0" fontId="109" fillId="4" borderId="0" xfId="0" applyFont="1" applyFill="1" applyBorder="1" applyAlignment="1">
      <alignment horizontal="center" wrapText="1"/>
    </xf>
    <xf numFmtId="0" fontId="108" fillId="4" borderId="0" xfId="0" applyFont="1" applyFill="1" applyBorder="1" applyAlignment="1">
      <alignment horizontal="center" wrapText="1"/>
    </xf>
    <xf numFmtId="0" fontId="99" fillId="0" borderId="0" xfId="0" applyFont="1" applyBorder="1" applyAlignment="1">
      <alignment horizontal="right"/>
    </xf>
    <xf numFmtId="0" fontId="109" fillId="4" borderId="0" xfId="0" applyFont="1" applyFill="1" applyBorder="1" applyAlignment="1">
      <alignment horizontal="left" wrapText="1"/>
    </xf>
    <xf numFmtId="0" fontId="101" fillId="0" borderId="0" xfId="0" applyFont="1" applyFill="1" applyBorder="1" applyAlignment="1">
      <alignment horizontal="right" wrapText="1"/>
    </xf>
    <xf numFmtId="0" fontId="111" fillId="4" borderId="0" xfId="0" applyFont="1" applyFill="1" applyBorder="1" applyAlignment="1"/>
    <xf numFmtId="0" fontId="111" fillId="0" borderId="0" xfId="0" applyFont="1" applyFill="1" applyBorder="1" applyAlignment="1"/>
    <xf numFmtId="0" fontId="47" fillId="0" borderId="0" xfId="0" applyFont="1" applyFill="1" applyBorder="1" applyAlignment="1">
      <alignment horizontal="right"/>
    </xf>
    <xf numFmtId="2" fontId="42" fillId="0" borderId="0" xfId="0" applyNumberFormat="1" applyFont="1" applyFill="1" applyBorder="1"/>
    <xf numFmtId="1" fontId="99" fillId="0" borderId="0" xfId="0" applyNumberFormat="1" applyFont="1" applyFill="1" applyBorder="1" applyAlignment="1">
      <alignment horizontal="center"/>
    </xf>
    <xf numFmtId="0" fontId="99" fillId="0" borderId="0" xfId="0" applyFont="1" applyBorder="1" applyAlignment="1">
      <alignment horizontal="left" indent="3"/>
    </xf>
    <xf numFmtId="167" fontId="35" fillId="28" borderId="11" xfId="0" applyNumberFormat="1" applyFont="1" applyFill="1" applyBorder="1" applyAlignment="1">
      <alignment horizontal="center"/>
    </xf>
    <xf numFmtId="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3" fontId="0" fillId="0" borderId="0" xfId="0" applyNumberFormat="1" applyFill="1" applyBorder="1" applyAlignment="1">
      <alignment horizontal="center"/>
    </xf>
    <xf numFmtId="0" fontId="35" fillId="0" borderId="0" xfId="0" applyFont="1" applyBorder="1"/>
    <xf numFmtId="1" fontId="35" fillId="0" borderId="0" xfId="0" applyNumberFormat="1" applyFont="1" applyBorder="1"/>
    <xf numFmtId="3" fontId="35" fillId="8" borderId="0" xfId="0" applyNumberFormat="1" applyFont="1" applyFill="1" applyBorder="1"/>
    <xf numFmtId="0" fontId="35" fillId="8" borderId="0" xfId="0" applyFont="1" applyFill="1" applyBorder="1" applyAlignment="1">
      <alignment horizontal="right"/>
    </xf>
    <xf numFmtId="3" fontId="35" fillId="8" borderId="0" xfId="0" applyNumberFormat="1" applyFont="1" applyFill="1" applyBorder="1" applyAlignment="1">
      <alignment horizontal="right"/>
    </xf>
    <xf numFmtId="2" fontId="35" fillId="14" borderId="0" xfId="0" applyNumberFormat="1" applyFont="1" applyFill="1"/>
    <xf numFmtId="13" fontId="35" fillId="8" borderId="0" xfId="0" applyNumberFormat="1" applyFont="1" applyFill="1" applyBorder="1"/>
    <xf numFmtId="0" fontId="43" fillId="8" borderId="0" xfId="0" applyFont="1" applyFill="1" applyBorder="1"/>
    <xf numFmtId="0" fontId="0" fillId="8" borderId="0" xfId="0" applyFill="1" applyBorder="1"/>
    <xf numFmtId="0" fontId="47" fillId="0" borderId="0" xfId="0" applyFont="1" applyBorder="1" applyAlignment="1">
      <alignment horizontal="right" wrapText="1"/>
    </xf>
    <xf numFmtId="0" fontId="42" fillId="0" borderId="0" xfId="0" applyFont="1" applyFill="1" applyBorder="1" applyAlignment="1">
      <alignment horizontal="right" vertical="top" wrapText="1"/>
    </xf>
    <xf numFmtId="0" fontId="0" fillId="0" borderId="0" xfId="0" applyFont="1" applyBorder="1" applyAlignment="1">
      <alignment wrapText="1"/>
    </xf>
    <xf numFmtId="0" fontId="9" fillId="0" borderId="0" xfId="0" applyFont="1" applyBorder="1" applyAlignment="1">
      <alignment wrapText="1"/>
    </xf>
    <xf numFmtId="0" fontId="99" fillId="0" borderId="0" xfId="0" applyFont="1" applyBorder="1" applyAlignment="1">
      <alignment horizontal="left" vertical="center" wrapText="1"/>
    </xf>
    <xf numFmtId="1" fontId="35" fillId="8" borderId="0" xfId="0" applyNumberFormat="1" applyFont="1" applyFill="1"/>
    <xf numFmtId="1" fontId="5" fillId="8" borderId="0" xfId="0" applyNumberFormat="1" applyFont="1" applyFill="1"/>
    <xf numFmtId="0" fontId="99" fillId="0" borderId="0" xfId="0" applyFont="1" applyBorder="1" applyAlignment="1">
      <alignment vertical="center" wrapText="1"/>
    </xf>
    <xf numFmtId="0" fontId="60" fillId="0" borderId="0" xfId="0" applyFont="1" applyFill="1" applyBorder="1" applyAlignment="1">
      <alignment horizontal="left"/>
    </xf>
    <xf numFmtId="2" fontId="0" fillId="0" borderId="0" xfId="0" applyNumberFormat="1" applyFont="1" applyFill="1"/>
    <xf numFmtId="0" fontId="44" fillId="0" borderId="0" xfId="0" applyFont="1" applyBorder="1"/>
    <xf numFmtId="0" fontId="35" fillId="29" borderId="0" xfId="0" applyFont="1" applyFill="1" applyBorder="1"/>
    <xf numFmtId="0" fontId="35" fillId="0" borderId="0" xfId="0" applyFont="1" applyBorder="1" applyAlignment="1">
      <alignment horizontal="left"/>
    </xf>
    <xf numFmtId="0" fontId="99" fillId="0" borderId="0" xfId="0" applyFont="1" applyFill="1" applyBorder="1" applyAlignment="1">
      <alignment vertical="center" wrapText="1"/>
    </xf>
    <xf numFmtId="0" fontId="94" fillId="4" borderId="0" xfId="0" applyFont="1" applyFill="1" applyBorder="1"/>
    <xf numFmtId="0" fontId="42" fillId="25" borderId="0" xfId="0" applyFont="1" applyFill="1" applyBorder="1" applyAlignment="1">
      <alignment horizontal="right"/>
    </xf>
    <xf numFmtId="0" fontId="99" fillId="0" borderId="0" xfId="0" applyFont="1" applyBorder="1"/>
    <xf numFmtId="0" fontId="101" fillId="0" borderId="0" xfId="0" applyFont="1" applyFill="1" applyBorder="1" applyAlignment="1">
      <alignment horizontal="left" wrapText="1"/>
    </xf>
    <xf numFmtId="0" fontId="99" fillId="0" borderId="0" xfId="0" applyFont="1" applyFill="1" applyBorder="1"/>
    <xf numFmtId="0" fontId="98" fillId="4" borderId="0" xfId="0" applyFont="1" applyFill="1" applyBorder="1"/>
    <xf numFmtId="0" fontId="101" fillId="25" borderId="0" xfId="0" applyFont="1" applyFill="1" applyBorder="1"/>
    <xf numFmtId="0" fontId="101" fillId="0" borderId="0" xfId="0" applyFont="1" applyFill="1" applyBorder="1"/>
    <xf numFmtId="0" fontId="99" fillId="4" borderId="0" xfId="0" applyFont="1" applyFill="1" applyBorder="1"/>
    <xf numFmtId="0" fontId="72" fillId="4" borderId="0" xfId="0" applyFont="1" applyFill="1" applyBorder="1"/>
    <xf numFmtId="0" fontId="99" fillId="0" borderId="0" xfId="0" applyFont="1" applyBorder="1" applyAlignment="1">
      <alignment horizontal="left"/>
    </xf>
    <xf numFmtId="0" fontId="101" fillId="0" borderId="0" xfId="0" applyFont="1" applyBorder="1"/>
    <xf numFmtId="0" fontId="101" fillId="0" borderId="0" xfId="0" applyFont="1" applyBorder="1" applyAlignment="1">
      <alignment horizontal="left" indent="2"/>
    </xf>
    <xf numFmtId="0" fontId="99" fillId="0" borderId="0" xfId="0" applyFont="1" applyBorder="1" applyAlignment="1">
      <alignment horizontal="left" wrapText="1"/>
    </xf>
    <xf numFmtId="0" fontId="100" fillId="0" borderId="0" xfId="0" applyFont="1" applyFill="1" applyBorder="1" applyAlignment="1">
      <alignment wrapText="1"/>
    </xf>
    <xf numFmtId="0" fontId="99" fillId="0" borderId="0" xfId="0" applyFont="1" applyBorder="1" applyAlignment="1">
      <alignment horizontal="right" wrapText="1"/>
    </xf>
    <xf numFmtId="0" fontId="101" fillId="0" borderId="0" xfId="0" applyFont="1" applyFill="1" applyBorder="1" applyAlignment="1">
      <alignment horizontal="right" vertical="top" wrapText="1"/>
    </xf>
    <xf numFmtId="0" fontId="101" fillId="0" borderId="0" xfId="0" applyFont="1" applyFill="1" applyBorder="1" applyAlignment="1">
      <alignment horizontal="right"/>
    </xf>
    <xf numFmtId="0" fontId="99" fillId="0" borderId="0" xfId="0" applyFont="1" applyFill="1" applyBorder="1" applyAlignment="1">
      <alignment horizontal="right" wrapText="1"/>
    </xf>
    <xf numFmtId="0" fontId="106" fillId="4" borderId="0" xfId="0" applyFont="1" applyFill="1" applyBorder="1"/>
    <xf numFmtId="0" fontId="99" fillId="0" borderId="0" xfId="0" applyFont="1" applyFill="1" applyBorder="1" applyAlignment="1">
      <alignment horizontal="left" wrapText="1"/>
    </xf>
    <xf numFmtId="0" fontId="99" fillId="0" borderId="0" xfId="0" applyFont="1" applyBorder="1" applyAlignment="1"/>
    <xf numFmtId="0" fontId="99" fillId="0" borderId="0" xfId="0" applyFont="1" applyFill="1" applyBorder="1" applyAlignment="1"/>
    <xf numFmtId="0" fontId="107" fillId="4" borderId="0" xfId="0" applyFont="1" applyFill="1" applyBorder="1" applyAlignment="1"/>
    <xf numFmtId="0" fontId="108" fillId="4" borderId="0" xfId="0" applyFont="1" applyFill="1" applyBorder="1" applyAlignment="1">
      <alignment horizontal="center"/>
    </xf>
    <xf numFmtId="0" fontId="0" fillId="0" borderId="0" xfId="0" applyBorder="1" applyAlignment="1">
      <alignment wrapText="1"/>
    </xf>
    <xf numFmtId="0" fontId="99" fillId="0" borderId="0" xfId="0" applyFont="1" applyFill="1" applyBorder="1" applyAlignment="1">
      <alignment horizontal="right"/>
    </xf>
    <xf numFmtId="0" fontId="101" fillId="0" borderId="0" xfId="0" applyFont="1" applyBorder="1" applyAlignment="1">
      <alignment wrapText="1"/>
    </xf>
    <xf numFmtId="0" fontId="99" fillId="0" borderId="0" xfId="0" applyFont="1" applyFill="1" applyBorder="1" applyAlignment="1">
      <alignment horizontal="left" wrapText="1" indent="1"/>
    </xf>
    <xf numFmtId="0" fontId="111" fillId="4" borderId="0" xfId="0" applyFont="1" applyFill="1" applyBorder="1" applyAlignment="1">
      <alignment horizontal="left"/>
    </xf>
    <xf numFmtId="0" fontId="101" fillId="0" borderId="0" xfId="0" applyFont="1" applyFill="1" applyBorder="1" applyAlignment="1">
      <alignment wrapText="1"/>
    </xf>
    <xf numFmtId="0" fontId="101" fillId="0" borderId="0" xfId="0" applyFont="1" applyBorder="1" applyAlignment="1">
      <alignment horizontal="left"/>
    </xf>
    <xf numFmtId="0" fontId="98" fillId="0" borderId="0" xfId="0" applyFont="1" applyFill="1" applyBorder="1"/>
    <xf numFmtId="0" fontId="95" fillId="25" borderId="0" xfId="0" applyFont="1" applyFill="1" applyBorder="1" applyAlignment="1">
      <alignment horizontal="center" wrapText="1"/>
    </xf>
    <xf numFmtId="0" fontId="99" fillId="0" borderId="0" xfId="0" applyFont="1" applyFill="1" applyBorder="1" applyAlignment="1">
      <alignment horizontal="center" wrapText="1"/>
    </xf>
    <xf numFmtId="0" fontId="107" fillId="0" borderId="0" xfId="0" applyFont="1" applyFill="1" applyBorder="1" applyAlignment="1"/>
    <xf numFmtId="0" fontId="94" fillId="4" borderId="12" xfId="0" applyFont="1" applyFill="1" applyBorder="1"/>
    <xf numFmtId="0" fontId="0" fillId="0" borderId="12" xfId="0" applyBorder="1"/>
    <xf numFmtId="0" fontId="0" fillId="0" borderId="8" xfId="0" applyBorder="1"/>
    <xf numFmtId="0" fontId="103" fillId="25" borderId="10" xfId="0" applyFont="1" applyFill="1" applyBorder="1" applyAlignment="1">
      <alignment horizontal="center" wrapText="1"/>
    </xf>
    <xf numFmtId="0" fontId="0" fillId="0" borderId="10" xfId="0" applyBorder="1"/>
    <xf numFmtId="0" fontId="47" fillId="0" borderId="13" xfId="0" applyFont="1" applyFill="1" applyBorder="1" applyAlignment="1">
      <alignment horizontal="right"/>
    </xf>
    <xf numFmtId="2" fontId="42" fillId="0" borderId="13" xfId="0" applyNumberFormat="1" applyFont="1" applyFill="1" applyBorder="1"/>
    <xf numFmtId="0" fontId="94" fillId="4" borderId="12" xfId="0" applyFont="1" applyFill="1" applyBorder="1" applyAlignment="1">
      <alignment wrapText="1"/>
    </xf>
    <xf numFmtId="0" fontId="112" fillId="4" borderId="12" xfId="0" applyFont="1" applyFill="1" applyBorder="1"/>
    <xf numFmtId="2" fontId="42" fillId="0" borderId="12" xfId="0" applyNumberFormat="1" applyFont="1" applyFill="1" applyBorder="1"/>
    <xf numFmtId="0" fontId="0" fillId="0" borderId="13" xfId="0" applyFont="1" applyFill="1" applyBorder="1"/>
    <xf numFmtId="0" fontId="103" fillId="25" borderId="14" xfId="0" applyFont="1" applyFill="1" applyBorder="1" applyAlignment="1">
      <alignment horizontal="center" wrapText="1"/>
    </xf>
    <xf numFmtId="0" fontId="108" fillId="4" borderId="12" xfId="0" applyFont="1" applyFill="1" applyBorder="1" applyAlignment="1">
      <alignment horizontal="center" wrapText="1"/>
    </xf>
    <xf numFmtId="0" fontId="99" fillId="0" borderId="13" xfId="0" applyFont="1" applyFill="1" applyBorder="1"/>
    <xf numFmtId="0" fontId="42" fillId="0" borderId="4" xfId="0" applyFont="1" applyFill="1" applyBorder="1" applyAlignment="1">
      <alignment vertical="center"/>
    </xf>
    <xf numFmtId="0" fontId="47" fillId="0" borderId="13" xfId="0" applyFont="1" applyFill="1" applyBorder="1"/>
    <xf numFmtId="0" fontId="0" fillId="0" borderId="10" xfId="0" applyFill="1" applyBorder="1"/>
    <xf numFmtId="0" fontId="0" fillId="0" borderId="12" xfId="0" applyBorder="1" applyAlignment="1">
      <alignment horizontal="center" vertical="center"/>
    </xf>
    <xf numFmtId="0" fontId="47" fillId="0" borderId="12" xfId="0" applyFont="1" applyFill="1" applyBorder="1"/>
    <xf numFmtId="0" fontId="0" fillId="0" borderId="0" xfId="0" applyBorder="1" applyAlignment="1">
      <alignment horizontal="center" vertical="center"/>
    </xf>
    <xf numFmtId="0" fontId="55" fillId="0" borderId="10" xfId="0" applyFont="1" applyBorder="1"/>
    <xf numFmtId="0" fontId="105" fillId="0" borderId="10" xfId="0" applyFont="1" applyFill="1" applyBorder="1" applyAlignment="1"/>
    <xf numFmtId="0" fontId="111" fillId="0" borderId="10" xfId="0" applyFont="1" applyFill="1" applyBorder="1" applyAlignment="1"/>
    <xf numFmtId="0" fontId="0" fillId="0" borderId="13" xfId="0" applyBorder="1"/>
    <xf numFmtId="0" fontId="98" fillId="0" borderId="13" xfId="0" applyFont="1" applyFill="1" applyBorder="1"/>
    <xf numFmtId="0" fontId="0" fillId="0" borderId="13" xfId="0" applyFill="1" applyBorder="1"/>
    <xf numFmtId="2" fontId="35" fillId="8" borderId="0" xfId="0" applyNumberFormat="1" applyFont="1" applyFill="1" applyBorder="1"/>
    <xf numFmtId="2" fontId="35" fillId="0" borderId="0" xfId="0" applyNumberFormat="1" applyFont="1" applyFill="1" applyBorder="1"/>
    <xf numFmtId="0" fontId="90" fillId="0" borderId="0" xfId="0" applyFont="1" applyFill="1" applyBorder="1"/>
    <xf numFmtId="0" fontId="90" fillId="8" borderId="0" xfId="0" applyFont="1" applyFill="1" applyBorder="1"/>
    <xf numFmtId="0" fontId="0" fillId="14" borderId="0" xfId="0" applyFill="1" applyBorder="1"/>
    <xf numFmtId="0" fontId="1" fillId="14" borderId="0" xfId="0" applyFont="1" applyFill="1" applyBorder="1"/>
    <xf numFmtId="0" fontId="53" fillId="0" borderId="0" xfId="0" applyFont="1" applyBorder="1"/>
    <xf numFmtId="3" fontId="53" fillId="0" borderId="0" xfId="0" applyNumberFormat="1" applyFont="1" applyFill="1" applyBorder="1"/>
    <xf numFmtId="3" fontId="39" fillId="0" borderId="0" xfId="0" applyNumberFormat="1" applyFont="1" applyFill="1" applyBorder="1"/>
    <xf numFmtId="3" fontId="65" fillId="0" borderId="0" xfId="0" applyNumberFormat="1" applyFont="1" applyBorder="1"/>
    <xf numFmtId="3" fontId="49" fillId="0" borderId="0" xfId="0" applyNumberFormat="1" applyFont="1" applyFill="1" applyBorder="1"/>
    <xf numFmtId="3" fontId="49" fillId="0" borderId="0" xfId="0" applyNumberFormat="1" applyFont="1" applyBorder="1"/>
    <xf numFmtId="3" fontId="48" fillId="0" borderId="0" xfId="0" applyNumberFormat="1" applyFont="1" applyBorder="1"/>
    <xf numFmtId="3" fontId="65" fillId="0" borderId="0" xfId="0" applyNumberFormat="1" applyFont="1" applyFill="1" applyBorder="1"/>
    <xf numFmtId="0" fontId="70" fillId="0" borderId="0" xfId="0" applyFont="1" applyFill="1" applyBorder="1"/>
    <xf numFmtId="0" fontId="93" fillId="0" borderId="0" xfId="0" applyFont="1" applyFill="1" applyBorder="1"/>
    <xf numFmtId="3" fontId="56" fillId="0" borderId="0" xfId="0" applyNumberFormat="1" applyFont="1" applyFill="1" applyBorder="1"/>
    <xf numFmtId="3" fontId="5" fillId="22" borderId="1" xfId="0" applyNumberFormat="1" applyFont="1" applyFill="1" applyBorder="1"/>
    <xf numFmtId="3" fontId="62" fillId="0" borderId="0" xfId="0" applyNumberFormat="1" applyFont="1" applyBorder="1" applyAlignment="1">
      <alignment horizontal="right"/>
    </xf>
    <xf numFmtId="3" fontId="62" fillId="5" borderId="0" xfId="0" applyNumberFormat="1" applyFont="1" applyFill="1" applyBorder="1" applyAlignment="1">
      <alignment horizontal="right"/>
    </xf>
    <xf numFmtId="0" fontId="35" fillId="0" borderId="0" xfId="0" applyFont="1" applyBorder="1" applyAlignment="1"/>
    <xf numFmtId="3" fontId="35" fillId="0" borderId="0" xfId="0" applyNumberFormat="1" applyFont="1" applyBorder="1" applyAlignment="1"/>
    <xf numFmtId="3" fontId="62" fillId="5" borderId="0" xfId="0" applyNumberFormat="1" applyFont="1" applyFill="1" applyBorder="1" applyAlignment="1"/>
    <xf numFmtId="0" fontId="21" fillId="7" borderId="0" xfId="0" applyFont="1" applyFill="1" applyBorder="1" applyAlignment="1">
      <alignment horizontal="center"/>
    </xf>
    <xf numFmtId="4" fontId="9" fillId="3" borderId="0" xfId="0" applyNumberFormat="1" applyFont="1" applyFill="1" applyBorder="1" applyAlignment="1">
      <alignment horizontal="center"/>
    </xf>
    <xf numFmtId="0" fontId="84" fillId="0" borderId="0" xfId="0" applyFont="1" applyBorder="1" applyAlignment="1">
      <alignment wrapText="1"/>
    </xf>
    <xf numFmtId="0" fontId="45" fillId="0" borderId="1" xfId="0" applyFont="1" applyBorder="1"/>
    <xf numFmtId="0" fontId="81" fillId="0" borderId="1" xfId="0" applyFont="1" applyBorder="1"/>
    <xf numFmtId="1" fontId="80" fillId="0" borderId="0" xfId="0" applyNumberFormat="1" applyFont="1" applyFill="1" applyBorder="1"/>
    <xf numFmtId="0" fontId="0" fillId="8" borderId="0" xfId="0" applyFont="1" applyFill="1" applyBorder="1"/>
    <xf numFmtId="0" fontId="13" fillId="8" borderId="0" xfId="0" applyFont="1" applyFill="1" applyBorder="1"/>
    <xf numFmtId="0" fontId="0" fillId="0" borderId="0" xfId="0" applyFont="1" applyFill="1" applyBorder="1" applyAlignment="1">
      <alignment wrapText="1"/>
    </xf>
    <xf numFmtId="0" fontId="0" fillId="8" borderId="0" xfId="0" applyFont="1" applyFill="1" applyBorder="1" applyAlignment="1">
      <alignment horizontal="right"/>
    </xf>
    <xf numFmtId="0" fontId="0" fillId="12" borderId="0" xfId="0" applyFont="1" applyFill="1" applyBorder="1" applyAlignment="1">
      <alignment horizontal="right"/>
    </xf>
    <xf numFmtId="0" fontId="10" fillId="21" borderId="0" xfId="0" applyFont="1" applyFill="1" applyBorder="1" applyAlignment="1">
      <alignment horizontal="center"/>
    </xf>
    <xf numFmtId="2" fontId="10" fillId="6" borderId="0" xfId="0" applyNumberFormat="1" applyFont="1" applyFill="1" applyBorder="1"/>
    <xf numFmtId="0" fontId="21" fillId="7" borderId="0" xfId="0" applyFont="1" applyFill="1" applyBorder="1"/>
    <xf numFmtId="0" fontId="10" fillId="0" borderId="0" xfId="0" applyFont="1" applyFill="1" applyBorder="1" applyAlignment="1">
      <alignment horizontal="left"/>
    </xf>
    <xf numFmtId="1" fontId="0" fillId="12" borderId="0" xfId="0" applyNumberFormat="1" applyFont="1" applyFill="1" applyBorder="1"/>
    <xf numFmtId="0" fontId="21" fillId="9" borderId="0" xfId="0" applyFont="1" applyFill="1" applyBorder="1"/>
    <xf numFmtId="1" fontId="35" fillId="0" borderId="0" xfId="0" applyNumberFormat="1" applyFont="1" applyFill="1" applyBorder="1"/>
    <xf numFmtId="2" fontId="0" fillId="12" borderId="0" xfId="0" applyNumberFormat="1" applyFont="1" applyFill="1" applyBorder="1"/>
    <xf numFmtId="0" fontId="35" fillId="8" borderId="0" xfId="0" applyFont="1" applyFill="1" applyBorder="1" applyAlignment="1">
      <alignment wrapText="1"/>
    </xf>
    <xf numFmtId="2" fontId="35" fillId="14" borderId="0" xfId="0" applyNumberFormat="1" applyFont="1" applyFill="1" applyBorder="1"/>
    <xf numFmtId="0" fontId="30" fillId="0" borderId="0" xfId="0" applyFont="1" applyFill="1" applyBorder="1"/>
    <xf numFmtId="1" fontId="10" fillId="14" borderId="0" xfId="0" applyNumberFormat="1" applyFont="1" applyFill="1" applyBorder="1"/>
    <xf numFmtId="1" fontId="10" fillId="0" borderId="0" xfId="0" applyNumberFormat="1" applyFont="1" applyFill="1" applyBorder="1"/>
    <xf numFmtId="1" fontId="22" fillId="0" borderId="0" xfId="0" applyNumberFormat="1" applyFont="1" applyFill="1" applyBorder="1"/>
    <xf numFmtId="0" fontId="11" fillId="0" borderId="1" xfId="0" applyFont="1" applyBorder="1" applyAlignment="1">
      <alignment horizontal="right"/>
    </xf>
    <xf numFmtId="0" fontId="11" fillId="12" borderId="0" xfId="0" applyFont="1" applyFill="1"/>
    <xf numFmtId="0" fontId="5" fillId="0" borderId="0" xfId="0" applyFont="1" applyBorder="1" applyAlignment="1">
      <alignment horizontal="center"/>
    </xf>
    <xf numFmtId="0" fontId="22" fillId="0" borderId="0" xfId="0" applyFont="1" applyFill="1" applyBorder="1"/>
    <xf numFmtId="0" fontId="34" fillId="17" borderId="0" xfId="0" applyFont="1" applyFill="1" applyBorder="1"/>
    <xf numFmtId="0" fontId="33" fillId="17" borderId="0" xfId="0" applyFont="1" applyFill="1" applyBorder="1"/>
    <xf numFmtId="1" fontId="0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wrapText="1"/>
    </xf>
    <xf numFmtId="0" fontId="5" fillId="8" borderId="0" xfId="0" applyFont="1" applyFill="1" applyBorder="1"/>
    <xf numFmtId="0" fontId="35" fillId="0" borderId="0" xfId="0" applyFont="1" applyFill="1" applyBorder="1" applyAlignment="1">
      <alignment horizontal="center"/>
    </xf>
    <xf numFmtId="0" fontId="0" fillId="8" borderId="0" xfId="0" applyFont="1" applyFill="1" applyBorder="1" applyAlignment="1">
      <alignment horizontal="center"/>
    </xf>
    <xf numFmtId="0" fontId="0" fillId="16" borderId="0" xfId="0" applyFont="1" applyFill="1" applyBorder="1" applyAlignment="1">
      <alignment horizontal="center"/>
    </xf>
    <xf numFmtId="0" fontId="43" fillId="0" borderId="0" xfId="0" applyFont="1" applyBorder="1"/>
    <xf numFmtId="0" fontId="0" fillId="0" borderId="0" xfId="0" applyFont="1" applyBorder="1" applyAlignment="1">
      <alignment horizontal="center" wrapText="1"/>
    </xf>
    <xf numFmtId="0" fontId="22" fillId="11" borderId="0" xfId="0" applyFont="1" applyFill="1" applyBorder="1" applyAlignment="1">
      <alignment horizontal="left" wrapText="1"/>
    </xf>
    <xf numFmtId="2" fontId="35" fillId="22" borderId="0" xfId="0" applyNumberFormat="1" applyFont="1" applyFill="1" applyBorder="1"/>
    <xf numFmtId="0" fontId="22" fillId="7" borderId="0" xfId="0" applyFont="1" applyFill="1" applyBorder="1"/>
    <xf numFmtId="167" fontId="35" fillId="10" borderId="0" xfId="0" applyNumberFormat="1" applyFont="1" applyFill="1" applyBorder="1"/>
    <xf numFmtId="0" fontId="0" fillId="0" borderId="0" xfId="0" applyFont="1" applyBorder="1" applyAlignment="1">
      <alignment horizontal="right" wrapText="1"/>
    </xf>
    <xf numFmtId="1" fontId="35" fillId="8" borderId="0" xfId="0" applyNumberFormat="1" applyFont="1" applyFill="1" applyBorder="1" applyAlignment="1">
      <alignment horizontal="center"/>
    </xf>
    <xf numFmtId="1" fontId="0" fillId="8" borderId="0" xfId="0" applyNumberFormat="1" applyFont="1" applyFill="1" applyBorder="1" applyAlignment="1">
      <alignment horizontal="center"/>
    </xf>
    <xf numFmtId="0" fontId="10" fillId="5" borderId="0" xfId="0" applyFont="1" applyFill="1" applyAlignment="1">
      <alignment horizontal="right" wrapText="1"/>
    </xf>
    <xf numFmtId="0" fontId="35" fillId="28" borderId="0" xfId="293" applyNumberFormat="1" applyFont="1" applyFill="1" applyBorder="1" applyAlignment="1">
      <alignment horizontal="center"/>
    </xf>
    <xf numFmtId="1" fontId="0" fillId="14" borderId="0" xfId="293" applyNumberFormat="1" applyFont="1" applyFill="1" applyBorder="1"/>
    <xf numFmtId="0" fontId="0" fillId="12" borderId="0" xfId="293" applyNumberFormat="1" applyFont="1" applyFill="1" applyBorder="1"/>
    <xf numFmtId="0" fontId="35" fillId="28" borderId="0" xfId="0" applyFont="1" applyFill="1" applyBorder="1" applyAlignment="1">
      <alignment horizontal="center"/>
    </xf>
    <xf numFmtId="0" fontId="0" fillId="28" borderId="0" xfId="0" applyFont="1" applyFill="1"/>
    <xf numFmtId="0" fontId="21" fillId="11" borderId="0" xfId="0" applyFont="1" applyFill="1" applyBorder="1" applyAlignment="1">
      <alignment horizontal="left" wrapText="1"/>
    </xf>
    <xf numFmtId="0" fontId="10" fillId="12" borderId="0" xfId="0" applyFont="1" applyFill="1" applyBorder="1"/>
    <xf numFmtId="2" fontId="10" fillId="10" borderId="0" xfId="0" applyNumberFormat="1" applyFont="1" applyFill="1"/>
    <xf numFmtId="1" fontId="35" fillId="0" borderId="0" xfId="0" applyNumberFormat="1" applyFont="1" applyFill="1"/>
    <xf numFmtId="0" fontId="23" fillId="8" borderId="0" xfId="0" applyFont="1" applyFill="1" applyBorder="1"/>
    <xf numFmtId="0" fontId="0" fillId="0" borderId="0" xfId="0" applyFont="1" applyFill="1" applyBorder="1" applyAlignment="1">
      <alignment horizontal="right"/>
    </xf>
    <xf numFmtId="0" fontId="0" fillId="0" borderId="0" xfId="0" applyFont="1" applyFill="1" applyAlignment="1">
      <alignment horizontal="right"/>
    </xf>
    <xf numFmtId="3" fontId="0" fillId="0" borderId="0" xfId="0" applyNumberFormat="1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/>
    <xf numFmtId="0" fontId="0" fillId="5" borderId="0" xfId="0" applyFont="1" applyFill="1"/>
    <xf numFmtId="3" fontId="0" fillId="0" borderId="0" xfId="0" applyNumberFormat="1" applyFont="1" applyBorder="1" applyAlignment="1">
      <alignment horizontal="center"/>
    </xf>
    <xf numFmtId="3" fontId="0" fillId="0" borderId="0" xfId="0" applyNumberFormat="1" applyFont="1" applyFill="1" applyAlignment="1">
      <alignment horizontal="right"/>
    </xf>
    <xf numFmtId="3" fontId="0" fillId="0" borderId="0" xfId="0" applyNumberFormat="1" applyFont="1" applyFill="1"/>
    <xf numFmtId="0" fontId="0" fillId="0" borderId="1" xfId="0" applyFont="1" applyFill="1" applyBorder="1" applyAlignment="1">
      <alignment wrapText="1"/>
    </xf>
    <xf numFmtId="9" fontId="0" fillId="0" borderId="0" xfId="0" applyNumberFormat="1" applyFont="1" applyBorder="1"/>
    <xf numFmtId="0" fontId="17" fillId="0" borderId="0" xfId="0" applyFont="1" applyBorder="1" applyAlignment="1">
      <alignment horizontal="center"/>
    </xf>
    <xf numFmtId="0" fontId="17" fillId="0" borderId="0" xfId="0" applyFont="1" applyBorder="1" applyAlignment="1">
      <alignment horizontal="left" vertical="top"/>
    </xf>
    <xf numFmtId="0" fontId="17" fillId="0" borderId="0" xfId="0" applyFont="1" applyBorder="1" applyAlignment="1">
      <alignment vertical="top" wrapText="1"/>
    </xf>
    <xf numFmtId="1" fontId="17" fillId="0" borderId="2" xfId="0" applyNumberFormat="1" applyFont="1" applyBorder="1" applyAlignment="1">
      <alignment horizontal="center" vertical="center"/>
    </xf>
    <xf numFmtId="0" fontId="17" fillId="0" borderId="0" xfId="0" applyFont="1" applyBorder="1" applyAlignment="1">
      <alignment vertical="top"/>
    </xf>
    <xf numFmtId="0" fontId="17" fillId="0" borderId="0" xfId="0" applyFont="1" applyBorder="1" applyAlignment="1">
      <alignment horizontal="left"/>
    </xf>
    <xf numFmtId="0" fontId="17" fillId="0" borderId="0" xfId="0" applyFont="1" applyBorder="1" applyAlignment="1">
      <alignment wrapText="1"/>
    </xf>
    <xf numFmtId="0" fontId="17" fillId="4" borderId="0" xfId="0" applyFont="1" applyFill="1" applyBorder="1"/>
    <xf numFmtId="44" fontId="17" fillId="0" borderId="0" xfId="684" applyFont="1" applyBorder="1"/>
    <xf numFmtId="0" fontId="99" fillId="31" borderId="0" xfId="0" applyFont="1" applyFill="1" applyBorder="1" applyAlignment="1">
      <alignment vertical="center" wrapText="1"/>
    </xf>
    <xf numFmtId="0" fontId="99" fillId="30" borderId="0" xfId="0" applyFont="1" applyFill="1" applyBorder="1" applyAlignment="1">
      <alignment vertical="center" wrapText="1"/>
    </xf>
    <xf numFmtId="4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3" fontId="35" fillId="0" borderId="0" xfId="0" applyNumberFormat="1" applyFont="1" applyFill="1" applyBorder="1" applyAlignment="1"/>
    <xf numFmtId="3" fontId="35" fillId="23" borderId="0" xfId="0" applyNumberFormat="1" applyFont="1" applyFill="1" applyBorder="1" applyAlignment="1"/>
    <xf numFmtId="0" fontId="0" fillId="2" borderId="0" xfId="0" applyFill="1" applyBorder="1" applyAlignment="1"/>
    <xf numFmtId="3" fontId="37" fillId="0" borderId="0" xfId="0" applyNumberFormat="1" applyFont="1" applyFill="1" applyBorder="1" applyAlignment="1"/>
    <xf numFmtId="3" fontId="0" fillId="0" borderId="0" xfId="0" applyNumberFormat="1" applyFill="1" applyBorder="1" applyAlignment="1"/>
    <xf numFmtId="4" fontId="77" fillId="0" borderId="0" xfId="0" applyNumberFormat="1" applyFont="1" applyFill="1" applyBorder="1" applyAlignment="1"/>
    <xf numFmtId="4" fontId="35" fillId="0" borderId="0" xfId="0" applyNumberFormat="1" applyFont="1" applyFill="1" applyBorder="1" applyAlignment="1"/>
    <xf numFmtId="3" fontId="35" fillId="30" borderId="0" xfId="0" applyNumberFormat="1" applyFont="1" applyFill="1" applyBorder="1"/>
    <xf numFmtId="3" fontId="35" fillId="30" borderId="0" xfId="0" applyNumberFormat="1" applyFont="1" applyFill="1" applyBorder="1" applyAlignment="1">
      <alignment horizontal="right"/>
    </xf>
    <xf numFmtId="0" fontId="35" fillId="30" borderId="0" xfId="0" applyFont="1" applyFill="1" applyBorder="1"/>
    <xf numFmtId="2" fontId="0" fillId="0" borderId="0" xfId="0" applyNumberFormat="1" applyBorder="1"/>
    <xf numFmtId="2" fontId="0" fillId="0" borderId="0" xfId="0" applyNumberFormat="1" applyFill="1" applyBorder="1"/>
    <xf numFmtId="0" fontId="5" fillId="0" borderId="0" xfId="0" applyFont="1" applyAlignment="1">
      <alignment wrapText="1"/>
    </xf>
    <xf numFmtId="166" fontId="0" fillId="14" borderId="0" xfId="0" applyNumberFormat="1" applyFont="1" applyFill="1" applyBorder="1"/>
    <xf numFmtId="0" fontId="19" fillId="0" borderId="0" xfId="0" applyFont="1" applyFill="1" applyBorder="1"/>
    <xf numFmtId="2" fontId="0" fillId="0" borderId="0" xfId="0" applyNumberFormat="1" applyFont="1" applyFill="1" applyBorder="1"/>
    <xf numFmtId="2" fontId="22" fillId="0" borderId="0" xfId="0" applyNumberFormat="1" applyFont="1" applyFill="1" applyBorder="1"/>
    <xf numFmtId="0" fontId="42" fillId="31" borderId="0" xfId="0" applyFont="1" applyFill="1" applyBorder="1"/>
    <xf numFmtId="0" fontId="42" fillId="30" borderId="0" xfId="0" applyFont="1" applyFill="1" applyBorder="1"/>
    <xf numFmtId="0" fontId="19" fillId="0" borderId="0" xfId="0" applyFont="1"/>
    <xf numFmtId="166" fontId="0" fillId="0" borderId="0" xfId="0" applyNumberFormat="1" applyFont="1" applyFill="1"/>
    <xf numFmtId="166" fontId="0" fillId="0" borderId="0" xfId="0" applyNumberFormat="1" applyFont="1"/>
    <xf numFmtId="0" fontId="5" fillId="0" borderId="0" xfId="0" applyFont="1" applyFill="1" applyAlignment="1">
      <alignment wrapText="1"/>
    </xf>
    <xf numFmtId="0" fontId="5" fillId="0" borderId="0" xfId="0" applyFont="1" applyAlignment="1">
      <alignment vertical="center"/>
    </xf>
    <xf numFmtId="0" fontId="5" fillId="0" borderId="0" xfId="0" applyFont="1" applyAlignment="1">
      <alignment vertical="center" wrapText="1"/>
    </xf>
    <xf numFmtId="2" fontId="17" fillId="0" borderId="0" xfId="0" applyNumberFormat="1" applyFont="1" applyBorder="1" applyAlignment="1">
      <alignment horizontal="right"/>
    </xf>
    <xf numFmtId="1" fontId="17" fillId="0" borderId="0" xfId="0" applyNumberFormat="1" applyFont="1" applyBorder="1" applyAlignment="1">
      <alignment horizontal="right"/>
    </xf>
    <xf numFmtId="0" fontId="17" fillId="0" borderId="0" xfId="0" applyFont="1"/>
    <xf numFmtId="0" fontId="18" fillId="0" borderId="0" xfId="0" applyFont="1"/>
    <xf numFmtId="0" fontId="18" fillId="0" borderId="0" xfId="0" applyFont="1" applyAlignment="1">
      <alignment wrapText="1"/>
    </xf>
    <xf numFmtId="0" fontId="18" fillId="0" borderId="0" xfId="0" applyFont="1" applyBorder="1" applyAlignment="1">
      <alignment wrapText="1"/>
    </xf>
    <xf numFmtId="0" fontId="18" fillId="0" borderId="0" xfId="0" applyFont="1" applyFill="1" applyBorder="1" applyAlignment="1">
      <alignment wrapText="1"/>
    </xf>
    <xf numFmtId="0" fontId="18" fillId="0" borderId="0" xfId="0" applyFont="1" applyBorder="1"/>
    <xf numFmtId="2" fontId="17" fillId="0" borderId="0" xfId="0" applyNumberFormat="1" applyFont="1"/>
    <xf numFmtId="2" fontId="17" fillId="32" borderId="5" xfId="0" applyNumberFormat="1" applyFont="1" applyFill="1" applyBorder="1"/>
    <xf numFmtId="167" fontId="17" fillId="32" borderId="15" xfId="0" applyNumberFormat="1" applyFont="1" applyFill="1" applyBorder="1"/>
    <xf numFmtId="0" fontId="18" fillId="0" borderId="11" xfId="0" applyFont="1" applyFill="1" applyBorder="1" applyAlignment="1">
      <alignment wrapText="1"/>
    </xf>
    <xf numFmtId="0" fontId="11" fillId="0" borderId="0" xfId="0" applyFont="1" applyBorder="1" applyAlignment="1"/>
    <xf numFmtId="3" fontId="62" fillId="0" borderId="0" xfId="0" applyNumberFormat="1" applyFont="1" applyFill="1" applyBorder="1" applyAlignment="1">
      <alignment horizontal="right"/>
    </xf>
    <xf numFmtId="3" fontId="62" fillId="0" borderId="0" xfId="0" applyNumberFormat="1" applyFont="1" applyFill="1" applyBorder="1" applyAlignment="1"/>
    <xf numFmtId="0" fontId="17" fillId="0" borderId="7" xfId="0" applyFont="1" applyBorder="1"/>
    <xf numFmtId="0" fontId="18" fillId="0" borderId="12" xfId="0" applyFont="1" applyBorder="1" applyAlignment="1">
      <alignment vertical="center" wrapText="1"/>
    </xf>
    <xf numFmtId="0" fontId="18" fillId="0" borderId="12" xfId="0" applyFont="1" applyBorder="1" applyAlignment="1">
      <alignment vertical="center"/>
    </xf>
    <xf numFmtId="0" fontId="116" fillId="0" borderId="16" xfId="0" applyFont="1" applyBorder="1" applyAlignment="1">
      <alignment vertical="center"/>
    </xf>
    <xf numFmtId="2" fontId="116" fillId="0" borderId="17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left" vertical="center"/>
    </xf>
    <xf numFmtId="0" fontId="17" fillId="0" borderId="13" xfId="0" applyFont="1" applyBorder="1" applyAlignment="1">
      <alignment horizontal="center" vertical="center"/>
    </xf>
    <xf numFmtId="0" fontId="117" fillId="0" borderId="0" xfId="0" applyFont="1" applyBorder="1"/>
    <xf numFmtId="1" fontId="0" fillId="0" borderId="0" xfId="0" applyNumberFormat="1"/>
    <xf numFmtId="3" fontId="17" fillId="4" borderId="3" xfId="0" applyNumberFormat="1" applyFont="1" applyFill="1" applyBorder="1" applyAlignment="1">
      <alignment horizontal="center" vertical="center"/>
    </xf>
    <xf numFmtId="2" fontId="17" fillId="4" borderId="3" xfId="0" applyNumberFormat="1" applyFont="1" applyFill="1" applyBorder="1" applyAlignment="1">
      <alignment horizontal="center" vertical="center"/>
    </xf>
    <xf numFmtId="0" fontId="22" fillId="19" borderId="0" xfId="0" applyFont="1" applyFill="1"/>
    <xf numFmtId="44" fontId="22" fillId="7" borderId="0" xfId="684" applyFont="1" applyFill="1" applyBorder="1" applyAlignment="1">
      <alignment horizontal="center"/>
    </xf>
    <xf numFmtId="0" fontId="0" fillId="0" borderId="0" xfId="0" applyFont="1" applyBorder="1" applyAlignment="1">
      <alignment horizontal="left"/>
    </xf>
    <xf numFmtId="0" fontId="0" fillId="0" borderId="0" xfId="0" applyFont="1" applyBorder="1" applyAlignment="1">
      <alignment horizontal="left" wrapText="1"/>
    </xf>
    <xf numFmtId="0" fontId="22" fillId="30" borderId="0" xfId="0" applyFont="1" applyFill="1" applyBorder="1" applyAlignment="1">
      <alignment wrapText="1"/>
    </xf>
    <xf numFmtId="1" fontId="17" fillId="0" borderId="0" xfId="0" applyNumberFormat="1" applyFont="1" applyBorder="1" applyAlignment="1">
      <alignment vertical="top"/>
    </xf>
    <xf numFmtId="0" fontId="1" fillId="0" borderId="0" xfId="0" applyFont="1"/>
    <xf numFmtId="0" fontId="0" fillId="0" borderId="0" xfId="0" applyAlignment="1">
      <alignment horizontal="left"/>
    </xf>
    <xf numFmtId="0" fontId="118" fillId="0" borderId="0" xfId="0" applyFont="1" applyBorder="1" applyAlignment="1">
      <alignment horizontal="center" vertical="center" wrapText="1"/>
    </xf>
    <xf numFmtId="3" fontId="119" fillId="34" borderId="6" xfId="0" applyNumberFormat="1" applyFont="1" applyFill="1" applyBorder="1" applyAlignment="1">
      <alignment horizontal="center" vertical="center" wrapText="1"/>
    </xf>
    <xf numFmtId="3" fontId="120" fillId="35" borderId="0" xfId="0" applyNumberFormat="1" applyFont="1" applyFill="1" applyBorder="1" applyAlignment="1">
      <alignment horizontal="center" vertical="center" wrapText="1"/>
    </xf>
    <xf numFmtId="3" fontId="9" fillId="35" borderId="20" xfId="0" applyNumberFormat="1" applyFont="1" applyFill="1" applyBorder="1" applyAlignment="1">
      <alignment horizontal="center" vertical="center" wrapText="1"/>
    </xf>
    <xf numFmtId="3" fontId="118" fillId="0" borderId="0" xfId="0" applyNumberFormat="1" applyFont="1" applyBorder="1" applyAlignment="1">
      <alignment horizontal="center" vertical="center" wrapText="1"/>
    </xf>
    <xf numFmtId="3" fontId="120" fillId="36" borderId="0" xfId="0" applyNumberFormat="1" applyFont="1" applyFill="1" applyBorder="1" applyAlignment="1">
      <alignment horizontal="center" vertical="center" wrapText="1"/>
    </xf>
    <xf numFmtId="3" fontId="9" fillId="36" borderId="21" xfId="0" applyNumberFormat="1" applyFont="1" applyFill="1" applyBorder="1" applyAlignment="1">
      <alignment horizontal="center" vertical="center" wrapText="1"/>
    </xf>
    <xf numFmtId="3" fontId="9" fillId="35" borderId="21" xfId="0" applyNumberFormat="1" applyFont="1" applyFill="1" applyBorder="1" applyAlignment="1">
      <alignment horizontal="center" vertical="center" wrapText="1"/>
    </xf>
    <xf numFmtId="1" fontId="121" fillId="7" borderId="2" xfId="0" applyNumberFormat="1" applyFont="1" applyFill="1" applyBorder="1" applyAlignment="1">
      <alignment horizontal="center" vertical="center"/>
    </xf>
    <xf numFmtId="3" fontId="17" fillId="8" borderId="3" xfId="0" applyNumberFormat="1" applyFont="1" applyFill="1" applyBorder="1" applyAlignment="1">
      <alignment horizontal="center" vertical="center"/>
    </xf>
    <xf numFmtId="1" fontId="17" fillId="8" borderId="3" xfId="0" applyNumberFormat="1" applyFont="1" applyFill="1" applyBorder="1" applyAlignment="1">
      <alignment horizontal="center" vertical="center"/>
    </xf>
    <xf numFmtId="2" fontId="17" fillId="8" borderId="3" xfId="0" applyNumberFormat="1" applyFont="1" applyFill="1" applyBorder="1" applyAlignment="1">
      <alignment horizontal="center" vertical="center"/>
    </xf>
    <xf numFmtId="0" fontId="17" fillId="8" borderId="0" xfId="0" applyFont="1" applyFill="1" applyBorder="1"/>
    <xf numFmtId="0" fontId="18" fillId="0" borderId="12" xfId="0" applyFont="1" applyBorder="1" applyAlignment="1">
      <alignment horizontal="center" vertical="center" wrapText="1"/>
    </xf>
    <xf numFmtId="0" fontId="18" fillId="0" borderId="8" xfId="0" applyFont="1" applyBorder="1" applyAlignment="1">
      <alignment horizontal="center" vertical="center"/>
    </xf>
    <xf numFmtId="2" fontId="17" fillId="0" borderId="14" xfId="0" applyNumberFormat="1" applyFont="1" applyBorder="1" applyAlignment="1">
      <alignment horizontal="center" vertical="center"/>
    </xf>
    <xf numFmtId="2" fontId="17" fillId="0" borderId="18" xfId="0" applyNumberFormat="1" applyFont="1" applyBorder="1" applyAlignment="1">
      <alignment horizontal="center" vertical="center"/>
    </xf>
    <xf numFmtId="0" fontId="40" fillId="0" borderId="0" xfId="0" applyFont="1" applyAlignment="1">
      <alignment horizontal="center"/>
    </xf>
    <xf numFmtId="1" fontId="15" fillId="0" borderId="0" xfId="0" applyNumberFormat="1" applyFont="1"/>
    <xf numFmtId="11" fontId="20" fillId="0" borderId="0" xfId="0" applyNumberFormat="1" applyFont="1" applyFill="1"/>
    <xf numFmtId="0" fontId="0" fillId="7" borderId="0" xfId="0" applyFill="1"/>
    <xf numFmtId="0" fontId="9" fillId="0" borderId="0" xfId="0" applyFont="1"/>
    <xf numFmtId="0" fontId="39" fillId="0" borderId="0" xfId="0" applyFont="1" applyFill="1"/>
    <xf numFmtId="0" fontId="39" fillId="0" borderId="0" xfId="0" applyFont="1"/>
    <xf numFmtId="2" fontId="20" fillId="0" borderId="0" xfId="0" applyNumberFormat="1" applyFont="1"/>
    <xf numFmtId="0" fontId="17" fillId="0" borderId="0" xfId="0" applyFont="1" applyFill="1" applyBorder="1"/>
    <xf numFmtId="0" fontId="18" fillId="0" borderId="0" xfId="0" applyFont="1" applyFill="1" applyBorder="1" applyAlignment="1">
      <alignment vertical="center" wrapText="1"/>
    </xf>
    <xf numFmtId="0" fontId="18" fillId="0" borderId="0" xfId="0" applyFont="1" applyFill="1" applyBorder="1" applyAlignment="1">
      <alignment vertical="center"/>
    </xf>
    <xf numFmtId="0" fontId="18" fillId="0" borderId="0" xfId="0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0" fontId="116" fillId="0" borderId="0" xfId="0" applyFont="1" applyFill="1" applyBorder="1" applyAlignment="1">
      <alignment vertical="center"/>
    </xf>
    <xf numFmtId="2" fontId="116" fillId="0" borderId="0" xfId="0" applyNumberFormat="1" applyFont="1" applyFill="1" applyBorder="1" applyAlignment="1">
      <alignment horizontal="center" vertical="center"/>
    </xf>
    <xf numFmtId="2" fontId="17" fillId="0" borderId="0" xfId="0" applyNumberFormat="1" applyFont="1" applyFill="1" applyBorder="1" applyAlignment="1">
      <alignment horizontal="center" vertical="center"/>
    </xf>
    <xf numFmtId="2" fontId="122" fillId="0" borderId="0" xfId="0" applyNumberFormat="1" applyFont="1" applyFill="1" applyBorder="1" applyAlignment="1">
      <alignment horizontal="center" vertical="center"/>
    </xf>
    <xf numFmtId="167" fontId="17" fillId="0" borderId="0" xfId="0" applyNumberFormat="1" applyFont="1" applyFill="1" applyBorder="1" applyAlignment="1">
      <alignment horizontal="center"/>
    </xf>
    <xf numFmtId="0" fontId="122" fillId="0" borderId="0" xfId="0" applyFont="1" applyFill="1" applyBorder="1" applyAlignment="1">
      <alignment horizontal="left" vertical="center"/>
    </xf>
    <xf numFmtId="0" fontId="0" fillId="25" borderId="0" xfId="0" applyFill="1" applyBorder="1"/>
    <xf numFmtId="0" fontId="17" fillId="25" borderId="0" xfId="0" applyFont="1" applyFill="1" applyBorder="1"/>
    <xf numFmtId="0" fontId="18" fillId="25" borderId="0" xfId="0" applyFont="1" applyFill="1" applyBorder="1" applyAlignment="1">
      <alignment vertical="center" wrapText="1"/>
    </xf>
    <xf numFmtId="0" fontId="18" fillId="25" borderId="0" xfId="0" applyFont="1" applyFill="1" applyBorder="1" applyAlignment="1">
      <alignment vertical="center"/>
    </xf>
    <xf numFmtId="0" fontId="18" fillId="25" borderId="0" xfId="0" applyFont="1" applyFill="1" applyBorder="1" applyAlignment="1">
      <alignment horizontal="center" vertical="center" wrapText="1"/>
    </xf>
    <xf numFmtId="0" fontId="18" fillId="25" borderId="0" xfId="0" applyFont="1" applyFill="1" applyBorder="1" applyAlignment="1">
      <alignment horizontal="center" vertical="center"/>
    </xf>
    <xf numFmtId="0" fontId="40" fillId="25" borderId="0" xfId="0" applyFont="1" applyFill="1" applyBorder="1" applyAlignment="1">
      <alignment horizontal="center"/>
    </xf>
    <xf numFmtId="1" fontId="15" fillId="25" borderId="0" xfId="0" applyNumberFormat="1" applyFont="1" applyFill="1" applyBorder="1"/>
    <xf numFmtId="0" fontId="0" fillId="25" borderId="7" xfId="0" applyFill="1" applyBorder="1"/>
    <xf numFmtId="0" fontId="0" fillId="25" borderId="12" xfId="0" applyFill="1" applyBorder="1"/>
    <xf numFmtId="0" fontId="0" fillId="25" borderId="8" xfId="0" applyFill="1" applyBorder="1"/>
    <xf numFmtId="0" fontId="0" fillId="25" borderId="9" xfId="0" applyFill="1" applyBorder="1"/>
    <xf numFmtId="0" fontId="0" fillId="25" borderId="10" xfId="0" applyFill="1" applyBorder="1"/>
    <xf numFmtId="0" fontId="0" fillId="25" borderId="19" xfId="0" applyFill="1" applyBorder="1"/>
    <xf numFmtId="0" fontId="121" fillId="25" borderId="13" xfId="0" applyFont="1" applyFill="1" applyBorder="1" applyAlignment="1"/>
    <xf numFmtId="0" fontId="0" fillId="25" borderId="13" xfId="0" applyFill="1" applyBorder="1"/>
    <xf numFmtId="0" fontId="0" fillId="25" borderId="14" xfId="0" applyFill="1" applyBorder="1"/>
    <xf numFmtId="0" fontId="124" fillId="25" borderId="0" xfId="0" applyFont="1" applyFill="1" applyBorder="1"/>
    <xf numFmtId="0" fontId="5" fillId="25" borderId="0" xfId="0" applyFont="1" applyFill="1" applyBorder="1"/>
    <xf numFmtId="0" fontId="5" fillId="25" borderId="0" xfId="0" applyFont="1" applyFill="1" applyBorder="1" applyAlignment="1">
      <alignment wrapText="1"/>
    </xf>
    <xf numFmtId="0" fontId="0" fillId="25" borderId="0" xfId="0" applyFill="1" applyBorder="1" applyAlignment="1">
      <alignment horizontal="center" vertical="center"/>
    </xf>
    <xf numFmtId="0" fontId="5" fillId="0" borderId="6" xfId="0" applyFont="1" applyBorder="1"/>
    <xf numFmtId="0" fontId="0" fillId="0" borderId="6" xfId="0" applyFont="1" applyBorder="1"/>
    <xf numFmtId="0" fontId="5" fillId="0" borderId="6" xfId="0" applyFont="1" applyFill="1" applyBorder="1"/>
    <xf numFmtId="0" fontId="10" fillId="0" borderId="0" xfId="0" applyFont="1" applyFill="1" applyBorder="1" applyAlignment="1"/>
    <xf numFmtId="0" fontId="12" fillId="0" borderId="6" xfId="0" applyFont="1" applyFill="1" applyBorder="1" applyAlignment="1">
      <alignment vertical="center"/>
    </xf>
    <xf numFmtId="0" fontId="12" fillId="0" borderId="6" xfId="0" applyFont="1" applyFill="1" applyBorder="1" applyAlignment="1">
      <alignment horizontal="center" vertical="center"/>
    </xf>
    <xf numFmtId="0" fontId="5" fillId="0" borderId="6" xfId="0" applyFont="1" applyFill="1" applyBorder="1" applyAlignment="1"/>
    <xf numFmtId="0" fontId="10" fillId="0" borderId="6" xfId="0" applyFont="1" applyFill="1" applyBorder="1" applyAlignment="1">
      <alignment vertical="center"/>
    </xf>
    <xf numFmtId="0" fontId="12" fillId="0" borderId="0" xfId="0" applyFont="1" applyFill="1" applyBorder="1" applyAlignment="1"/>
    <xf numFmtId="0" fontId="12" fillId="0" borderId="0" xfId="0" applyFont="1" applyFill="1" applyBorder="1" applyAlignment="1">
      <alignment wrapText="1"/>
    </xf>
    <xf numFmtId="2" fontId="35" fillId="0" borderId="0" xfId="0" applyNumberFormat="1" applyFont="1" applyBorder="1" applyAlignment="1">
      <alignment horizontal="center" vertical="center"/>
    </xf>
    <xf numFmtId="2" fontId="35" fillId="0" borderId="6" xfId="0" applyNumberFormat="1" applyFont="1" applyBorder="1" applyAlignment="1">
      <alignment horizontal="center" vertical="center"/>
    </xf>
    <xf numFmtId="1" fontId="35" fillId="25" borderId="6" xfId="0" applyNumberFormat="1" applyFont="1" applyFill="1" applyBorder="1" applyAlignment="1">
      <alignment horizontal="center" vertical="center"/>
    </xf>
    <xf numFmtId="0" fontId="35" fillId="0" borderId="6" xfId="0" applyFont="1" applyBorder="1" applyAlignment="1">
      <alignment horizontal="center" vertical="center"/>
    </xf>
    <xf numFmtId="2" fontId="23" fillId="0" borderId="6" xfId="0" applyNumberFormat="1" applyFont="1" applyFill="1" applyBorder="1" applyAlignment="1">
      <alignment horizontal="center" vertical="center"/>
    </xf>
    <xf numFmtId="0" fontId="22" fillId="7" borderId="0" xfId="0" applyFont="1" applyFill="1" applyBorder="1" applyAlignment="1"/>
    <xf numFmtId="0" fontId="35" fillId="0" borderId="0" xfId="0" applyFont="1" applyBorder="1" applyAlignment="1">
      <alignment vertical="center"/>
    </xf>
    <xf numFmtId="167" fontId="0" fillId="0" borderId="0" xfId="0" applyNumberFormat="1" applyFont="1" applyBorder="1" applyAlignment="1">
      <alignment horizontal="center"/>
    </xf>
    <xf numFmtId="0" fontId="0" fillId="0" borderId="6" xfId="0" applyFont="1" applyBorder="1" applyAlignment="1">
      <alignment horizontal="left" vertical="center"/>
    </xf>
    <xf numFmtId="2" fontId="20" fillId="0" borderId="6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 wrapText="1"/>
    </xf>
    <xf numFmtId="0" fontId="10" fillId="0" borderId="6" xfId="0" applyFont="1" applyFill="1" applyBorder="1" applyAlignment="1">
      <alignment horizontal="left" vertical="center"/>
    </xf>
    <xf numFmtId="0" fontId="5" fillId="0" borderId="22" xfId="0" applyFont="1" applyBorder="1" applyAlignment="1">
      <alignment wrapText="1"/>
    </xf>
    <xf numFmtId="0" fontId="5" fillId="0" borderId="0" xfId="0" applyFont="1" applyBorder="1" applyAlignment="1">
      <alignment wrapText="1"/>
    </xf>
    <xf numFmtId="2" fontId="35" fillId="0" borderId="0" xfId="0" applyNumberFormat="1" applyFont="1" applyFill="1" applyBorder="1" applyAlignment="1">
      <alignment horizontal="center" vertical="center"/>
    </xf>
    <xf numFmtId="167" fontId="0" fillId="0" borderId="0" xfId="0" applyNumberFormat="1" applyFont="1" applyFill="1" applyBorder="1" applyAlignment="1">
      <alignment horizontal="center"/>
    </xf>
    <xf numFmtId="2" fontId="20" fillId="0" borderId="6" xfId="0" applyNumberFormat="1" applyFont="1" applyFill="1" applyBorder="1" applyAlignment="1">
      <alignment horizontal="center" vertical="center"/>
    </xf>
    <xf numFmtId="1" fontId="35" fillId="25" borderId="25" xfId="0" applyNumberFormat="1" applyFont="1" applyFill="1" applyBorder="1" applyAlignment="1">
      <alignment horizontal="center" vertical="center"/>
    </xf>
    <xf numFmtId="0" fontId="0" fillId="0" borderId="24" xfId="0" applyFont="1" applyBorder="1"/>
    <xf numFmtId="0" fontId="5" fillId="0" borderId="6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/>
    </xf>
    <xf numFmtId="0" fontId="12" fillId="0" borderId="6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6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0" fontId="5" fillId="0" borderId="23" xfId="0" applyFont="1" applyFill="1" applyBorder="1" applyAlignment="1">
      <alignment horizontal="center" vertical="center"/>
    </xf>
    <xf numFmtId="2" fontId="20" fillId="0" borderId="6" xfId="0" applyNumberFormat="1" applyFont="1" applyFill="1" applyBorder="1" applyAlignment="1">
      <alignment horizontal="center"/>
    </xf>
    <xf numFmtId="0" fontId="13" fillId="0" borderId="0" xfId="0" applyFont="1" applyBorder="1" applyAlignment="1">
      <alignment horizontal="left" vertical="center"/>
    </xf>
    <xf numFmtId="2" fontId="13" fillId="0" borderId="0" xfId="0" applyNumberFormat="1" applyFont="1" applyBorder="1" applyAlignment="1">
      <alignment horizontal="center" vertical="center"/>
    </xf>
    <xf numFmtId="2" fontId="13" fillId="0" borderId="0" xfId="0" applyNumberFormat="1" applyFont="1" applyFill="1" applyBorder="1" applyAlignment="1">
      <alignment horizontal="center" vertical="center"/>
    </xf>
    <xf numFmtId="0" fontId="0" fillId="0" borderId="0" xfId="0" applyFont="1" applyAlignment="1">
      <alignment horizontal="left" wrapText="1"/>
    </xf>
    <xf numFmtId="0" fontId="37" fillId="0" borderId="6" xfId="0" applyFont="1" applyBorder="1"/>
    <xf numFmtId="1" fontId="23" fillId="0" borderId="6" xfId="0" applyNumberFormat="1" applyFont="1" applyFill="1" applyBorder="1" applyAlignment="1">
      <alignment horizontal="center" vertical="center"/>
    </xf>
    <xf numFmtId="0" fontId="5" fillId="0" borderId="0" xfId="0" applyFont="1" applyBorder="1" applyAlignment="1">
      <alignment horizontal="left" wrapText="1"/>
    </xf>
    <xf numFmtId="3" fontId="22" fillId="19" borderId="0" xfId="0" applyNumberFormat="1" applyFont="1" applyFill="1" applyBorder="1" applyAlignment="1">
      <alignment horizontal="right"/>
    </xf>
    <xf numFmtId="0" fontId="57" fillId="19" borderId="0" xfId="0" applyFont="1" applyFill="1" applyBorder="1"/>
    <xf numFmtId="0" fontId="57" fillId="19" borderId="0" xfId="0" applyFont="1" applyFill="1" applyBorder="1" applyAlignment="1">
      <alignment horizontal="center"/>
    </xf>
    <xf numFmtId="0" fontId="22" fillId="37" borderId="0" xfId="0" applyFont="1" applyFill="1" applyAlignment="1">
      <alignment horizontal="center"/>
    </xf>
    <xf numFmtId="0" fontId="10" fillId="5" borderId="0" xfId="0" applyFont="1" applyFill="1" applyBorder="1"/>
    <xf numFmtId="0" fontId="0" fillId="5" borderId="0" xfId="0" applyFill="1" applyBorder="1"/>
    <xf numFmtId="3" fontId="22" fillId="31" borderId="0" xfId="0" applyNumberFormat="1" applyFont="1" applyFill="1" applyBorder="1"/>
    <xf numFmtId="0" fontId="32" fillId="0" borderId="0" xfId="0" applyFont="1" applyFill="1" applyBorder="1" applyAlignment="1">
      <alignment horizontal="center"/>
    </xf>
    <xf numFmtId="0" fontId="32" fillId="0" borderId="1" xfId="0" applyFont="1" applyFill="1" applyBorder="1" applyAlignment="1">
      <alignment vertical="center" wrapText="1"/>
    </xf>
    <xf numFmtId="0" fontId="125" fillId="39" borderId="0" xfId="0" applyFont="1" applyFill="1" applyBorder="1" applyAlignment="1">
      <alignment horizontal="right" wrapText="1"/>
    </xf>
    <xf numFmtId="0" fontId="125" fillId="38" borderId="0" xfId="0" applyFont="1" applyFill="1" applyBorder="1"/>
    <xf numFmtId="0" fontId="125" fillId="39" borderId="0" xfId="0" applyFont="1" applyFill="1" applyBorder="1"/>
    <xf numFmtId="0" fontId="125" fillId="38" borderId="0" xfId="0" applyFont="1" applyFill="1" applyBorder="1" applyAlignment="1">
      <alignment wrapText="1"/>
    </xf>
    <xf numFmtId="0" fontId="36" fillId="39" borderId="0" xfId="0" applyFont="1" applyFill="1" applyBorder="1" applyAlignment="1">
      <alignment wrapText="1"/>
    </xf>
    <xf numFmtId="0" fontId="125" fillId="39" borderId="0" xfId="0" applyFont="1" applyFill="1" applyBorder="1" applyAlignment="1">
      <alignment horizontal="left" wrapText="1"/>
    </xf>
    <xf numFmtId="0" fontId="0" fillId="4" borderId="0" xfId="0" applyFill="1" applyBorder="1"/>
    <xf numFmtId="0" fontId="0" fillId="4" borderId="10" xfId="0" applyFill="1" applyBorder="1"/>
    <xf numFmtId="0" fontId="125" fillId="40" borderId="0" xfId="0" applyFont="1" applyFill="1" applyBorder="1" applyAlignment="1">
      <alignment horizontal="left"/>
    </xf>
    <xf numFmtId="2" fontId="0" fillId="25" borderId="0" xfId="0" applyNumberFormat="1" applyFill="1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5" fillId="25" borderId="0" xfId="0" applyFont="1" applyFill="1" applyBorder="1" applyAlignment="1">
      <alignment horizontal="right" wrapText="1"/>
    </xf>
    <xf numFmtId="2" fontId="39" fillId="25" borderId="0" xfId="0" applyNumberFormat="1" applyFont="1" applyFill="1" applyBorder="1" applyAlignment="1">
      <alignment horizontal="center" vertical="center"/>
    </xf>
    <xf numFmtId="0" fontId="0" fillId="25" borderId="0" xfId="0" applyFont="1" applyFill="1" applyBorder="1" applyAlignment="1">
      <alignment horizontal="right" wrapText="1"/>
    </xf>
    <xf numFmtId="0" fontId="35" fillId="25" borderId="0" xfId="0" applyFont="1" applyFill="1" applyBorder="1" applyAlignment="1">
      <alignment wrapText="1"/>
    </xf>
    <xf numFmtId="0" fontId="35" fillId="0" borderId="0" xfId="0" applyFont="1" applyFill="1" applyBorder="1" applyAlignment="1">
      <alignment wrapText="1"/>
    </xf>
    <xf numFmtId="2" fontId="42" fillId="41" borderId="0" xfId="0" applyNumberFormat="1" applyFont="1" applyFill="1" applyBorder="1"/>
    <xf numFmtId="0" fontId="10" fillId="41" borderId="0" xfId="0" applyFont="1" applyFill="1" applyBorder="1"/>
    <xf numFmtId="0" fontId="5" fillId="25" borderId="12" xfId="0" applyFont="1" applyFill="1" applyBorder="1"/>
    <xf numFmtId="0" fontId="5" fillId="25" borderId="13" xfId="0" applyFont="1" applyFill="1" applyBorder="1" applyAlignment="1">
      <alignment wrapText="1"/>
    </xf>
    <xf numFmtId="2" fontId="0" fillId="25" borderId="13" xfId="0" applyNumberFormat="1" applyFill="1" applyBorder="1" applyAlignment="1">
      <alignment horizontal="center" vertical="center"/>
    </xf>
    <xf numFmtId="2" fontId="37" fillId="0" borderId="6" xfId="0" applyNumberFormat="1" applyFont="1" applyBorder="1"/>
    <xf numFmtId="0" fontId="126" fillId="0" borderId="0" xfId="0" applyFont="1"/>
    <xf numFmtId="0" fontId="127" fillId="41" borderId="0" xfId="0" applyFont="1" applyFill="1" applyBorder="1"/>
    <xf numFmtId="0" fontId="128" fillId="41" borderId="0" xfId="0" applyFont="1" applyFill="1" applyBorder="1"/>
    <xf numFmtId="0" fontId="117" fillId="0" borderId="7" xfId="0" applyFont="1" applyBorder="1" applyAlignment="1">
      <alignment horizontal="center" vertical="center"/>
    </xf>
    <xf numFmtId="0" fontId="117" fillId="0" borderId="12" xfId="0" applyFont="1" applyBorder="1" applyAlignment="1">
      <alignment horizontal="center" vertical="center"/>
    </xf>
    <xf numFmtId="0" fontId="117" fillId="0" borderId="8" xfId="0" applyFont="1" applyBorder="1" applyAlignment="1">
      <alignment horizontal="center" vertical="center"/>
    </xf>
    <xf numFmtId="0" fontId="117" fillId="0" borderId="9" xfId="0" applyFont="1" applyBorder="1" applyAlignment="1">
      <alignment horizontal="center" vertical="center"/>
    </xf>
    <xf numFmtId="0" fontId="117" fillId="0" borderId="0" xfId="0" applyFont="1" applyBorder="1" applyAlignment="1">
      <alignment horizontal="center" vertical="center"/>
    </xf>
    <xf numFmtId="0" fontId="117" fillId="0" borderId="10" xfId="0" applyFont="1" applyBorder="1" applyAlignment="1">
      <alignment horizontal="center" vertical="center"/>
    </xf>
    <xf numFmtId="0" fontId="117" fillId="0" borderId="19" xfId="0" applyFont="1" applyBorder="1" applyAlignment="1">
      <alignment horizontal="center" vertical="center"/>
    </xf>
    <xf numFmtId="0" fontId="117" fillId="0" borderId="13" xfId="0" applyFont="1" applyBorder="1" applyAlignment="1">
      <alignment horizontal="center" vertical="center"/>
    </xf>
    <xf numFmtId="0" fontId="117" fillId="0" borderId="14" xfId="0" applyFont="1" applyBorder="1" applyAlignment="1">
      <alignment horizontal="center" vertical="center"/>
    </xf>
    <xf numFmtId="0" fontId="36" fillId="7" borderId="0" xfId="0" applyFont="1" applyFill="1" applyAlignment="1">
      <alignment horizontal="center"/>
    </xf>
    <xf numFmtId="0" fontId="5" fillId="0" borderId="22" xfId="0" applyFont="1" applyBorder="1" applyAlignment="1">
      <alignment horizontal="left" wrapText="1"/>
    </xf>
    <xf numFmtId="0" fontId="5" fillId="0" borderId="0" xfId="0" applyFont="1" applyBorder="1" applyAlignment="1">
      <alignment horizontal="left" wrapText="1"/>
    </xf>
    <xf numFmtId="0" fontId="123" fillId="19" borderId="0" xfId="0" applyFont="1" applyFill="1" applyAlignment="1">
      <alignment horizontal="center"/>
    </xf>
    <xf numFmtId="0" fontId="19" fillId="0" borderId="0" xfId="0" applyFont="1" applyBorder="1" applyAlignment="1">
      <alignment horizontal="left" vertical="top" wrapText="1"/>
    </xf>
    <xf numFmtId="0" fontId="18" fillId="0" borderId="1" xfId="0" applyFont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42" fillId="0" borderId="7" xfId="0" applyFont="1" applyFill="1" applyBorder="1" applyAlignment="1">
      <alignment horizontal="center" vertical="center" wrapText="1"/>
    </xf>
    <xf numFmtId="0" fontId="42" fillId="0" borderId="9" xfId="0" applyFont="1" applyFill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42" fillId="0" borderId="5" xfId="0" applyFont="1" applyFill="1" applyBorder="1" applyAlignment="1">
      <alignment horizontal="center" vertical="center"/>
    </xf>
    <xf numFmtId="0" fontId="42" fillId="0" borderId="15" xfId="0" applyFont="1" applyFill="1" applyBorder="1" applyAlignment="1">
      <alignment horizontal="center" vertical="center"/>
    </xf>
    <xf numFmtId="0" fontId="42" fillId="0" borderId="4" xfId="0" applyFont="1" applyFill="1" applyBorder="1" applyAlignment="1">
      <alignment horizontal="center" vertical="center" wrapText="1"/>
    </xf>
    <xf numFmtId="0" fontId="42" fillId="0" borderId="5" xfId="0" applyFont="1" applyFill="1" applyBorder="1" applyAlignment="1">
      <alignment horizontal="center" vertical="center" wrapText="1"/>
    </xf>
    <xf numFmtId="0" fontId="42" fillId="0" borderId="15" xfId="0" applyFont="1" applyFill="1" applyBorder="1" applyAlignment="1">
      <alignment horizontal="center" vertical="center" wrapText="1"/>
    </xf>
    <xf numFmtId="0" fontId="42" fillId="0" borderId="4" xfId="0" applyFont="1" applyFill="1" applyBorder="1" applyAlignment="1">
      <alignment horizontal="center" vertical="center"/>
    </xf>
    <xf numFmtId="0" fontId="0" fillId="33" borderId="9" xfId="0" applyFill="1" applyBorder="1" applyAlignment="1">
      <alignment horizontal="center" vertical="center"/>
    </xf>
    <xf numFmtId="0" fontId="22" fillId="11" borderId="0" xfId="0" applyFont="1" applyFill="1" applyAlignment="1">
      <alignment horizontal="left" wrapText="1"/>
    </xf>
    <xf numFmtId="0" fontId="22" fillId="11" borderId="0" xfId="0" applyFont="1" applyFill="1" applyBorder="1" applyAlignment="1">
      <alignment horizontal="left"/>
    </xf>
    <xf numFmtId="0" fontId="5" fillId="0" borderId="0" xfId="0" applyFont="1" applyBorder="1" applyAlignment="1">
      <alignment horizontal="center" wrapText="1"/>
    </xf>
    <xf numFmtId="0" fontId="5" fillId="0" borderId="0" xfId="0" applyFont="1" applyBorder="1" applyAlignment="1">
      <alignment horizontal="center"/>
    </xf>
    <xf numFmtId="0" fontId="22" fillId="0" borderId="0" xfId="0" applyFont="1" applyFill="1" applyBorder="1" applyAlignment="1">
      <alignment horizontal="left" wrapText="1"/>
    </xf>
    <xf numFmtId="0" fontId="27" fillId="0" borderId="0" xfId="0" applyFont="1" applyFill="1" applyBorder="1" applyAlignment="1">
      <alignment horizontal="center"/>
    </xf>
    <xf numFmtId="0" fontId="14" fillId="0" borderId="0" xfId="0" applyFont="1" applyFill="1" applyAlignment="1">
      <alignment horizontal="right"/>
    </xf>
    <xf numFmtId="0" fontId="0" fillId="4" borderId="0" xfId="0" applyFill="1" applyAlignment="1">
      <alignment horizontal="center"/>
    </xf>
    <xf numFmtId="0" fontId="22" fillId="19" borderId="0" xfId="0" applyFont="1" applyFill="1" applyAlignment="1">
      <alignment horizontal="center"/>
    </xf>
    <xf numFmtId="0" fontId="24" fillId="7" borderId="0" xfId="0" applyFont="1" applyFill="1" applyAlignment="1">
      <alignment horizontal="center"/>
    </xf>
  </cellXfs>
  <cellStyles count="1926">
    <cellStyle name="Comma" xfId="691" builtinId="3"/>
    <cellStyle name="Currency" xfId="684" builtinId="4"/>
    <cellStyle name="Currency 2" xfId="1587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Followed Hyperlink" xfId="659" builtinId="9" hidden="1"/>
    <cellStyle name="Followed Hyperlink" xfId="661" builtinId="9" hidden="1"/>
    <cellStyle name="Followed Hyperlink" xfId="663" builtinId="9" hidden="1"/>
    <cellStyle name="Followed Hyperlink" xfId="665" builtinId="9" hidden="1"/>
    <cellStyle name="Followed Hyperlink" xfId="667" builtinId="9" hidden="1"/>
    <cellStyle name="Followed Hyperlink" xfId="669" builtinId="9" hidden="1"/>
    <cellStyle name="Followed Hyperlink" xfId="671" builtinId="9" hidden="1"/>
    <cellStyle name="Followed Hyperlink" xfId="673" builtinId="9" hidden="1"/>
    <cellStyle name="Followed Hyperlink" xfId="675" builtinId="9" hidden="1"/>
    <cellStyle name="Followed Hyperlink" xfId="677" builtinId="9" hidden="1"/>
    <cellStyle name="Followed Hyperlink" xfId="679" builtinId="9" hidden="1"/>
    <cellStyle name="Followed Hyperlink" xfId="681" builtinId="9" hidden="1"/>
    <cellStyle name="Followed Hyperlink" xfId="683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3" builtinId="9" hidden="1"/>
    <cellStyle name="Followed Hyperlink" xfId="695" builtinId="9" hidden="1"/>
    <cellStyle name="Followed Hyperlink" xfId="697" builtinId="9" hidden="1"/>
    <cellStyle name="Followed Hyperlink" xfId="699" builtinId="9" hidden="1"/>
    <cellStyle name="Followed Hyperlink" xfId="701" builtinId="9" hidden="1"/>
    <cellStyle name="Followed Hyperlink" xfId="703" builtinId="9" hidden="1"/>
    <cellStyle name="Followed Hyperlink" xfId="705" builtinId="9" hidden="1"/>
    <cellStyle name="Followed Hyperlink" xfId="707" builtinId="9" hidden="1"/>
    <cellStyle name="Followed Hyperlink" xfId="709" builtinId="9" hidden="1"/>
    <cellStyle name="Followed Hyperlink" xfId="711" builtinId="9" hidden="1"/>
    <cellStyle name="Followed Hyperlink" xfId="713" builtinId="9" hidden="1"/>
    <cellStyle name="Followed Hyperlink" xfId="715" builtinId="9" hidden="1"/>
    <cellStyle name="Followed Hyperlink" xfId="717" builtinId="9" hidden="1"/>
    <cellStyle name="Followed Hyperlink" xfId="719" builtinId="9" hidden="1"/>
    <cellStyle name="Followed Hyperlink" xfId="721" builtinId="9" hidden="1"/>
    <cellStyle name="Followed Hyperlink" xfId="723" builtinId="9" hidden="1"/>
    <cellStyle name="Followed Hyperlink" xfId="725" builtinId="9" hidden="1"/>
    <cellStyle name="Followed Hyperlink" xfId="727" builtinId="9" hidden="1"/>
    <cellStyle name="Followed Hyperlink" xfId="729" builtinId="9" hidden="1"/>
    <cellStyle name="Followed Hyperlink" xfId="731" builtinId="9" hidden="1"/>
    <cellStyle name="Followed Hyperlink" xfId="733" builtinId="9" hidden="1"/>
    <cellStyle name="Followed Hyperlink" xfId="735" builtinId="9" hidden="1"/>
    <cellStyle name="Followed Hyperlink" xfId="737" builtinId="9" hidden="1"/>
    <cellStyle name="Followed Hyperlink" xfId="739" builtinId="9" hidden="1"/>
    <cellStyle name="Followed Hyperlink" xfId="741" builtinId="9" hidden="1"/>
    <cellStyle name="Followed Hyperlink" xfId="743" builtinId="9" hidden="1"/>
    <cellStyle name="Followed Hyperlink" xfId="745" builtinId="9" hidden="1"/>
    <cellStyle name="Followed Hyperlink" xfId="747" builtinId="9" hidden="1"/>
    <cellStyle name="Followed Hyperlink" xfId="749" builtinId="9" hidden="1"/>
    <cellStyle name="Followed Hyperlink" xfId="751" builtinId="9" hidden="1"/>
    <cellStyle name="Followed Hyperlink" xfId="753" builtinId="9" hidden="1"/>
    <cellStyle name="Followed Hyperlink" xfId="755" builtinId="9" hidden="1"/>
    <cellStyle name="Followed Hyperlink" xfId="757" builtinId="9" hidden="1"/>
    <cellStyle name="Followed Hyperlink" xfId="759" builtinId="9" hidden="1"/>
    <cellStyle name="Followed Hyperlink" xfId="761" builtinId="9" hidden="1"/>
    <cellStyle name="Followed Hyperlink" xfId="763" builtinId="9" hidden="1"/>
    <cellStyle name="Followed Hyperlink" xfId="765" builtinId="9" hidden="1"/>
    <cellStyle name="Followed Hyperlink" xfId="767" builtinId="9" hidden="1"/>
    <cellStyle name="Followed Hyperlink" xfId="769" builtinId="9" hidden="1"/>
    <cellStyle name="Followed Hyperlink" xfId="771" builtinId="9" hidden="1"/>
    <cellStyle name="Followed Hyperlink" xfId="773" builtinId="9" hidden="1"/>
    <cellStyle name="Followed Hyperlink" xfId="775" builtinId="9" hidden="1"/>
    <cellStyle name="Followed Hyperlink" xfId="777" builtinId="9" hidden="1"/>
    <cellStyle name="Followed Hyperlink" xfId="779" builtinId="9" hidden="1"/>
    <cellStyle name="Followed Hyperlink" xfId="781" builtinId="9" hidden="1"/>
    <cellStyle name="Followed Hyperlink" xfId="783" builtinId="9" hidden="1"/>
    <cellStyle name="Followed Hyperlink" xfId="785" builtinId="9" hidden="1"/>
    <cellStyle name="Followed Hyperlink" xfId="787" builtinId="9" hidden="1"/>
    <cellStyle name="Followed Hyperlink" xfId="789" builtinId="9" hidden="1"/>
    <cellStyle name="Followed Hyperlink" xfId="791" builtinId="9" hidden="1"/>
    <cellStyle name="Followed Hyperlink" xfId="793" builtinId="9" hidden="1"/>
    <cellStyle name="Followed Hyperlink" xfId="795" builtinId="9" hidden="1"/>
    <cellStyle name="Followed Hyperlink" xfId="797" builtinId="9" hidden="1"/>
    <cellStyle name="Followed Hyperlink" xfId="799" builtinId="9" hidden="1"/>
    <cellStyle name="Followed Hyperlink" xfId="801" builtinId="9" hidden="1"/>
    <cellStyle name="Followed Hyperlink" xfId="803" builtinId="9" hidden="1"/>
    <cellStyle name="Followed Hyperlink" xfId="805" builtinId="9" hidden="1"/>
    <cellStyle name="Followed Hyperlink" xfId="807" builtinId="9" hidden="1"/>
    <cellStyle name="Followed Hyperlink" xfId="809" builtinId="9" hidden="1"/>
    <cellStyle name="Followed Hyperlink" xfId="811" builtinId="9" hidden="1"/>
    <cellStyle name="Followed Hyperlink" xfId="813" builtinId="9" hidden="1"/>
    <cellStyle name="Followed Hyperlink" xfId="815" builtinId="9" hidden="1"/>
    <cellStyle name="Followed Hyperlink" xfId="817" builtinId="9" hidden="1"/>
    <cellStyle name="Followed Hyperlink" xfId="819" builtinId="9" hidden="1"/>
    <cellStyle name="Followed Hyperlink" xfId="821" builtinId="9" hidden="1"/>
    <cellStyle name="Followed Hyperlink" xfId="823" builtinId="9" hidden="1"/>
    <cellStyle name="Followed Hyperlink" xfId="825" builtinId="9" hidden="1"/>
    <cellStyle name="Followed Hyperlink" xfId="827" builtinId="9" hidden="1"/>
    <cellStyle name="Followed Hyperlink" xfId="829" builtinId="9" hidden="1"/>
    <cellStyle name="Followed Hyperlink" xfId="831" builtinId="9" hidden="1"/>
    <cellStyle name="Followed Hyperlink" xfId="833" builtinId="9" hidden="1"/>
    <cellStyle name="Followed Hyperlink" xfId="835" builtinId="9" hidden="1"/>
    <cellStyle name="Followed Hyperlink" xfId="837" builtinId="9" hidden="1"/>
    <cellStyle name="Followed Hyperlink" xfId="839" builtinId="9" hidden="1"/>
    <cellStyle name="Followed Hyperlink" xfId="841" builtinId="9" hidden="1"/>
    <cellStyle name="Followed Hyperlink" xfId="843" builtinId="9" hidden="1"/>
    <cellStyle name="Followed Hyperlink" xfId="845" builtinId="9" hidden="1"/>
    <cellStyle name="Followed Hyperlink" xfId="847" builtinId="9" hidden="1"/>
    <cellStyle name="Followed Hyperlink" xfId="849" builtinId="9" hidden="1"/>
    <cellStyle name="Followed Hyperlink" xfId="851" builtinId="9" hidden="1"/>
    <cellStyle name="Followed Hyperlink" xfId="853" builtinId="9" hidden="1"/>
    <cellStyle name="Followed Hyperlink" xfId="855" builtinId="9" hidden="1"/>
    <cellStyle name="Followed Hyperlink" xfId="857" builtinId="9" hidden="1"/>
    <cellStyle name="Followed Hyperlink" xfId="859" builtinId="9" hidden="1"/>
    <cellStyle name="Followed Hyperlink" xfId="861" builtinId="9" hidden="1"/>
    <cellStyle name="Followed Hyperlink" xfId="863" builtinId="9" hidden="1"/>
    <cellStyle name="Followed Hyperlink" xfId="865" builtinId="9" hidden="1"/>
    <cellStyle name="Followed Hyperlink" xfId="867" builtinId="9" hidden="1"/>
    <cellStyle name="Followed Hyperlink" xfId="869" builtinId="9" hidden="1"/>
    <cellStyle name="Followed Hyperlink" xfId="871" builtinId="9" hidden="1"/>
    <cellStyle name="Followed Hyperlink" xfId="873" builtinId="9" hidden="1"/>
    <cellStyle name="Followed Hyperlink" xfId="875" builtinId="9" hidden="1"/>
    <cellStyle name="Followed Hyperlink" xfId="877" builtinId="9" hidden="1"/>
    <cellStyle name="Followed Hyperlink" xfId="879" builtinId="9" hidden="1"/>
    <cellStyle name="Followed Hyperlink" xfId="881" builtinId="9" hidden="1"/>
    <cellStyle name="Followed Hyperlink" xfId="883" builtinId="9" hidden="1"/>
    <cellStyle name="Followed Hyperlink" xfId="885" builtinId="9" hidden="1"/>
    <cellStyle name="Followed Hyperlink" xfId="887" builtinId="9" hidden="1"/>
    <cellStyle name="Followed Hyperlink" xfId="889" builtinId="9" hidden="1"/>
    <cellStyle name="Followed Hyperlink" xfId="891" builtinId="9" hidden="1"/>
    <cellStyle name="Followed Hyperlink" xfId="893" builtinId="9" hidden="1"/>
    <cellStyle name="Followed Hyperlink" xfId="895" builtinId="9" hidden="1"/>
    <cellStyle name="Followed Hyperlink" xfId="897" builtinId="9" hidden="1"/>
    <cellStyle name="Followed Hyperlink" xfId="899" builtinId="9" hidden="1"/>
    <cellStyle name="Followed Hyperlink" xfId="901" builtinId="9" hidden="1"/>
    <cellStyle name="Followed Hyperlink" xfId="903" builtinId="9" hidden="1"/>
    <cellStyle name="Followed Hyperlink" xfId="905" builtinId="9" hidden="1"/>
    <cellStyle name="Followed Hyperlink" xfId="907" builtinId="9" hidden="1"/>
    <cellStyle name="Followed Hyperlink" xfId="909" builtinId="9" hidden="1"/>
    <cellStyle name="Followed Hyperlink" xfId="911" builtinId="9" hidden="1"/>
    <cellStyle name="Followed Hyperlink" xfId="913" builtinId="9" hidden="1"/>
    <cellStyle name="Followed Hyperlink" xfId="915" builtinId="9" hidden="1"/>
    <cellStyle name="Followed Hyperlink" xfId="917" builtinId="9" hidden="1"/>
    <cellStyle name="Followed Hyperlink" xfId="919" builtinId="9" hidden="1"/>
    <cellStyle name="Followed Hyperlink" xfId="921" builtinId="9" hidden="1"/>
    <cellStyle name="Followed Hyperlink" xfId="923" builtinId="9" hidden="1"/>
    <cellStyle name="Followed Hyperlink" xfId="925" builtinId="9" hidden="1"/>
    <cellStyle name="Followed Hyperlink" xfId="927" builtinId="9" hidden="1"/>
    <cellStyle name="Followed Hyperlink" xfId="929" builtinId="9" hidden="1"/>
    <cellStyle name="Followed Hyperlink" xfId="931" builtinId="9" hidden="1"/>
    <cellStyle name="Followed Hyperlink" xfId="933" builtinId="9" hidden="1"/>
    <cellStyle name="Followed Hyperlink" xfId="935" builtinId="9" hidden="1"/>
    <cellStyle name="Followed Hyperlink" xfId="937" builtinId="9" hidden="1"/>
    <cellStyle name="Followed Hyperlink" xfId="939" builtinId="9" hidden="1"/>
    <cellStyle name="Followed Hyperlink" xfId="941" builtinId="9" hidden="1"/>
    <cellStyle name="Followed Hyperlink" xfId="943" builtinId="9" hidden="1"/>
    <cellStyle name="Followed Hyperlink" xfId="945" builtinId="9" hidden="1"/>
    <cellStyle name="Followed Hyperlink" xfId="947" builtinId="9" hidden="1"/>
    <cellStyle name="Followed Hyperlink" xfId="949" builtinId="9" hidden="1"/>
    <cellStyle name="Followed Hyperlink" xfId="951" builtinId="9" hidden="1"/>
    <cellStyle name="Followed Hyperlink" xfId="953" builtinId="9" hidden="1"/>
    <cellStyle name="Followed Hyperlink" xfId="955" builtinId="9" hidden="1"/>
    <cellStyle name="Followed Hyperlink" xfId="957" builtinId="9" hidden="1"/>
    <cellStyle name="Followed Hyperlink" xfId="959" builtinId="9" hidden="1"/>
    <cellStyle name="Followed Hyperlink" xfId="961" builtinId="9" hidden="1"/>
    <cellStyle name="Followed Hyperlink" xfId="963" builtinId="9" hidden="1"/>
    <cellStyle name="Followed Hyperlink" xfId="965" builtinId="9" hidden="1"/>
    <cellStyle name="Followed Hyperlink" xfId="967" builtinId="9" hidden="1"/>
    <cellStyle name="Followed Hyperlink" xfId="969" builtinId="9" hidden="1"/>
    <cellStyle name="Followed Hyperlink" xfId="971" builtinId="9" hidden="1"/>
    <cellStyle name="Followed Hyperlink" xfId="973" builtinId="9" hidden="1"/>
    <cellStyle name="Followed Hyperlink" xfId="975" builtinId="9" hidden="1"/>
    <cellStyle name="Followed Hyperlink" xfId="977" builtinId="9" hidden="1"/>
    <cellStyle name="Followed Hyperlink" xfId="979" builtinId="9" hidden="1"/>
    <cellStyle name="Followed Hyperlink" xfId="981" builtinId="9" hidden="1"/>
    <cellStyle name="Followed Hyperlink" xfId="983" builtinId="9" hidden="1"/>
    <cellStyle name="Followed Hyperlink" xfId="985" builtinId="9" hidden="1"/>
    <cellStyle name="Followed Hyperlink" xfId="987" builtinId="9" hidden="1"/>
    <cellStyle name="Followed Hyperlink" xfId="989" builtinId="9" hidden="1"/>
    <cellStyle name="Followed Hyperlink" xfId="991" builtinId="9" hidden="1"/>
    <cellStyle name="Followed Hyperlink" xfId="993" builtinId="9" hidden="1"/>
    <cellStyle name="Followed Hyperlink" xfId="995" builtinId="9" hidden="1"/>
    <cellStyle name="Followed Hyperlink" xfId="997" builtinId="9" hidden="1"/>
    <cellStyle name="Followed Hyperlink" xfId="999" builtinId="9" hidden="1"/>
    <cellStyle name="Followed Hyperlink" xfId="1001" builtinId="9" hidden="1"/>
    <cellStyle name="Followed Hyperlink" xfId="1003" builtinId="9" hidden="1"/>
    <cellStyle name="Followed Hyperlink" xfId="1005" builtinId="9" hidden="1"/>
    <cellStyle name="Followed Hyperlink" xfId="1007" builtinId="9" hidden="1"/>
    <cellStyle name="Followed Hyperlink" xfId="1009" builtinId="9" hidden="1"/>
    <cellStyle name="Followed Hyperlink" xfId="1011" builtinId="9" hidden="1"/>
    <cellStyle name="Followed Hyperlink" xfId="1013" builtinId="9" hidden="1"/>
    <cellStyle name="Followed Hyperlink" xfId="1015" builtinId="9" hidden="1"/>
    <cellStyle name="Followed Hyperlink" xfId="1017" builtinId="9" hidden="1"/>
    <cellStyle name="Followed Hyperlink" xfId="1019" builtinId="9" hidden="1"/>
    <cellStyle name="Followed Hyperlink" xfId="1021" builtinId="9" hidden="1"/>
    <cellStyle name="Followed Hyperlink" xfId="1023" builtinId="9" hidden="1"/>
    <cellStyle name="Followed Hyperlink" xfId="1025" builtinId="9" hidden="1"/>
    <cellStyle name="Followed Hyperlink" xfId="1027" builtinId="9" hidden="1"/>
    <cellStyle name="Followed Hyperlink" xfId="1029" builtinId="9" hidden="1"/>
    <cellStyle name="Followed Hyperlink" xfId="1031" builtinId="9" hidden="1"/>
    <cellStyle name="Followed Hyperlink" xfId="1033" builtinId="9" hidden="1"/>
    <cellStyle name="Followed Hyperlink" xfId="1035" builtinId="9" hidden="1"/>
    <cellStyle name="Followed Hyperlink" xfId="1037" builtinId="9" hidden="1"/>
    <cellStyle name="Followed Hyperlink" xfId="1039" builtinId="9" hidden="1"/>
    <cellStyle name="Followed Hyperlink" xfId="1041" builtinId="9" hidden="1"/>
    <cellStyle name="Followed Hyperlink" xfId="1043" builtinId="9" hidden="1"/>
    <cellStyle name="Followed Hyperlink" xfId="1045" builtinId="9" hidden="1"/>
    <cellStyle name="Followed Hyperlink" xfId="1047" builtinId="9" hidden="1"/>
    <cellStyle name="Followed Hyperlink" xfId="1049" builtinId="9" hidden="1"/>
    <cellStyle name="Followed Hyperlink" xfId="1051" builtinId="9" hidden="1"/>
    <cellStyle name="Followed Hyperlink" xfId="1053" builtinId="9" hidden="1"/>
    <cellStyle name="Followed Hyperlink" xfId="1055" builtinId="9" hidden="1"/>
    <cellStyle name="Followed Hyperlink" xfId="1057" builtinId="9" hidden="1"/>
    <cellStyle name="Followed Hyperlink" xfId="1059" builtinId="9" hidden="1"/>
    <cellStyle name="Followed Hyperlink" xfId="1061" builtinId="9" hidden="1"/>
    <cellStyle name="Followed Hyperlink" xfId="1063" builtinId="9" hidden="1"/>
    <cellStyle name="Followed Hyperlink" xfId="1065" builtinId="9" hidden="1"/>
    <cellStyle name="Followed Hyperlink" xfId="1067" builtinId="9" hidden="1"/>
    <cellStyle name="Followed Hyperlink" xfId="1069" builtinId="9" hidden="1"/>
    <cellStyle name="Followed Hyperlink" xfId="1071" builtinId="9" hidden="1"/>
    <cellStyle name="Followed Hyperlink" xfId="1073" builtinId="9" hidden="1"/>
    <cellStyle name="Followed Hyperlink" xfId="1075" builtinId="9" hidden="1"/>
    <cellStyle name="Followed Hyperlink" xfId="1077" builtinId="9" hidden="1"/>
    <cellStyle name="Followed Hyperlink" xfId="1079" builtinId="9" hidden="1"/>
    <cellStyle name="Followed Hyperlink" xfId="1081" builtinId="9" hidden="1"/>
    <cellStyle name="Followed Hyperlink" xfId="1083" builtinId="9" hidden="1"/>
    <cellStyle name="Followed Hyperlink" xfId="1085" builtinId="9" hidden="1"/>
    <cellStyle name="Followed Hyperlink" xfId="1087" builtinId="9" hidden="1"/>
    <cellStyle name="Followed Hyperlink" xfId="1089" builtinId="9" hidden="1"/>
    <cellStyle name="Followed Hyperlink" xfId="1091" builtinId="9" hidden="1"/>
    <cellStyle name="Followed Hyperlink" xfId="1093" builtinId="9" hidden="1"/>
    <cellStyle name="Followed Hyperlink" xfId="1095" builtinId="9" hidden="1"/>
    <cellStyle name="Followed Hyperlink" xfId="1097" builtinId="9" hidden="1"/>
    <cellStyle name="Followed Hyperlink" xfId="1099" builtinId="9" hidden="1"/>
    <cellStyle name="Followed Hyperlink" xfId="1101" builtinId="9" hidden="1"/>
    <cellStyle name="Followed Hyperlink" xfId="1103" builtinId="9" hidden="1"/>
    <cellStyle name="Followed Hyperlink" xfId="1105" builtinId="9" hidden="1"/>
    <cellStyle name="Followed Hyperlink" xfId="1107" builtinId="9" hidden="1"/>
    <cellStyle name="Followed Hyperlink" xfId="1109" builtinId="9" hidden="1"/>
    <cellStyle name="Followed Hyperlink" xfId="1111" builtinId="9" hidden="1"/>
    <cellStyle name="Followed Hyperlink" xfId="1113" builtinId="9" hidden="1"/>
    <cellStyle name="Followed Hyperlink" xfId="1115" builtinId="9" hidden="1"/>
    <cellStyle name="Followed Hyperlink" xfId="1117" builtinId="9" hidden="1"/>
    <cellStyle name="Followed Hyperlink" xfId="1119" builtinId="9" hidden="1"/>
    <cellStyle name="Followed Hyperlink" xfId="1121" builtinId="9" hidden="1"/>
    <cellStyle name="Followed Hyperlink" xfId="1123" builtinId="9" hidden="1"/>
    <cellStyle name="Followed Hyperlink" xfId="1125" builtinId="9" hidden="1"/>
    <cellStyle name="Followed Hyperlink" xfId="1127" builtinId="9" hidden="1"/>
    <cellStyle name="Followed Hyperlink" xfId="1129" builtinId="9" hidden="1"/>
    <cellStyle name="Followed Hyperlink" xfId="1131" builtinId="9" hidden="1"/>
    <cellStyle name="Followed Hyperlink" xfId="1133" builtinId="9" hidden="1"/>
    <cellStyle name="Followed Hyperlink" xfId="1135" builtinId="9" hidden="1"/>
    <cellStyle name="Followed Hyperlink" xfId="1137" builtinId="9" hidden="1"/>
    <cellStyle name="Followed Hyperlink" xfId="1139" builtinId="9" hidden="1"/>
    <cellStyle name="Followed Hyperlink" xfId="1141" builtinId="9" hidden="1"/>
    <cellStyle name="Followed Hyperlink" xfId="1143" builtinId="9" hidden="1"/>
    <cellStyle name="Followed Hyperlink" xfId="1145" builtinId="9" hidden="1"/>
    <cellStyle name="Followed Hyperlink" xfId="1147" builtinId="9" hidden="1"/>
    <cellStyle name="Followed Hyperlink" xfId="1149" builtinId="9" hidden="1"/>
    <cellStyle name="Followed Hyperlink" xfId="1151" builtinId="9" hidden="1"/>
    <cellStyle name="Followed Hyperlink" xfId="1153" builtinId="9" hidden="1"/>
    <cellStyle name="Followed Hyperlink" xfId="1155" builtinId="9" hidden="1"/>
    <cellStyle name="Followed Hyperlink" xfId="1157" builtinId="9" hidden="1"/>
    <cellStyle name="Followed Hyperlink" xfId="1159" builtinId="9" hidden="1"/>
    <cellStyle name="Followed Hyperlink" xfId="1161" builtinId="9" hidden="1"/>
    <cellStyle name="Followed Hyperlink" xfId="1163" builtinId="9" hidden="1"/>
    <cellStyle name="Followed Hyperlink" xfId="1165" builtinId="9" hidden="1"/>
    <cellStyle name="Followed Hyperlink" xfId="1167" builtinId="9" hidden="1"/>
    <cellStyle name="Followed Hyperlink" xfId="1169" builtinId="9" hidden="1"/>
    <cellStyle name="Followed Hyperlink" xfId="1171" builtinId="9" hidden="1"/>
    <cellStyle name="Followed Hyperlink" xfId="1173" builtinId="9" hidden="1"/>
    <cellStyle name="Followed Hyperlink" xfId="1175" builtinId="9" hidden="1"/>
    <cellStyle name="Followed Hyperlink" xfId="1177" builtinId="9" hidden="1"/>
    <cellStyle name="Followed Hyperlink" xfId="1179" builtinId="9" hidden="1"/>
    <cellStyle name="Followed Hyperlink" xfId="1181" builtinId="9" hidden="1"/>
    <cellStyle name="Followed Hyperlink" xfId="1183" builtinId="9" hidden="1"/>
    <cellStyle name="Followed Hyperlink" xfId="1185" builtinId="9" hidden="1"/>
    <cellStyle name="Followed Hyperlink" xfId="1187" builtinId="9" hidden="1"/>
    <cellStyle name="Followed Hyperlink" xfId="1189" builtinId="9" hidden="1"/>
    <cellStyle name="Followed Hyperlink" xfId="1191" builtinId="9" hidden="1"/>
    <cellStyle name="Followed Hyperlink" xfId="1193" builtinId="9" hidden="1"/>
    <cellStyle name="Followed Hyperlink" xfId="1195" builtinId="9" hidden="1"/>
    <cellStyle name="Followed Hyperlink" xfId="1197" builtinId="9" hidden="1"/>
    <cellStyle name="Followed Hyperlink" xfId="1199" builtinId="9" hidden="1"/>
    <cellStyle name="Followed Hyperlink" xfId="1201" builtinId="9" hidden="1"/>
    <cellStyle name="Followed Hyperlink" xfId="1203" builtinId="9" hidden="1"/>
    <cellStyle name="Followed Hyperlink" xfId="1205" builtinId="9" hidden="1"/>
    <cellStyle name="Followed Hyperlink" xfId="1207" builtinId="9" hidden="1"/>
    <cellStyle name="Followed Hyperlink" xfId="1209" builtinId="9" hidden="1"/>
    <cellStyle name="Followed Hyperlink" xfId="1211" builtinId="9" hidden="1"/>
    <cellStyle name="Followed Hyperlink" xfId="1213" builtinId="9" hidden="1"/>
    <cellStyle name="Followed Hyperlink" xfId="1215" builtinId="9" hidden="1"/>
    <cellStyle name="Followed Hyperlink" xfId="1217" builtinId="9" hidden="1"/>
    <cellStyle name="Followed Hyperlink" xfId="1219" builtinId="9" hidden="1"/>
    <cellStyle name="Followed Hyperlink" xfId="1221" builtinId="9" hidden="1"/>
    <cellStyle name="Followed Hyperlink" xfId="1223" builtinId="9" hidden="1"/>
    <cellStyle name="Followed Hyperlink" xfId="1225" builtinId="9" hidden="1"/>
    <cellStyle name="Followed Hyperlink" xfId="1227" builtinId="9" hidden="1"/>
    <cellStyle name="Followed Hyperlink" xfId="1229" builtinId="9" hidden="1"/>
    <cellStyle name="Followed Hyperlink" xfId="1231" builtinId="9" hidden="1"/>
    <cellStyle name="Followed Hyperlink" xfId="1233" builtinId="9" hidden="1"/>
    <cellStyle name="Followed Hyperlink" xfId="1235" builtinId="9" hidden="1"/>
    <cellStyle name="Followed Hyperlink" xfId="1237" builtinId="9" hidden="1"/>
    <cellStyle name="Followed Hyperlink" xfId="1239" builtinId="9" hidden="1"/>
    <cellStyle name="Followed Hyperlink" xfId="1241" builtinId="9" hidden="1"/>
    <cellStyle name="Followed Hyperlink" xfId="1243" builtinId="9" hidden="1"/>
    <cellStyle name="Followed Hyperlink" xfId="1245" builtinId="9" hidden="1"/>
    <cellStyle name="Followed Hyperlink" xfId="1247" builtinId="9" hidden="1"/>
    <cellStyle name="Followed Hyperlink" xfId="1249" builtinId="9" hidden="1"/>
    <cellStyle name="Followed Hyperlink" xfId="1251" builtinId="9" hidden="1"/>
    <cellStyle name="Followed Hyperlink" xfId="1253" builtinId="9" hidden="1"/>
    <cellStyle name="Followed Hyperlink" xfId="1255" builtinId="9" hidden="1"/>
    <cellStyle name="Followed Hyperlink" xfId="1257" builtinId="9" hidden="1"/>
    <cellStyle name="Followed Hyperlink" xfId="1259" builtinId="9" hidden="1"/>
    <cellStyle name="Followed Hyperlink" xfId="1261" builtinId="9" hidden="1"/>
    <cellStyle name="Followed Hyperlink" xfId="1263" builtinId="9" hidden="1"/>
    <cellStyle name="Followed Hyperlink" xfId="1265" builtinId="9" hidden="1"/>
    <cellStyle name="Followed Hyperlink" xfId="1267" builtinId="9" hidden="1"/>
    <cellStyle name="Followed Hyperlink" xfId="1269" builtinId="9" hidden="1"/>
    <cellStyle name="Followed Hyperlink" xfId="1271" builtinId="9" hidden="1"/>
    <cellStyle name="Followed Hyperlink" xfId="1273" builtinId="9" hidden="1"/>
    <cellStyle name="Followed Hyperlink" xfId="1275" builtinId="9" hidden="1"/>
    <cellStyle name="Followed Hyperlink" xfId="1277" builtinId="9" hidden="1"/>
    <cellStyle name="Followed Hyperlink" xfId="1279" builtinId="9" hidden="1"/>
    <cellStyle name="Followed Hyperlink" xfId="1281" builtinId="9" hidden="1"/>
    <cellStyle name="Followed Hyperlink" xfId="1283" builtinId="9" hidden="1"/>
    <cellStyle name="Followed Hyperlink" xfId="1285" builtinId="9" hidden="1"/>
    <cellStyle name="Followed Hyperlink" xfId="1287" builtinId="9" hidden="1"/>
    <cellStyle name="Followed Hyperlink" xfId="1289" builtinId="9" hidden="1"/>
    <cellStyle name="Followed Hyperlink" xfId="1291" builtinId="9" hidden="1"/>
    <cellStyle name="Followed Hyperlink" xfId="1293" builtinId="9" hidden="1"/>
    <cellStyle name="Followed Hyperlink" xfId="1295" builtinId="9" hidden="1"/>
    <cellStyle name="Followed Hyperlink" xfId="1297" builtinId="9" hidden="1"/>
    <cellStyle name="Followed Hyperlink" xfId="1299" builtinId="9" hidden="1"/>
    <cellStyle name="Followed Hyperlink" xfId="1301" builtinId="9" hidden="1"/>
    <cellStyle name="Followed Hyperlink" xfId="1303" builtinId="9" hidden="1"/>
    <cellStyle name="Followed Hyperlink" xfId="1305" builtinId="9" hidden="1"/>
    <cellStyle name="Followed Hyperlink" xfId="1307" builtinId="9" hidden="1"/>
    <cellStyle name="Followed Hyperlink" xfId="1309" builtinId="9" hidden="1"/>
    <cellStyle name="Followed Hyperlink" xfId="1311" builtinId="9" hidden="1"/>
    <cellStyle name="Followed Hyperlink" xfId="1313" builtinId="9" hidden="1"/>
    <cellStyle name="Followed Hyperlink" xfId="1315" builtinId="9" hidden="1"/>
    <cellStyle name="Followed Hyperlink" xfId="1317" builtinId="9" hidden="1"/>
    <cellStyle name="Followed Hyperlink" xfId="1319" builtinId="9" hidden="1"/>
    <cellStyle name="Followed Hyperlink" xfId="1321" builtinId="9" hidden="1"/>
    <cellStyle name="Followed Hyperlink" xfId="1323" builtinId="9" hidden="1"/>
    <cellStyle name="Followed Hyperlink" xfId="1325" builtinId="9" hidden="1"/>
    <cellStyle name="Followed Hyperlink" xfId="1327" builtinId="9" hidden="1"/>
    <cellStyle name="Followed Hyperlink" xfId="1329" builtinId="9" hidden="1"/>
    <cellStyle name="Followed Hyperlink" xfId="1331" builtinId="9" hidden="1"/>
    <cellStyle name="Followed Hyperlink" xfId="1333" builtinId="9" hidden="1"/>
    <cellStyle name="Followed Hyperlink" xfId="1335" builtinId="9" hidden="1"/>
    <cellStyle name="Followed Hyperlink" xfId="1337" builtinId="9" hidden="1"/>
    <cellStyle name="Followed Hyperlink" xfId="1339" builtinId="9" hidden="1"/>
    <cellStyle name="Followed Hyperlink" xfId="1341" builtinId="9" hidden="1"/>
    <cellStyle name="Followed Hyperlink" xfId="1343" builtinId="9" hidden="1"/>
    <cellStyle name="Followed Hyperlink" xfId="1345" builtinId="9" hidden="1"/>
    <cellStyle name="Followed Hyperlink" xfId="1347" builtinId="9" hidden="1"/>
    <cellStyle name="Followed Hyperlink" xfId="1349" builtinId="9" hidden="1"/>
    <cellStyle name="Followed Hyperlink" xfId="1351" builtinId="9" hidden="1"/>
    <cellStyle name="Followed Hyperlink" xfId="1353" builtinId="9" hidden="1"/>
    <cellStyle name="Followed Hyperlink" xfId="1355" builtinId="9" hidden="1"/>
    <cellStyle name="Followed Hyperlink" xfId="1357" builtinId="9" hidden="1"/>
    <cellStyle name="Followed Hyperlink" xfId="1359" builtinId="9" hidden="1"/>
    <cellStyle name="Followed Hyperlink" xfId="1361" builtinId="9" hidden="1"/>
    <cellStyle name="Followed Hyperlink" xfId="1363" builtinId="9" hidden="1"/>
    <cellStyle name="Followed Hyperlink" xfId="1365" builtinId="9" hidden="1"/>
    <cellStyle name="Followed Hyperlink" xfId="1367" builtinId="9" hidden="1"/>
    <cellStyle name="Followed Hyperlink" xfId="1369" builtinId="9" hidden="1"/>
    <cellStyle name="Followed Hyperlink" xfId="1371" builtinId="9" hidden="1"/>
    <cellStyle name="Followed Hyperlink" xfId="1373" builtinId="9" hidden="1"/>
    <cellStyle name="Followed Hyperlink" xfId="1375" builtinId="9" hidden="1"/>
    <cellStyle name="Followed Hyperlink" xfId="1377" builtinId="9" hidden="1"/>
    <cellStyle name="Followed Hyperlink" xfId="1379" builtinId="9" hidden="1"/>
    <cellStyle name="Followed Hyperlink" xfId="1381" builtinId="9" hidden="1"/>
    <cellStyle name="Followed Hyperlink" xfId="1383" builtinId="9" hidden="1"/>
    <cellStyle name="Followed Hyperlink" xfId="1385" builtinId="9" hidden="1"/>
    <cellStyle name="Followed Hyperlink" xfId="1387" builtinId="9" hidden="1"/>
    <cellStyle name="Followed Hyperlink" xfId="1389" builtinId="9" hidden="1"/>
    <cellStyle name="Followed Hyperlink" xfId="1391" builtinId="9" hidden="1"/>
    <cellStyle name="Followed Hyperlink" xfId="1393" builtinId="9" hidden="1"/>
    <cellStyle name="Followed Hyperlink" xfId="1395" builtinId="9" hidden="1"/>
    <cellStyle name="Followed Hyperlink" xfId="1397" builtinId="9" hidden="1"/>
    <cellStyle name="Followed Hyperlink" xfId="1399" builtinId="9" hidden="1"/>
    <cellStyle name="Followed Hyperlink" xfId="1401" builtinId="9" hidden="1"/>
    <cellStyle name="Followed Hyperlink" xfId="1403" builtinId="9" hidden="1"/>
    <cellStyle name="Followed Hyperlink" xfId="1405" builtinId="9" hidden="1"/>
    <cellStyle name="Followed Hyperlink" xfId="1407" builtinId="9" hidden="1"/>
    <cellStyle name="Followed Hyperlink" xfId="1409" builtinId="9" hidden="1"/>
    <cellStyle name="Followed Hyperlink" xfId="1411" builtinId="9" hidden="1"/>
    <cellStyle name="Followed Hyperlink" xfId="1413" builtinId="9" hidden="1"/>
    <cellStyle name="Followed Hyperlink" xfId="1415" builtinId="9" hidden="1"/>
    <cellStyle name="Followed Hyperlink" xfId="1417" builtinId="9" hidden="1"/>
    <cellStyle name="Followed Hyperlink" xfId="1419" builtinId="9" hidden="1"/>
    <cellStyle name="Followed Hyperlink" xfId="1421" builtinId="9" hidden="1"/>
    <cellStyle name="Followed Hyperlink" xfId="1423" builtinId="9" hidden="1"/>
    <cellStyle name="Followed Hyperlink" xfId="1425" builtinId="9" hidden="1"/>
    <cellStyle name="Followed Hyperlink" xfId="1427" builtinId="9" hidden="1"/>
    <cellStyle name="Followed Hyperlink" xfId="1429" builtinId="9" hidden="1"/>
    <cellStyle name="Followed Hyperlink" xfId="1431" builtinId="9" hidden="1"/>
    <cellStyle name="Followed Hyperlink" xfId="1433" builtinId="9" hidden="1"/>
    <cellStyle name="Followed Hyperlink" xfId="1435" builtinId="9" hidden="1"/>
    <cellStyle name="Followed Hyperlink" xfId="1437" builtinId="9" hidden="1"/>
    <cellStyle name="Followed Hyperlink" xfId="1439" builtinId="9" hidden="1"/>
    <cellStyle name="Followed Hyperlink" xfId="1441" builtinId="9" hidden="1"/>
    <cellStyle name="Followed Hyperlink" xfId="1443" builtinId="9" hidden="1"/>
    <cellStyle name="Followed Hyperlink" xfId="1445" builtinId="9" hidden="1"/>
    <cellStyle name="Followed Hyperlink" xfId="1447" builtinId="9" hidden="1"/>
    <cellStyle name="Followed Hyperlink" xfId="1449" builtinId="9" hidden="1"/>
    <cellStyle name="Followed Hyperlink" xfId="1451" builtinId="9" hidden="1"/>
    <cellStyle name="Followed Hyperlink" xfId="1453" builtinId="9" hidden="1"/>
    <cellStyle name="Followed Hyperlink" xfId="1455" builtinId="9" hidden="1"/>
    <cellStyle name="Followed Hyperlink" xfId="1457" builtinId="9" hidden="1"/>
    <cellStyle name="Followed Hyperlink" xfId="1459" builtinId="9" hidden="1"/>
    <cellStyle name="Followed Hyperlink" xfId="1461" builtinId="9" hidden="1"/>
    <cellStyle name="Followed Hyperlink" xfId="1463" builtinId="9" hidden="1"/>
    <cellStyle name="Followed Hyperlink" xfId="1465" builtinId="9" hidden="1"/>
    <cellStyle name="Followed Hyperlink" xfId="1467" builtinId="9" hidden="1"/>
    <cellStyle name="Followed Hyperlink" xfId="1469" builtinId="9" hidden="1"/>
    <cellStyle name="Followed Hyperlink" xfId="1471" builtinId="9" hidden="1"/>
    <cellStyle name="Followed Hyperlink" xfId="1473" builtinId="9" hidden="1"/>
    <cellStyle name="Followed Hyperlink" xfId="1475" builtinId="9" hidden="1"/>
    <cellStyle name="Followed Hyperlink" xfId="1477" builtinId="9" hidden="1"/>
    <cellStyle name="Followed Hyperlink" xfId="1479" builtinId="9" hidden="1"/>
    <cellStyle name="Followed Hyperlink" xfId="1481" builtinId="9" hidden="1"/>
    <cellStyle name="Followed Hyperlink" xfId="1483" builtinId="9" hidden="1"/>
    <cellStyle name="Followed Hyperlink" xfId="1485" builtinId="9" hidden="1"/>
    <cellStyle name="Followed Hyperlink" xfId="1487" builtinId="9" hidden="1"/>
    <cellStyle name="Followed Hyperlink" xfId="1489" builtinId="9" hidden="1"/>
    <cellStyle name="Followed Hyperlink" xfId="1491" builtinId="9" hidden="1"/>
    <cellStyle name="Followed Hyperlink" xfId="1493" builtinId="9" hidden="1"/>
    <cellStyle name="Followed Hyperlink" xfId="1495" builtinId="9" hidden="1"/>
    <cellStyle name="Followed Hyperlink" xfId="1497" builtinId="9" hidden="1"/>
    <cellStyle name="Followed Hyperlink" xfId="1499" builtinId="9" hidden="1"/>
    <cellStyle name="Followed Hyperlink" xfId="1501" builtinId="9" hidden="1"/>
    <cellStyle name="Followed Hyperlink" xfId="1503" builtinId="9" hidden="1"/>
    <cellStyle name="Followed Hyperlink" xfId="1505" builtinId="9" hidden="1"/>
    <cellStyle name="Followed Hyperlink" xfId="1507" builtinId="9" hidden="1"/>
    <cellStyle name="Followed Hyperlink" xfId="1509" builtinId="9" hidden="1"/>
    <cellStyle name="Followed Hyperlink" xfId="1511" builtinId="9" hidden="1"/>
    <cellStyle name="Followed Hyperlink" xfId="1513" builtinId="9" hidden="1"/>
    <cellStyle name="Followed Hyperlink" xfId="1515" builtinId="9" hidden="1"/>
    <cellStyle name="Followed Hyperlink" xfId="1517" builtinId="9" hidden="1"/>
    <cellStyle name="Followed Hyperlink" xfId="1519" builtinId="9" hidden="1"/>
    <cellStyle name="Followed Hyperlink" xfId="1521" builtinId="9" hidden="1"/>
    <cellStyle name="Followed Hyperlink" xfId="1523" builtinId="9" hidden="1"/>
    <cellStyle name="Followed Hyperlink" xfId="1525" builtinId="9" hidden="1"/>
    <cellStyle name="Followed Hyperlink" xfId="1527" builtinId="9" hidden="1"/>
    <cellStyle name="Followed Hyperlink" xfId="1529" builtinId="9" hidden="1"/>
    <cellStyle name="Followed Hyperlink" xfId="1531" builtinId="9" hidden="1"/>
    <cellStyle name="Followed Hyperlink" xfId="1533" builtinId="9" hidden="1"/>
    <cellStyle name="Followed Hyperlink" xfId="1535" builtinId="9" hidden="1"/>
    <cellStyle name="Followed Hyperlink" xfId="1537" builtinId="9" hidden="1"/>
    <cellStyle name="Followed Hyperlink" xfId="1539" builtinId="9" hidden="1"/>
    <cellStyle name="Followed Hyperlink" xfId="1541" builtinId="9" hidden="1"/>
    <cellStyle name="Followed Hyperlink" xfId="1543" builtinId="9" hidden="1"/>
    <cellStyle name="Followed Hyperlink" xfId="1545" builtinId="9" hidden="1"/>
    <cellStyle name="Followed Hyperlink" xfId="1547" builtinId="9" hidden="1"/>
    <cellStyle name="Followed Hyperlink" xfId="1549" builtinId="9" hidden="1"/>
    <cellStyle name="Followed Hyperlink" xfId="1551" builtinId="9" hidden="1"/>
    <cellStyle name="Followed Hyperlink" xfId="1553" builtinId="9" hidden="1"/>
    <cellStyle name="Followed Hyperlink" xfId="1555" builtinId="9" hidden="1"/>
    <cellStyle name="Followed Hyperlink" xfId="1557" builtinId="9" hidden="1"/>
    <cellStyle name="Followed Hyperlink" xfId="1559" builtinId="9" hidden="1"/>
    <cellStyle name="Followed Hyperlink" xfId="1561" builtinId="9" hidden="1"/>
    <cellStyle name="Followed Hyperlink" xfId="1563" builtinId="9" hidden="1"/>
    <cellStyle name="Followed Hyperlink" xfId="1565" builtinId="9" hidden="1"/>
    <cellStyle name="Followed Hyperlink" xfId="1567" builtinId="9" hidden="1"/>
    <cellStyle name="Followed Hyperlink" xfId="1569" builtinId="9" hidden="1"/>
    <cellStyle name="Followed Hyperlink" xfId="1571" builtinId="9" hidden="1"/>
    <cellStyle name="Followed Hyperlink" xfId="1573" builtinId="9" hidden="1"/>
    <cellStyle name="Followed Hyperlink" xfId="1575" builtinId="9" hidden="1"/>
    <cellStyle name="Followed Hyperlink" xfId="1577" builtinId="9" hidden="1"/>
    <cellStyle name="Followed Hyperlink" xfId="1579" builtinId="9" hidden="1"/>
    <cellStyle name="Followed Hyperlink" xfId="1581" builtinId="9" hidden="1"/>
    <cellStyle name="Followed Hyperlink" xfId="1583" builtinId="9" hidden="1"/>
    <cellStyle name="Followed Hyperlink" xfId="1585" builtinId="9" hidden="1"/>
    <cellStyle name="Followed Hyperlink" xfId="1589" builtinId="9" hidden="1"/>
    <cellStyle name="Followed Hyperlink" xfId="1591" builtinId="9" hidden="1"/>
    <cellStyle name="Followed Hyperlink" xfId="1593" builtinId="9" hidden="1"/>
    <cellStyle name="Followed Hyperlink" xfId="1595" builtinId="9" hidden="1"/>
    <cellStyle name="Followed Hyperlink" xfId="1597" builtinId="9" hidden="1"/>
    <cellStyle name="Followed Hyperlink" xfId="1599" builtinId="9" hidden="1"/>
    <cellStyle name="Followed Hyperlink" xfId="1601" builtinId="9" hidden="1"/>
    <cellStyle name="Followed Hyperlink" xfId="1603" builtinId="9" hidden="1"/>
    <cellStyle name="Followed Hyperlink" xfId="1605" builtinId="9" hidden="1"/>
    <cellStyle name="Followed Hyperlink" xfId="1607" builtinId="9" hidden="1"/>
    <cellStyle name="Followed Hyperlink" xfId="1609" builtinId="9" hidden="1"/>
    <cellStyle name="Followed Hyperlink" xfId="1611" builtinId="9" hidden="1"/>
    <cellStyle name="Followed Hyperlink" xfId="1613" builtinId="9" hidden="1"/>
    <cellStyle name="Followed Hyperlink" xfId="1615" builtinId="9" hidden="1"/>
    <cellStyle name="Followed Hyperlink" xfId="1617" builtinId="9" hidden="1"/>
    <cellStyle name="Followed Hyperlink" xfId="1619" builtinId="9" hidden="1"/>
    <cellStyle name="Followed Hyperlink" xfId="1621" builtinId="9" hidden="1"/>
    <cellStyle name="Followed Hyperlink" xfId="1623" builtinId="9" hidden="1"/>
    <cellStyle name="Followed Hyperlink" xfId="1625" builtinId="9" hidden="1"/>
    <cellStyle name="Followed Hyperlink" xfId="1627" builtinId="9" hidden="1"/>
    <cellStyle name="Followed Hyperlink" xfId="1629" builtinId="9" hidden="1"/>
    <cellStyle name="Followed Hyperlink" xfId="1631" builtinId="9" hidden="1"/>
    <cellStyle name="Followed Hyperlink" xfId="1633" builtinId="9" hidden="1"/>
    <cellStyle name="Followed Hyperlink" xfId="1635" builtinId="9" hidden="1"/>
    <cellStyle name="Followed Hyperlink" xfId="1637" builtinId="9" hidden="1"/>
    <cellStyle name="Followed Hyperlink" xfId="1639" builtinId="9" hidden="1"/>
    <cellStyle name="Followed Hyperlink" xfId="1641" builtinId="9" hidden="1"/>
    <cellStyle name="Followed Hyperlink" xfId="1643" builtinId="9" hidden="1"/>
    <cellStyle name="Followed Hyperlink" xfId="1645" builtinId="9" hidden="1"/>
    <cellStyle name="Followed Hyperlink" xfId="1647" builtinId="9" hidden="1"/>
    <cellStyle name="Followed Hyperlink" xfId="1649" builtinId="9" hidden="1"/>
    <cellStyle name="Followed Hyperlink" xfId="1651" builtinId="9" hidden="1"/>
    <cellStyle name="Followed Hyperlink" xfId="1653" builtinId="9" hidden="1"/>
    <cellStyle name="Followed Hyperlink" xfId="1655" builtinId="9" hidden="1"/>
    <cellStyle name="Followed Hyperlink" xfId="1657" builtinId="9" hidden="1"/>
    <cellStyle name="Followed Hyperlink" xfId="1659" builtinId="9" hidden="1"/>
    <cellStyle name="Followed Hyperlink" xfId="1661" builtinId="9" hidden="1"/>
    <cellStyle name="Followed Hyperlink" xfId="1663" builtinId="9" hidden="1"/>
    <cellStyle name="Followed Hyperlink" xfId="1665" builtinId="9" hidden="1"/>
    <cellStyle name="Followed Hyperlink" xfId="1667" builtinId="9" hidden="1"/>
    <cellStyle name="Followed Hyperlink" xfId="1669" builtinId="9" hidden="1"/>
    <cellStyle name="Followed Hyperlink" xfId="1671" builtinId="9" hidden="1"/>
    <cellStyle name="Followed Hyperlink" xfId="1673" builtinId="9" hidden="1"/>
    <cellStyle name="Followed Hyperlink" xfId="1675" builtinId="9" hidden="1"/>
    <cellStyle name="Followed Hyperlink" xfId="1677" builtinId="9" hidden="1"/>
    <cellStyle name="Followed Hyperlink" xfId="1679" builtinId="9" hidden="1"/>
    <cellStyle name="Followed Hyperlink" xfId="1681" builtinId="9" hidden="1"/>
    <cellStyle name="Followed Hyperlink" xfId="1683" builtinId="9" hidden="1"/>
    <cellStyle name="Followed Hyperlink" xfId="1685" builtinId="9" hidden="1"/>
    <cellStyle name="Followed Hyperlink" xfId="1687" builtinId="9" hidden="1"/>
    <cellStyle name="Followed Hyperlink" xfId="1689" builtinId="9" hidden="1"/>
    <cellStyle name="Followed Hyperlink" xfId="1691" builtinId="9" hidden="1"/>
    <cellStyle name="Followed Hyperlink" xfId="1693" builtinId="9" hidden="1"/>
    <cellStyle name="Followed Hyperlink" xfId="1695" builtinId="9" hidden="1"/>
    <cellStyle name="Followed Hyperlink" xfId="1697" builtinId="9" hidden="1"/>
    <cellStyle name="Followed Hyperlink" xfId="1699" builtinId="9" hidden="1"/>
    <cellStyle name="Followed Hyperlink" xfId="1701" builtinId="9" hidden="1"/>
    <cellStyle name="Followed Hyperlink" xfId="1703" builtinId="9" hidden="1"/>
    <cellStyle name="Followed Hyperlink" xfId="1705" builtinId="9" hidden="1"/>
    <cellStyle name="Followed Hyperlink" xfId="1707" builtinId="9" hidden="1"/>
    <cellStyle name="Followed Hyperlink" xfId="1709" builtinId="9" hidden="1"/>
    <cellStyle name="Followed Hyperlink" xfId="1711" builtinId="9" hidden="1"/>
    <cellStyle name="Followed Hyperlink" xfId="1713" builtinId="9" hidden="1"/>
    <cellStyle name="Followed Hyperlink" xfId="1715" builtinId="9" hidden="1"/>
    <cellStyle name="Followed Hyperlink" xfId="1717" builtinId="9" hidden="1"/>
    <cellStyle name="Followed Hyperlink" xfId="1719" builtinId="9" hidden="1"/>
    <cellStyle name="Followed Hyperlink" xfId="1721" builtinId="9" hidden="1"/>
    <cellStyle name="Followed Hyperlink" xfId="1723" builtinId="9" hidden="1"/>
    <cellStyle name="Followed Hyperlink" xfId="1725" builtinId="9" hidden="1"/>
    <cellStyle name="Followed Hyperlink" xfId="1727" builtinId="9" hidden="1"/>
    <cellStyle name="Followed Hyperlink" xfId="1729" builtinId="9" hidden="1"/>
    <cellStyle name="Followed Hyperlink" xfId="1731" builtinId="9" hidden="1"/>
    <cellStyle name="Followed Hyperlink" xfId="1733" builtinId="9" hidden="1"/>
    <cellStyle name="Followed Hyperlink" xfId="1735" builtinId="9" hidden="1"/>
    <cellStyle name="Followed Hyperlink" xfId="1737" builtinId="9" hidden="1"/>
    <cellStyle name="Followed Hyperlink" xfId="1739" builtinId="9" hidden="1"/>
    <cellStyle name="Followed Hyperlink" xfId="1741" builtinId="9" hidden="1"/>
    <cellStyle name="Followed Hyperlink" xfId="1743" builtinId="9" hidden="1"/>
    <cellStyle name="Followed Hyperlink" xfId="1745" builtinId="9" hidden="1"/>
    <cellStyle name="Followed Hyperlink" xfId="1747" builtinId="9" hidden="1"/>
    <cellStyle name="Followed Hyperlink" xfId="1749" builtinId="9" hidden="1"/>
    <cellStyle name="Followed Hyperlink" xfId="1751" builtinId="9" hidden="1"/>
    <cellStyle name="Followed Hyperlink" xfId="1753" builtinId="9" hidden="1"/>
    <cellStyle name="Followed Hyperlink" xfId="1755" builtinId="9" hidden="1"/>
    <cellStyle name="Followed Hyperlink" xfId="1757" builtinId="9" hidden="1"/>
    <cellStyle name="Followed Hyperlink" xfId="1759" builtinId="9" hidden="1"/>
    <cellStyle name="Followed Hyperlink" xfId="1761" builtinId="9" hidden="1"/>
    <cellStyle name="Followed Hyperlink" xfId="1763" builtinId="9" hidden="1"/>
    <cellStyle name="Followed Hyperlink" xfId="1765" builtinId="9" hidden="1"/>
    <cellStyle name="Followed Hyperlink" xfId="1767" builtinId="9" hidden="1"/>
    <cellStyle name="Followed Hyperlink" xfId="1769" builtinId="9" hidden="1"/>
    <cellStyle name="Followed Hyperlink" xfId="1771" builtinId="9" hidden="1"/>
    <cellStyle name="Followed Hyperlink" xfId="1773" builtinId="9" hidden="1"/>
    <cellStyle name="Followed Hyperlink" xfId="1775" builtinId="9" hidden="1"/>
    <cellStyle name="Followed Hyperlink" xfId="1777" builtinId="9" hidden="1"/>
    <cellStyle name="Followed Hyperlink" xfId="1779" builtinId="9" hidden="1"/>
    <cellStyle name="Followed Hyperlink" xfId="1781" builtinId="9" hidden="1"/>
    <cellStyle name="Followed Hyperlink" xfId="1783" builtinId="9" hidden="1"/>
    <cellStyle name="Followed Hyperlink" xfId="1785" builtinId="9" hidden="1"/>
    <cellStyle name="Followed Hyperlink" xfId="1787" builtinId="9" hidden="1"/>
    <cellStyle name="Followed Hyperlink" xfId="1789" builtinId="9" hidden="1"/>
    <cellStyle name="Followed Hyperlink" xfId="1791" builtinId="9" hidden="1"/>
    <cellStyle name="Followed Hyperlink" xfId="1793" builtinId="9" hidden="1"/>
    <cellStyle name="Followed Hyperlink" xfId="1795" builtinId="9" hidden="1"/>
    <cellStyle name="Followed Hyperlink" xfId="1797" builtinId="9" hidden="1"/>
    <cellStyle name="Followed Hyperlink" xfId="1799" builtinId="9" hidden="1"/>
    <cellStyle name="Followed Hyperlink" xfId="1801" builtinId="9" hidden="1"/>
    <cellStyle name="Followed Hyperlink" xfId="1803" builtinId="9" hidden="1"/>
    <cellStyle name="Followed Hyperlink" xfId="1805" builtinId="9" hidden="1"/>
    <cellStyle name="Followed Hyperlink" xfId="1807" builtinId="9" hidden="1"/>
    <cellStyle name="Followed Hyperlink" xfId="1809" builtinId="9" hidden="1"/>
    <cellStyle name="Followed Hyperlink" xfId="1811" builtinId="9" hidden="1"/>
    <cellStyle name="Followed Hyperlink" xfId="1813" builtinId="9" hidden="1"/>
    <cellStyle name="Followed Hyperlink" xfId="1815" builtinId="9" hidden="1"/>
    <cellStyle name="Followed Hyperlink" xfId="1817" builtinId="9" hidden="1"/>
    <cellStyle name="Followed Hyperlink" xfId="1819" builtinId="9" hidden="1"/>
    <cellStyle name="Followed Hyperlink" xfId="1821" builtinId="9" hidden="1"/>
    <cellStyle name="Followed Hyperlink" xfId="1823" builtinId="9" hidden="1"/>
    <cellStyle name="Followed Hyperlink" xfId="1825" builtinId="9" hidden="1"/>
    <cellStyle name="Followed Hyperlink" xfId="1827" builtinId="9" hidden="1"/>
    <cellStyle name="Followed Hyperlink" xfId="1829" builtinId="9" hidden="1"/>
    <cellStyle name="Followed Hyperlink" xfId="1831" builtinId="9" hidden="1"/>
    <cellStyle name="Followed Hyperlink" xfId="1833" builtinId="9" hidden="1"/>
    <cellStyle name="Followed Hyperlink" xfId="1835" builtinId="9" hidden="1"/>
    <cellStyle name="Followed Hyperlink" xfId="1837" builtinId="9" hidden="1"/>
    <cellStyle name="Followed Hyperlink" xfId="1839" builtinId="9" hidden="1"/>
    <cellStyle name="Followed Hyperlink" xfId="1841" builtinId="9" hidden="1"/>
    <cellStyle name="Followed Hyperlink" xfId="1843" builtinId="9" hidden="1"/>
    <cellStyle name="Followed Hyperlink" xfId="1845" builtinId="9" hidden="1"/>
    <cellStyle name="Followed Hyperlink" xfId="1847" builtinId="9" hidden="1"/>
    <cellStyle name="Followed Hyperlink" xfId="1849" builtinId="9" hidden="1"/>
    <cellStyle name="Followed Hyperlink" xfId="1851" builtinId="9" hidden="1"/>
    <cellStyle name="Followed Hyperlink" xfId="1853" builtinId="9" hidden="1"/>
    <cellStyle name="Followed Hyperlink" xfId="1855" builtinId="9" hidden="1"/>
    <cellStyle name="Followed Hyperlink" xfId="1857" builtinId="9" hidden="1"/>
    <cellStyle name="Followed Hyperlink" xfId="1859" builtinId="9" hidden="1"/>
    <cellStyle name="Followed Hyperlink" xfId="1861" builtinId="9" hidden="1"/>
    <cellStyle name="Followed Hyperlink" xfId="1863" builtinId="9" hidden="1"/>
    <cellStyle name="Followed Hyperlink" xfId="1865" builtinId="9" hidden="1"/>
    <cellStyle name="Followed Hyperlink" xfId="1867" builtinId="9" hidden="1"/>
    <cellStyle name="Followed Hyperlink" xfId="1869" builtinId="9" hidden="1"/>
    <cellStyle name="Followed Hyperlink" xfId="1871" builtinId="9" hidden="1"/>
    <cellStyle name="Followed Hyperlink" xfId="1873" builtinId="9" hidden="1"/>
    <cellStyle name="Followed Hyperlink" xfId="1875" builtinId="9" hidden="1"/>
    <cellStyle name="Followed Hyperlink" xfId="1877" builtinId="9" hidden="1"/>
    <cellStyle name="Followed Hyperlink" xfId="1879" builtinId="9" hidden="1"/>
    <cellStyle name="Followed Hyperlink" xfId="1881" builtinId="9" hidden="1"/>
    <cellStyle name="Followed Hyperlink" xfId="1883" builtinId="9" hidden="1"/>
    <cellStyle name="Followed Hyperlink" xfId="1885" builtinId="9" hidden="1"/>
    <cellStyle name="Followed Hyperlink" xfId="1887" builtinId="9" hidden="1"/>
    <cellStyle name="Followed Hyperlink" xfId="1889" builtinId="9" hidden="1"/>
    <cellStyle name="Followed Hyperlink" xfId="1891" builtinId="9" hidden="1"/>
    <cellStyle name="Followed Hyperlink" xfId="1893" builtinId="9" hidden="1"/>
    <cellStyle name="Followed Hyperlink" xfId="1895" builtinId="9" hidden="1"/>
    <cellStyle name="Followed Hyperlink" xfId="1897" builtinId="9" hidden="1"/>
    <cellStyle name="Followed Hyperlink" xfId="1899" builtinId="9" hidden="1"/>
    <cellStyle name="Followed Hyperlink" xfId="1901" builtinId="9" hidden="1"/>
    <cellStyle name="Followed Hyperlink" xfId="1903" builtinId="9" hidden="1"/>
    <cellStyle name="Followed Hyperlink" xfId="1905" builtinId="9" hidden="1"/>
    <cellStyle name="Followed Hyperlink" xfId="1907" builtinId="9" hidden="1"/>
    <cellStyle name="Followed Hyperlink" xfId="1909" builtinId="9" hidden="1"/>
    <cellStyle name="Followed Hyperlink" xfId="1911" builtinId="9" hidden="1"/>
    <cellStyle name="Followed Hyperlink" xfId="1913" builtinId="9" hidden="1"/>
    <cellStyle name="Followed Hyperlink" xfId="1915" builtinId="9" hidden="1"/>
    <cellStyle name="Followed Hyperlink" xfId="1917" builtinId="9" hidden="1"/>
    <cellStyle name="Followed Hyperlink" xfId="1919" builtinId="9" hidden="1"/>
    <cellStyle name="Followed Hyperlink" xfId="1921" builtinId="9" hidden="1"/>
    <cellStyle name="Followed Hyperlink" xfId="1923" builtinId="9" hidden="1"/>
    <cellStyle name="Followed Hyperlink" xfId="1925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Hyperlink" xfId="658" builtinId="8" hidden="1"/>
    <cellStyle name="Hyperlink" xfId="660" builtinId="8" hidden="1"/>
    <cellStyle name="Hyperlink" xfId="662" builtinId="8" hidden="1"/>
    <cellStyle name="Hyperlink" xfId="664" builtinId="8" hidden="1"/>
    <cellStyle name="Hyperlink" xfId="666" builtinId="8" hidden="1"/>
    <cellStyle name="Hyperlink" xfId="668" builtinId="8" hidden="1"/>
    <cellStyle name="Hyperlink" xfId="670" builtinId="8" hidden="1"/>
    <cellStyle name="Hyperlink" xfId="672" builtinId="8" hidden="1"/>
    <cellStyle name="Hyperlink" xfId="674" builtinId="8" hidden="1"/>
    <cellStyle name="Hyperlink" xfId="676" builtinId="8" hidden="1"/>
    <cellStyle name="Hyperlink" xfId="678" builtinId="8" hidden="1"/>
    <cellStyle name="Hyperlink" xfId="680" builtinId="8" hidden="1"/>
    <cellStyle name="Hyperlink" xfId="682" builtinId="8" hidden="1"/>
    <cellStyle name="Hyperlink" xfId="685" builtinId="8" hidden="1"/>
    <cellStyle name="Hyperlink" xfId="687" builtinId="8" hidden="1"/>
    <cellStyle name="Hyperlink" xfId="689" builtinId="8" hidden="1"/>
    <cellStyle name="Hyperlink" xfId="692" builtinId="8" hidden="1"/>
    <cellStyle name="Hyperlink" xfId="694" builtinId="8" hidden="1"/>
    <cellStyle name="Hyperlink" xfId="696" builtinId="8" hidden="1"/>
    <cellStyle name="Hyperlink" xfId="698" builtinId="8" hidden="1"/>
    <cellStyle name="Hyperlink" xfId="700" builtinId="8" hidden="1"/>
    <cellStyle name="Hyperlink" xfId="702" builtinId="8" hidden="1"/>
    <cellStyle name="Hyperlink" xfId="704" builtinId="8" hidden="1"/>
    <cellStyle name="Hyperlink" xfId="706" builtinId="8" hidden="1"/>
    <cellStyle name="Hyperlink" xfId="708" builtinId="8" hidden="1"/>
    <cellStyle name="Hyperlink" xfId="710" builtinId="8" hidden="1"/>
    <cellStyle name="Hyperlink" xfId="712" builtinId="8" hidden="1"/>
    <cellStyle name="Hyperlink" xfId="714" builtinId="8" hidden="1"/>
    <cellStyle name="Hyperlink" xfId="716" builtinId="8" hidden="1"/>
    <cellStyle name="Hyperlink" xfId="718" builtinId="8" hidden="1"/>
    <cellStyle name="Hyperlink" xfId="720" builtinId="8" hidden="1"/>
    <cellStyle name="Hyperlink" xfId="722" builtinId="8" hidden="1"/>
    <cellStyle name="Hyperlink" xfId="724" builtinId="8" hidden="1"/>
    <cellStyle name="Hyperlink" xfId="726" builtinId="8" hidden="1"/>
    <cellStyle name="Hyperlink" xfId="728" builtinId="8" hidden="1"/>
    <cellStyle name="Hyperlink" xfId="730" builtinId="8" hidden="1"/>
    <cellStyle name="Hyperlink" xfId="732" builtinId="8" hidden="1"/>
    <cellStyle name="Hyperlink" xfId="734" builtinId="8" hidden="1"/>
    <cellStyle name="Hyperlink" xfId="736" builtinId="8" hidden="1"/>
    <cellStyle name="Hyperlink" xfId="738" builtinId="8" hidden="1"/>
    <cellStyle name="Hyperlink" xfId="740" builtinId="8" hidden="1"/>
    <cellStyle name="Hyperlink" xfId="742" builtinId="8" hidden="1"/>
    <cellStyle name="Hyperlink" xfId="744" builtinId="8" hidden="1"/>
    <cellStyle name="Hyperlink" xfId="746" builtinId="8" hidden="1"/>
    <cellStyle name="Hyperlink" xfId="748" builtinId="8" hidden="1"/>
    <cellStyle name="Hyperlink" xfId="750" builtinId="8" hidden="1"/>
    <cellStyle name="Hyperlink" xfId="752" builtinId="8" hidden="1"/>
    <cellStyle name="Hyperlink" xfId="754" builtinId="8" hidden="1"/>
    <cellStyle name="Hyperlink" xfId="756" builtinId="8" hidden="1"/>
    <cellStyle name="Hyperlink" xfId="758" builtinId="8" hidden="1"/>
    <cellStyle name="Hyperlink" xfId="760" builtinId="8" hidden="1"/>
    <cellStyle name="Hyperlink" xfId="762" builtinId="8" hidden="1"/>
    <cellStyle name="Hyperlink" xfId="764" builtinId="8" hidden="1"/>
    <cellStyle name="Hyperlink" xfId="766" builtinId="8" hidden="1"/>
    <cellStyle name="Hyperlink" xfId="768" builtinId="8" hidden="1"/>
    <cellStyle name="Hyperlink" xfId="770" builtinId="8" hidden="1"/>
    <cellStyle name="Hyperlink" xfId="772" builtinId="8" hidden="1"/>
    <cellStyle name="Hyperlink" xfId="774" builtinId="8" hidden="1"/>
    <cellStyle name="Hyperlink" xfId="776" builtinId="8" hidden="1"/>
    <cellStyle name="Hyperlink" xfId="778" builtinId="8" hidden="1"/>
    <cellStyle name="Hyperlink" xfId="780" builtinId="8" hidden="1"/>
    <cellStyle name="Hyperlink" xfId="782" builtinId="8" hidden="1"/>
    <cellStyle name="Hyperlink" xfId="784" builtinId="8" hidden="1"/>
    <cellStyle name="Hyperlink" xfId="786" builtinId="8" hidden="1"/>
    <cellStyle name="Hyperlink" xfId="788" builtinId="8" hidden="1"/>
    <cellStyle name="Hyperlink" xfId="790" builtinId="8" hidden="1"/>
    <cellStyle name="Hyperlink" xfId="792" builtinId="8" hidden="1"/>
    <cellStyle name="Hyperlink" xfId="794" builtinId="8" hidden="1"/>
    <cellStyle name="Hyperlink" xfId="796" builtinId="8" hidden="1"/>
    <cellStyle name="Hyperlink" xfId="798" builtinId="8" hidden="1"/>
    <cellStyle name="Hyperlink" xfId="800" builtinId="8" hidden="1"/>
    <cellStyle name="Hyperlink" xfId="802" builtinId="8" hidden="1"/>
    <cellStyle name="Hyperlink" xfId="804" builtinId="8" hidden="1"/>
    <cellStyle name="Hyperlink" xfId="806" builtinId="8" hidden="1"/>
    <cellStyle name="Hyperlink" xfId="808" builtinId="8" hidden="1"/>
    <cellStyle name="Hyperlink" xfId="810" builtinId="8" hidden="1"/>
    <cellStyle name="Hyperlink" xfId="812" builtinId="8" hidden="1"/>
    <cellStyle name="Hyperlink" xfId="814" builtinId="8" hidden="1"/>
    <cellStyle name="Hyperlink" xfId="816" builtinId="8" hidden="1"/>
    <cellStyle name="Hyperlink" xfId="818" builtinId="8" hidden="1"/>
    <cellStyle name="Hyperlink" xfId="820" builtinId="8" hidden="1"/>
    <cellStyle name="Hyperlink" xfId="822" builtinId="8" hidden="1"/>
    <cellStyle name="Hyperlink" xfId="824" builtinId="8" hidden="1"/>
    <cellStyle name="Hyperlink" xfId="826" builtinId="8" hidden="1"/>
    <cellStyle name="Hyperlink" xfId="828" builtinId="8" hidden="1"/>
    <cellStyle name="Hyperlink" xfId="830" builtinId="8" hidden="1"/>
    <cellStyle name="Hyperlink" xfId="832" builtinId="8" hidden="1"/>
    <cellStyle name="Hyperlink" xfId="834" builtinId="8" hidden="1"/>
    <cellStyle name="Hyperlink" xfId="836" builtinId="8" hidden="1"/>
    <cellStyle name="Hyperlink" xfId="838" builtinId="8" hidden="1"/>
    <cellStyle name="Hyperlink" xfId="840" builtinId="8" hidden="1"/>
    <cellStyle name="Hyperlink" xfId="842" builtinId="8" hidden="1"/>
    <cellStyle name="Hyperlink" xfId="844" builtinId="8" hidden="1"/>
    <cellStyle name="Hyperlink" xfId="846" builtinId="8" hidden="1"/>
    <cellStyle name="Hyperlink" xfId="848" builtinId="8" hidden="1"/>
    <cellStyle name="Hyperlink" xfId="850" builtinId="8" hidden="1"/>
    <cellStyle name="Hyperlink" xfId="852" builtinId="8" hidden="1"/>
    <cellStyle name="Hyperlink" xfId="854" builtinId="8" hidden="1"/>
    <cellStyle name="Hyperlink" xfId="856" builtinId="8" hidden="1"/>
    <cellStyle name="Hyperlink" xfId="858" builtinId="8" hidden="1"/>
    <cellStyle name="Hyperlink" xfId="860" builtinId="8" hidden="1"/>
    <cellStyle name="Hyperlink" xfId="862" builtinId="8" hidden="1"/>
    <cellStyle name="Hyperlink" xfId="864" builtinId="8" hidden="1"/>
    <cellStyle name="Hyperlink" xfId="866" builtinId="8" hidden="1"/>
    <cellStyle name="Hyperlink" xfId="868" builtinId="8" hidden="1"/>
    <cellStyle name="Hyperlink" xfId="870" builtinId="8" hidden="1"/>
    <cellStyle name="Hyperlink" xfId="872" builtinId="8" hidden="1"/>
    <cellStyle name="Hyperlink" xfId="874" builtinId="8" hidden="1"/>
    <cellStyle name="Hyperlink" xfId="876" builtinId="8" hidden="1"/>
    <cellStyle name="Hyperlink" xfId="878" builtinId="8" hidden="1"/>
    <cellStyle name="Hyperlink" xfId="880" builtinId="8" hidden="1"/>
    <cellStyle name="Hyperlink" xfId="882" builtinId="8" hidden="1"/>
    <cellStyle name="Hyperlink" xfId="884" builtinId="8" hidden="1"/>
    <cellStyle name="Hyperlink" xfId="886" builtinId="8" hidden="1"/>
    <cellStyle name="Hyperlink" xfId="888" builtinId="8" hidden="1"/>
    <cellStyle name="Hyperlink" xfId="890" builtinId="8" hidden="1"/>
    <cellStyle name="Hyperlink" xfId="892" builtinId="8" hidden="1"/>
    <cellStyle name="Hyperlink" xfId="894" builtinId="8" hidden="1"/>
    <cellStyle name="Hyperlink" xfId="896" builtinId="8" hidden="1"/>
    <cellStyle name="Hyperlink" xfId="898" builtinId="8" hidden="1"/>
    <cellStyle name="Hyperlink" xfId="900" builtinId="8" hidden="1"/>
    <cellStyle name="Hyperlink" xfId="902" builtinId="8" hidden="1"/>
    <cellStyle name="Hyperlink" xfId="904" builtinId="8" hidden="1"/>
    <cellStyle name="Hyperlink" xfId="906" builtinId="8" hidden="1"/>
    <cellStyle name="Hyperlink" xfId="908" builtinId="8" hidden="1"/>
    <cellStyle name="Hyperlink" xfId="910" builtinId="8" hidden="1"/>
    <cellStyle name="Hyperlink" xfId="912" builtinId="8" hidden="1"/>
    <cellStyle name="Hyperlink" xfId="914" builtinId="8" hidden="1"/>
    <cellStyle name="Hyperlink" xfId="916" builtinId="8" hidden="1"/>
    <cellStyle name="Hyperlink" xfId="918" builtinId="8" hidden="1"/>
    <cellStyle name="Hyperlink" xfId="920" builtinId="8" hidden="1"/>
    <cellStyle name="Hyperlink" xfId="922" builtinId="8" hidden="1"/>
    <cellStyle name="Hyperlink" xfId="924" builtinId="8" hidden="1"/>
    <cellStyle name="Hyperlink" xfId="926" builtinId="8" hidden="1"/>
    <cellStyle name="Hyperlink" xfId="928" builtinId="8" hidden="1"/>
    <cellStyle name="Hyperlink" xfId="930" builtinId="8" hidden="1"/>
    <cellStyle name="Hyperlink" xfId="932" builtinId="8" hidden="1"/>
    <cellStyle name="Hyperlink" xfId="934" builtinId="8" hidden="1"/>
    <cellStyle name="Hyperlink" xfId="936" builtinId="8" hidden="1"/>
    <cellStyle name="Hyperlink" xfId="938" builtinId="8" hidden="1"/>
    <cellStyle name="Hyperlink" xfId="940" builtinId="8" hidden="1"/>
    <cellStyle name="Hyperlink" xfId="942" builtinId="8" hidden="1"/>
    <cellStyle name="Hyperlink" xfId="944" builtinId="8" hidden="1"/>
    <cellStyle name="Hyperlink" xfId="946" builtinId="8" hidden="1"/>
    <cellStyle name="Hyperlink" xfId="948" builtinId="8" hidden="1"/>
    <cellStyle name="Hyperlink" xfId="950" builtinId="8" hidden="1"/>
    <cellStyle name="Hyperlink" xfId="952" builtinId="8" hidden="1"/>
    <cellStyle name="Hyperlink" xfId="954" builtinId="8" hidden="1"/>
    <cellStyle name="Hyperlink" xfId="956" builtinId="8" hidden="1"/>
    <cellStyle name="Hyperlink" xfId="958" builtinId="8" hidden="1"/>
    <cellStyle name="Hyperlink" xfId="960" builtinId="8" hidden="1"/>
    <cellStyle name="Hyperlink" xfId="962" builtinId="8" hidden="1"/>
    <cellStyle name="Hyperlink" xfId="964" builtinId="8" hidden="1"/>
    <cellStyle name="Hyperlink" xfId="966" builtinId="8" hidden="1"/>
    <cellStyle name="Hyperlink" xfId="968" builtinId="8" hidden="1"/>
    <cellStyle name="Hyperlink" xfId="970" builtinId="8" hidden="1"/>
    <cellStyle name="Hyperlink" xfId="972" builtinId="8" hidden="1"/>
    <cellStyle name="Hyperlink" xfId="974" builtinId="8" hidden="1"/>
    <cellStyle name="Hyperlink" xfId="976" builtinId="8" hidden="1"/>
    <cellStyle name="Hyperlink" xfId="978" builtinId="8" hidden="1"/>
    <cellStyle name="Hyperlink" xfId="980" builtinId="8" hidden="1"/>
    <cellStyle name="Hyperlink" xfId="982" builtinId="8" hidden="1"/>
    <cellStyle name="Hyperlink" xfId="984" builtinId="8" hidden="1"/>
    <cellStyle name="Hyperlink" xfId="986" builtinId="8" hidden="1"/>
    <cellStyle name="Hyperlink" xfId="988" builtinId="8" hidden="1"/>
    <cellStyle name="Hyperlink" xfId="990" builtinId="8" hidden="1"/>
    <cellStyle name="Hyperlink" xfId="992" builtinId="8" hidden="1"/>
    <cellStyle name="Hyperlink" xfId="994" builtinId="8" hidden="1"/>
    <cellStyle name="Hyperlink" xfId="996" builtinId="8" hidden="1"/>
    <cellStyle name="Hyperlink" xfId="998" builtinId="8" hidden="1"/>
    <cellStyle name="Hyperlink" xfId="1000" builtinId="8" hidden="1"/>
    <cellStyle name="Hyperlink" xfId="1002" builtinId="8" hidden="1"/>
    <cellStyle name="Hyperlink" xfId="1004" builtinId="8" hidden="1"/>
    <cellStyle name="Hyperlink" xfId="1006" builtinId="8" hidden="1"/>
    <cellStyle name="Hyperlink" xfId="1008" builtinId="8" hidden="1"/>
    <cellStyle name="Hyperlink" xfId="1010" builtinId="8" hidden="1"/>
    <cellStyle name="Hyperlink" xfId="1012" builtinId="8" hidden="1"/>
    <cellStyle name="Hyperlink" xfId="1014" builtinId="8" hidden="1"/>
    <cellStyle name="Hyperlink" xfId="1016" builtinId="8" hidden="1"/>
    <cellStyle name="Hyperlink" xfId="1018" builtinId="8" hidden="1"/>
    <cellStyle name="Hyperlink" xfId="1020" builtinId="8" hidden="1"/>
    <cellStyle name="Hyperlink" xfId="1022" builtinId="8" hidden="1"/>
    <cellStyle name="Hyperlink" xfId="1024" builtinId="8" hidden="1"/>
    <cellStyle name="Hyperlink" xfId="1026" builtinId="8" hidden="1"/>
    <cellStyle name="Hyperlink" xfId="1028" builtinId="8" hidden="1"/>
    <cellStyle name="Hyperlink" xfId="1030" builtinId="8" hidden="1"/>
    <cellStyle name="Hyperlink" xfId="1032" builtinId="8" hidden="1"/>
    <cellStyle name="Hyperlink" xfId="1034" builtinId="8" hidden="1"/>
    <cellStyle name="Hyperlink" xfId="1036" builtinId="8" hidden="1"/>
    <cellStyle name="Hyperlink" xfId="1038" builtinId="8" hidden="1"/>
    <cellStyle name="Hyperlink" xfId="1040" builtinId="8" hidden="1"/>
    <cellStyle name="Hyperlink" xfId="1042" builtinId="8" hidden="1"/>
    <cellStyle name="Hyperlink" xfId="1044" builtinId="8" hidden="1"/>
    <cellStyle name="Hyperlink" xfId="1046" builtinId="8" hidden="1"/>
    <cellStyle name="Hyperlink" xfId="1048" builtinId="8" hidden="1"/>
    <cellStyle name="Hyperlink" xfId="1050" builtinId="8" hidden="1"/>
    <cellStyle name="Hyperlink" xfId="1052" builtinId="8" hidden="1"/>
    <cellStyle name="Hyperlink" xfId="1054" builtinId="8" hidden="1"/>
    <cellStyle name="Hyperlink" xfId="1056" builtinId="8" hidden="1"/>
    <cellStyle name="Hyperlink" xfId="1058" builtinId="8" hidden="1"/>
    <cellStyle name="Hyperlink" xfId="1060" builtinId="8" hidden="1"/>
    <cellStyle name="Hyperlink" xfId="1062" builtinId="8" hidden="1"/>
    <cellStyle name="Hyperlink" xfId="1064" builtinId="8" hidden="1"/>
    <cellStyle name="Hyperlink" xfId="1066" builtinId="8" hidden="1"/>
    <cellStyle name="Hyperlink" xfId="1068" builtinId="8" hidden="1"/>
    <cellStyle name="Hyperlink" xfId="1070" builtinId="8" hidden="1"/>
    <cellStyle name="Hyperlink" xfId="1072" builtinId="8" hidden="1"/>
    <cellStyle name="Hyperlink" xfId="1074" builtinId="8" hidden="1"/>
    <cellStyle name="Hyperlink" xfId="1076" builtinId="8" hidden="1"/>
    <cellStyle name="Hyperlink" xfId="1078" builtinId="8" hidden="1"/>
    <cellStyle name="Hyperlink" xfId="1080" builtinId="8" hidden="1"/>
    <cellStyle name="Hyperlink" xfId="1082" builtinId="8" hidden="1"/>
    <cellStyle name="Hyperlink" xfId="1084" builtinId="8" hidden="1"/>
    <cellStyle name="Hyperlink" xfId="1086" builtinId="8" hidden="1"/>
    <cellStyle name="Hyperlink" xfId="1088" builtinId="8" hidden="1"/>
    <cellStyle name="Hyperlink" xfId="1090" builtinId="8" hidden="1"/>
    <cellStyle name="Hyperlink" xfId="1092" builtinId="8" hidden="1"/>
    <cellStyle name="Hyperlink" xfId="1094" builtinId="8" hidden="1"/>
    <cellStyle name="Hyperlink" xfId="1096" builtinId="8" hidden="1"/>
    <cellStyle name="Hyperlink" xfId="1098" builtinId="8" hidden="1"/>
    <cellStyle name="Hyperlink" xfId="1100" builtinId="8" hidden="1"/>
    <cellStyle name="Hyperlink" xfId="1102" builtinId="8" hidden="1"/>
    <cellStyle name="Hyperlink" xfId="1104" builtinId="8" hidden="1"/>
    <cellStyle name="Hyperlink" xfId="1106" builtinId="8" hidden="1"/>
    <cellStyle name="Hyperlink" xfId="1108" builtinId="8" hidden="1"/>
    <cellStyle name="Hyperlink" xfId="1110" builtinId="8" hidden="1"/>
    <cellStyle name="Hyperlink" xfId="1112" builtinId="8" hidden="1"/>
    <cellStyle name="Hyperlink" xfId="1114" builtinId="8" hidden="1"/>
    <cellStyle name="Hyperlink" xfId="1116" builtinId="8" hidden="1"/>
    <cellStyle name="Hyperlink" xfId="1118" builtinId="8" hidden="1"/>
    <cellStyle name="Hyperlink" xfId="1120" builtinId="8" hidden="1"/>
    <cellStyle name="Hyperlink" xfId="1122" builtinId="8" hidden="1"/>
    <cellStyle name="Hyperlink" xfId="1124" builtinId="8" hidden="1"/>
    <cellStyle name="Hyperlink" xfId="1126" builtinId="8" hidden="1"/>
    <cellStyle name="Hyperlink" xfId="1128" builtinId="8" hidden="1"/>
    <cellStyle name="Hyperlink" xfId="1130" builtinId="8" hidden="1"/>
    <cellStyle name="Hyperlink" xfId="1132" builtinId="8" hidden="1"/>
    <cellStyle name="Hyperlink" xfId="1134" builtinId="8" hidden="1"/>
    <cellStyle name="Hyperlink" xfId="1136" builtinId="8" hidden="1"/>
    <cellStyle name="Hyperlink" xfId="1138" builtinId="8" hidden="1"/>
    <cellStyle name="Hyperlink" xfId="1140" builtinId="8" hidden="1"/>
    <cellStyle name="Hyperlink" xfId="1142" builtinId="8" hidden="1"/>
    <cellStyle name="Hyperlink" xfId="1144" builtinId="8" hidden="1"/>
    <cellStyle name="Hyperlink" xfId="1146" builtinId="8" hidden="1"/>
    <cellStyle name="Hyperlink" xfId="1148" builtinId="8" hidden="1"/>
    <cellStyle name="Hyperlink" xfId="1150" builtinId="8" hidden="1"/>
    <cellStyle name="Hyperlink" xfId="1152" builtinId="8" hidden="1"/>
    <cellStyle name="Hyperlink" xfId="1154" builtinId="8" hidden="1"/>
    <cellStyle name="Hyperlink" xfId="1156" builtinId="8" hidden="1"/>
    <cellStyle name="Hyperlink" xfId="1158" builtinId="8" hidden="1"/>
    <cellStyle name="Hyperlink" xfId="1160" builtinId="8" hidden="1"/>
    <cellStyle name="Hyperlink" xfId="1162" builtinId="8" hidden="1"/>
    <cellStyle name="Hyperlink" xfId="1164" builtinId="8" hidden="1"/>
    <cellStyle name="Hyperlink" xfId="1166" builtinId="8" hidden="1"/>
    <cellStyle name="Hyperlink" xfId="1168" builtinId="8" hidden="1"/>
    <cellStyle name="Hyperlink" xfId="1170" builtinId="8" hidden="1"/>
    <cellStyle name="Hyperlink" xfId="1172" builtinId="8" hidden="1"/>
    <cellStyle name="Hyperlink" xfId="1174" builtinId="8" hidden="1"/>
    <cellStyle name="Hyperlink" xfId="1176" builtinId="8" hidden="1"/>
    <cellStyle name="Hyperlink" xfId="1178" builtinId="8" hidden="1"/>
    <cellStyle name="Hyperlink" xfId="1180" builtinId="8" hidden="1"/>
    <cellStyle name="Hyperlink" xfId="1182" builtinId="8" hidden="1"/>
    <cellStyle name="Hyperlink" xfId="1184" builtinId="8" hidden="1"/>
    <cellStyle name="Hyperlink" xfId="1186" builtinId="8" hidden="1"/>
    <cellStyle name="Hyperlink" xfId="1188" builtinId="8" hidden="1"/>
    <cellStyle name="Hyperlink" xfId="1190" builtinId="8" hidden="1"/>
    <cellStyle name="Hyperlink" xfId="1192" builtinId="8" hidden="1"/>
    <cellStyle name="Hyperlink" xfId="1194" builtinId="8" hidden="1"/>
    <cellStyle name="Hyperlink" xfId="1196" builtinId="8" hidden="1"/>
    <cellStyle name="Hyperlink" xfId="1198" builtinId="8" hidden="1"/>
    <cellStyle name="Hyperlink" xfId="1200" builtinId="8" hidden="1"/>
    <cellStyle name="Hyperlink" xfId="1202" builtinId="8" hidden="1"/>
    <cellStyle name="Hyperlink" xfId="1204" builtinId="8" hidden="1"/>
    <cellStyle name="Hyperlink" xfId="1206" builtinId="8" hidden="1"/>
    <cellStyle name="Hyperlink" xfId="1208" builtinId="8" hidden="1"/>
    <cellStyle name="Hyperlink" xfId="1210" builtinId="8" hidden="1"/>
    <cellStyle name="Hyperlink" xfId="1212" builtinId="8" hidden="1"/>
    <cellStyle name="Hyperlink" xfId="1214" builtinId="8" hidden="1"/>
    <cellStyle name="Hyperlink" xfId="1216" builtinId="8" hidden="1"/>
    <cellStyle name="Hyperlink" xfId="1218" builtinId="8" hidden="1"/>
    <cellStyle name="Hyperlink" xfId="1220" builtinId="8" hidden="1"/>
    <cellStyle name="Hyperlink" xfId="1222" builtinId="8" hidden="1"/>
    <cellStyle name="Hyperlink" xfId="1224" builtinId="8" hidden="1"/>
    <cellStyle name="Hyperlink" xfId="1226" builtinId="8" hidden="1"/>
    <cellStyle name="Hyperlink" xfId="1228" builtinId="8" hidden="1"/>
    <cellStyle name="Hyperlink" xfId="1230" builtinId="8" hidden="1"/>
    <cellStyle name="Hyperlink" xfId="1232" builtinId="8" hidden="1"/>
    <cellStyle name="Hyperlink" xfId="1234" builtinId="8" hidden="1"/>
    <cellStyle name="Hyperlink" xfId="1236" builtinId="8" hidden="1"/>
    <cellStyle name="Hyperlink" xfId="1238" builtinId="8" hidden="1"/>
    <cellStyle name="Hyperlink" xfId="1240" builtinId="8" hidden="1"/>
    <cellStyle name="Hyperlink" xfId="1242" builtinId="8" hidden="1"/>
    <cellStyle name="Hyperlink" xfId="1244" builtinId="8" hidden="1"/>
    <cellStyle name="Hyperlink" xfId="1246" builtinId="8" hidden="1"/>
    <cellStyle name="Hyperlink" xfId="1248" builtinId="8" hidden="1"/>
    <cellStyle name="Hyperlink" xfId="1250" builtinId="8" hidden="1"/>
    <cellStyle name="Hyperlink" xfId="1252" builtinId="8" hidden="1"/>
    <cellStyle name="Hyperlink" xfId="1254" builtinId="8" hidden="1"/>
    <cellStyle name="Hyperlink" xfId="1256" builtinId="8" hidden="1"/>
    <cellStyle name="Hyperlink" xfId="1258" builtinId="8" hidden="1"/>
    <cellStyle name="Hyperlink" xfId="1260" builtinId="8" hidden="1"/>
    <cellStyle name="Hyperlink" xfId="1262" builtinId="8" hidden="1"/>
    <cellStyle name="Hyperlink" xfId="1264" builtinId="8" hidden="1"/>
    <cellStyle name="Hyperlink" xfId="1266" builtinId="8" hidden="1"/>
    <cellStyle name="Hyperlink" xfId="1268" builtinId="8" hidden="1"/>
    <cellStyle name="Hyperlink" xfId="1270" builtinId="8" hidden="1"/>
    <cellStyle name="Hyperlink" xfId="1272" builtinId="8" hidden="1"/>
    <cellStyle name="Hyperlink" xfId="1274" builtinId="8" hidden="1"/>
    <cellStyle name="Hyperlink" xfId="1276" builtinId="8" hidden="1"/>
    <cellStyle name="Hyperlink" xfId="1278" builtinId="8" hidden="1"/>
    <cellStyle name="Hyperlink" xfId="1280" builtinId="8" hidden="1"/>
    <cellStyle name="Hyperlink" xfId="1282" builtinId="8" hidden="1"/>
    <cellStyle name="Hyperlink" xfId="1284" builtinId="8" hidden="1"/>
    <cellStyle name="Hyperlink" xfId="1286" builtinId="8" hidden="1"/>
    <cellStyle name="Hyperlink" xfId="1288" builtinId="8" hidden="1"/>
    <cellStyle name="Hyperlink" xfId="1290" builtinId="8" hidden="1"/>
    <cellStyle name="Hyperlink" xfId="1292" builtinId="8" hidden="1"/>
    <cellStyle name="Hyperlink" xfId="1294" builtinId="8" hidden="1"/>
    <cellStyle name="Hyperlink" xfId="1296" builtinId="8" hidden="1"/>
    <cellStyle name="Hyperlink" xfId="1298" builtinId="8" hidden="1"/>
    <cellStyle name="Hyperlink" xfId="1300" builtinId="8" hidden="1"/>
    <cellStyle name="Hyperlink" xfId="1302" builtinId="8" hidden="1"/>
    <cellStyle name="Hyperlink" xfId="1304" builtinId="8" hidden="1"/>
    <cellStyle name="Hyperlink" xfId="1306" builtinId="8" hidden="1"/>
    <cellStyle name="Hyperlink" xfId="1308" builtinId="8" hidden="1"/>
    <cellStyle name="Hyperlink" xfId="1310" builtinId="8" hidden="1"/>
    <cellStyle name="Hyperlink" xfId="1312" builtinId="8" hidden="1"/>
    <cellStyle name="Hyperlink" xfId="1314" builtinId="8" hidden="1"/>
    <cellStyle name="Hyperlink" xfId="1316" builtinId="8" hidden="1"/>
    <cellStyle name="Hyperlink" xfId="1318" builtinId="8" hidden="1"/>
    <cellStyle name="Hyperlink" xfId="1320" builtinId="8" hidden="1"/>
    <cellStyle name="Hyperlink" xfId="1322" builtinId="8" hidden="1"/>
    <cellStyle name="Hyperlink" xfId="1324" builtinId="8" hidden="1"/>
    <cellStyle name="Hyperlink" xfId="1326" builtinId="8" hidden="1"/>
    <cellStyle name="Hyperlink" xfId="1328" builtinId="8" hidden="1"/>
    <cellStyle name="Hyperlink" xfId="1330" builtinId="8" hidden="1"/>
    <cellStyle name="Hyperlink" xfId="1332" builtinId="8" hidden="1"/>
    <cellStyle name="Hyperlink" xfId="1334" builtinId="8" hidden="1"/>
    <cellStyle name="Hyperlink" xfId="1336" builtinId="8" hidden="1"/>
    <cellStyle name="Hyperlink" xfId="1338" builtinId="8" hidden="1"/>
    <cellStyle name="Hyperlink" xfId="1340" builtinId="8" hidden="1"/>
    <cellStyle name="Hyperlink" xfId="1342" builtinId="8" hidden="1"/>
    <cellStyle name="Hyperlink" xfId="1344" builtinId="8" hidden="1"/>
    <cellStyle name="Hyperlink" xfId="1346" builtinId="8" hidden="1"/>
    <cellStyle name="Hyperlink" xfId="1348" builtinId="8" hidden="1"/>
    <cellStyle name="Hyperlink" xfId="1350" builtinId="8" hidden="1"/>
    <cellStyle name="Hyperlink" xfId="1352" builtinId="8" hidden="1"/>
    <cellStyle name="Hyperlink" xfId="1354" builtinId="8" hidden="1"/>
    <cellStyle name="Hyperlink" xfId="1356" builtinId="8" hidden="1"/>
    <cellStyle name="Hyperlink" xfId="1358" builtinId="8" hidden="1"/>
    <cellStyle name="Hyperlink" xfId="1360" builtinId="8" hidden="1"/>
    <cellStyle name="Hyperlink" xfId="1362" builtinId="8" hidden="1"/>
    <cellStyle name="Hyperlink" xfId="1364" builtinId="8" hidden="1"/>
    <cellStyle name="Hyperlink" xfId="1366" builtinId="8" hidden="1"/>
    <cellStyle name="Hyperlink" xfId="1368" builtinId="8" hidden="1"/>
    <cellStyle name="Hyperlink" xfId="1370" builtinId="8" hidden="1"/>
    <cellStyle name="Hyperlink" xfId="1372" builtinId="8" hidden="1"/>
    <cellStyle name="Hyperlink" xfId="1374" builtinId="8" hidden="1"/>
    <cellStyle name="Hyperlink" xfId="1376" builtinId="8" hidden="1"/>
    <cellStyle name="Hyperlink" xfId="1378" builtinId="8" hidden="1"/>
    <cellStyle name="Hyperlink" xfId="1380" builtinId="8" hidden="1"/>
    <cellStyle name="Hyperlink" xfId="1382" builtinId="8" hidden="1"/>
    <cellStyle name="Hyperlink" xfId="1384" builtinId="8" hidden="1"/>
    <cellStyle name="Hyperlink" xfId="1386" builtinId="8" hidden="1"/>
    <cellStyle name="Hyperlink" xfId="1388" builtinId="8" hidden="1"/>
    <cellStyle name="Hyperlink" xfId="1390" builtinId="8" hidden="1"/>
    <cellStyle name="Hyperlink" xfId="1392" builtinId="8" hidden="1"/>
    <cellStyle name="Hyperlink" xfId="1394" builtinId="8" hidden="1"/>
    <cellStyle name="Hyperlink" xfId="1396" builtinId="8" hidden="1"/>
    <cellStyle name="Hyperlink" xfId="1398" builtinId="8" hidden="1"/>
    <cellStyle name="Hyperlink" xfId="1400" builtinId="8" hidden="1"/>
    <cellStyle name="Hyperlink" xfId="1402" builtinId="8" hidden="1"/>
    <cellStyle name="Hyperlink" xfId="1404" builtinId="8" hidden="1"/>
    <cellStyle name="Hyperlink" xfId="1406" builtinId="8" hidden="1"/>
    <cellStyle name="Hyperlink" xfId="1408" builtinId="8" hidden="1"/>
    <cellStyle name="Hyperlink" xfId="1410" builtinId="8" hidden="1"/>
    <cellStyle name="Hyperlink" xfId="1412" builtinId="8" hidden="1"/>
    <cellStyle name="Hyperlink" xfId="1414" builtinId="8" hidden="1"/>
    <cellStyle name="Hyperlink" xfId="1416" builtinId="8" hidden="1"/>
    <cellStyle name="Hyperlink" xfId="1418" builtinId="8" hidden="1"/>
    <cellStyle name="Hyperlink" xfId="1420" builtinId="8" hidden="1"/>
    <cellStyle name="Hyperlink" xfId="1422" builtinId="8" hidden="1"/>
    <cellStyle name="Hyperlink" xfId="1424" builtinId="8" hidden="1"/>
    <cellStyle name="Hyperlink" xfId="1426" builtinId="8" hidden="1"/>
    <cellStyle name="Hyperlink" xfId="1428" builtinId="8" hidden="1"/>
    <cellStyle name="Hyperlink" xfId="1430" builtinId="8" hidden="1"/>
    <cellStyle name="Hyperlink" xfId="1432" builtinId="8" hidden="1"/>
    <cellStyle name="Hyperlink" xfId="1434" builtinId="8" hidden="1"/>
    <cellStyle name="Hyperlink" xfId="1436" builtinId="8" hidden="1"/>
    <cellStyle name="Hyperlink" xfId="1438" builtinId="8" hidden="1"/>
    <cellStyle name="Hyperlink" xfId="1440" builtinId="8" hidden="1"/>
    <cellStyle name="Hyperlink" xfId="1442" builtinId="8" hidden="1"/>
    <cellStyle name="Hyperlink" xfId="1444" builtinId="8" hidden="1"/>
    <cellStyle name="Hyperlink" xfId="1446" builtinId="8" hidden="1"/>
    <cellStyle name="Hyperlink" xfId="1448" builtinId="8" hidden="1"/>
    <cellStyle name="Hyperlink" xfId="1450" builtinId="8" hidden="1"/>
    <cellStyle name="Hyperlink" xfId="1452" builtinId="8" hidden="1"/>
    <cellStyle name="Hyperlink" xfId="1454" builtinId="8" hidden="1"/>
    <cellStyle name="Hyperlink" xfId="1456" builtinId="8" hidden="1"/>
    <cellStyle name="Hyperlink" xfId="1458" builtinId="8" hidden="1"/>
    <cellStyle name="Hyperlink" xfId="1460" builtinId="8" hidden="1"/>
    <cellStyle name="Hyperlink" xfId="1462" builtinId="8" hidden="1"/>
    <cellStyle name="Hyperlink" xfId="1464" builtinId="8" hidden="1"/>
    <cellStyle name="Hyperlink" xfId="1466" builtinId="8" hidden="1"/>
    <cellStyle name="Hyperlink" xfId="1468" builtinId="8" hidden="1"/>
    <cellStyle name="Hyperlink" xfId="1470" builtinId="8" hidden="1"/>
    <cellStyle name="Hyperlink" xfId="1472" builtinId="8" hidden="1"/>
    <cellStyle name="Hyperlink" xfId="1474" builtinId="8" hidden="1"/>
    <cellStyle name="Hyperlink" xfId="1476" builtinId="8" hidden="1"/>
    <cellStyle name="Hyperlink" xfId="1478" builtinId="8" hidden="1"/>
    <cellStyle name="Hyperlink" xfId="1480" builtinId="8" hidden="1"/>
    <cellStyle name="Hyperlink" xfId="1482" builtinId="8" hidden="1"/>
    <cellStyle name="Hyperlink" xfId="1484" builtinId="8" hidden="1"/>
    <cellStyle name="Hyperlink" xfId="1486" builtinId="8" hidden="1"/>
    <cellStyle name="Hyperlink" xfId="1488" builtinId="8" hidden="1"/>
    <cellStyle name="Hyperlink" xfId="1490" builtinId="8" hidden="1"/>
    <cellStyle name="Hyperlink" xfId="1492" builtinId="8" hidden="1"/>
    <cellStyle name="Hyperlink" xfId="1494" builtinId="8" hidden="1"/>
    <cellStyle name="Hyperlink" xfId="1496" builtinId="8" hidden="1"/>
    <cellStyle name="Hyperlink" xfId="1498" builtinId="8" hidden="1"/>
    <cellStyle name="Hyperlink" xfId="1500" builtinId="8" hidden="1"/>
    <cellStyle name="Hyperlink" xfId="1502" builtinId="8" hidden="1"/>
    <cellStyle name="Hyperlink" xfId="1504" builtinId="8" hidden="1"/>
    <cellStyle name="Hyperlink" xfId="1506" builtinId="8" hidden="1"/>
    <cellStyle name="Hyperlink" xfId="1508" builtinId="8" hidden="1"/>
    <cellStyle name="Hyperlink" xfId="1510" builtinId="8" hidden="1"/>
    <cellStyle name="Hyperlink" xfId="1512" builtinId="8" hidden="1"/>
    <cellStyle name="Hyperlink" xfId="1514" builtinId="8" hidden="1"/>
    <cellStyle name="Hyperlink" xfId="1516" builtinId="8" hidden="1"/>
    <cellStyle name="Hyperlink" xfId="1518" builtinId="8" hidden="1"/>
    <cellStyle name="Hyperlink" xfId="1520" builtinId="8" hidden="1"/>
    <cellStyle name="Hyperlink" xfId="1522" builtinId="8" hidden="1"/>
    <cellStyle name="Hyperlink" xfId="1524" builtinId="8" hidden="1"/>
    <cellStyle name="Hyperlink" xfId="1526" builtinId="8" hidden="1"/>
    <cellStyle name="Hyperlink" xfId="1528" builtinId="8" hidden="1"/>
    <cellStyle name="Hyperlink" xfId="1530" builtinId="8" hidden="1"/>
    <cellStyle name="Hyperlink" xfId="1532" builtinId="8" hidden="1"/>
    <cellStyle name="Hyperlink" xfId="1534" builtinId="8" hidden="1"/>
    <cellStyle name="Hyperlink" xfId="1536" builtinId="8" hidden="1"/>
    <cellStyle name="Hyperlink" xfId="1538" builtinId="8" hidden="1"/>
    <cellStyle name="Hyperlink" xfId="1540" builtinId="8" hidden="1"/>
    <cellStyle name="Hyperlink" xfId="1542" builtinId="8" hidden="1"/>
    <cellStyle name="Hyperlink" xfId="1544" builtinId="8" hidden="1"/>
    <cellStyle name="Hyperlink" xfId="1546" builtinId="8" hidden="1"/>
    <cellStyle name="Hyperlink" xfId="1548" builtinId="8" hidden="1"/>
    <cellStyle name="Hyperlink" xfId="1550" builtinId="8" hidden="1"/>
    <cellStyle name="Hyperlink" xfId="1552" builtinId="8" hidden="1"/>
    <cellStyle name="Hyperlink" xfId="1554" builtinId="8" hidden="1"/>
    <cellStyle name="Hyperlink" xfId="1556" builtinId="8" hidden="1"/>
    <cellStyle name="Hyperlink" xfId="1558" builtinId="8" hidden="1"/>
    <cellStyle name="Hyperlink" xfId="1560" builtinId="8" hidden="1"/>
    <cellStyle name="Hyperlink" xfId="1562" builtinId="8" hidden="1"/>
    <cellStyle name="Hyperlink" xfId="1564" builtinId="8" hidden="1"/>
    <cellStyle name="Hyperlink" xfId="1566" builtinId="8" hidden="1"/>
    <cellStyle name="Hyperlink" xfId="1568" builtinId="8" hidden="1"/>
    <cellStyle name="Hyperlink" xfId="1570" builtinId="8" hidden="1"/>
    <cellStyle name="Hyperlink" xfId="1572" builtinId="8" hidden="1"/>
    <cellStyle name="Hyperlink" xfId="1574" builtinId="8" hidden="1"/>
    <cellStyle name="Hyperlink" xfId="1576" builtinId="8" hidden="1"/>
    <cellStyle name="Hyperlink" xfId="1578" builtinId="8" hidden="1"/>
    <cellStyle name="Hyperlink" xfId="1580" builtinId="8" hidden="1"/>
    <cellStyle name="Hyperlink" xfId="1582" builtinId="8" hidden="1"/>
    <cellStyle name="Hyperlink" xfId="1584" builtinId="8" hidden="1"/>
    <cellStyle name="Hyperlink" xfId="1588" builtinId="8" hidden="1"/>
    <cellStyle name="Hyperlink" xfId="1590" builtinId="8" hidden="1"/>
    <cellStyle name="Hyperlink" xfId="1592" builtinId="8" hidden="1"/>
    <cellStyle name="Hyperlink" xfId="1594" builtinId="8" hidden="1"/>
    <cellStyle name="Hyperlink" xfId="1596" builtinId="8" hidden="1"/>
    <cellStyle name="Hyperlink" xfId="1598" builtinId="8" hidden="1"/>
    <cellStyle name="Hyperlink" xfId="1600" builtinId="8" hidden="1"/>
    <cellStyle name="Hyperlink" xfId="1602" builtinId="8" hidden="1"/>
    <cellStyle name="Hyperlink" xfId="1604" builtinId="8" hidden="1"/>
    <cellStyle name="Hyperlink" xfId="1606" builtinId="8" hidden="1"/>
    <cellStyle name="Hyperlink" xfId="1608" builtinId="8" hidden="1"/>
    <cellStyle name="Hyperlink" xfId="1610" builtinId="8" hidden="1"/>
    <cellStyle name="Hyperlink" xfId="1612" builtinId="8" hidden="1"/>
    <cellStyle name="Hyperlink" xfId="1614" builtinId="8" hidden="1"/>
    <cellStyle name="Hyperlink" xfId="1616" builtinId="8" hidden="1"/>
    <cellStyle name="Hyperlink" xfId="1618" builtinId="8" hidden="1"/>
    <cellStyle name="Hyperlink" xfId="1620" builtinId="8" hidden="1"/>
    <cellStyle name="Hyperlink" xfId="1622" builtinId="8" hidden="1"/>
    <cellStyle name="Hyperlink" xfId="1624" builtinId="8" hidden="1"/>
    <cellStyle name="Hyperlink" xfId="1626" builtinId="8" hidden="1"/>
    <cellStyle name="Hyperlink" xfId="1628" builtinId="8" hidden="1"/>
    <cellStyle name="Hyperlink" xfId="1630" builtinId="8" hidden="1"/>
    <cellStyle name="Hyperlink" xfId="1632" builtinId="8" hidden="1"/>
    <cellStyle name="Hyperlink" xfId="1634" builtinId="8" hidden="1"/>
    <cellStyle name="Hyperlink" xfId="1636" builtinId="8" hidden="1"/>
    <cellStyle name="Hyperlink" xfId="1638" builtinId="8" hidden="1"/>
    <cellStyle name="Hyperlink" xfId="1640" builtinId="8" hidden="1"/>
    <cellStyle name="Hyperlink" xfId="1642" builtinId="8" hidden="1"/>
    <cellStyle name="Hyperlink" xfId="1644" builtinId="8" hidden="1"/>
    <cellStyle name="Hyperlink" xfId="1646" builtinId="8" hidden="1"/>
    <cellStyle name="Hyperlink" xfId="1648" builtinId="8" hidden="1"/>
    <cellStyle name="Hyperlink" xfId="1650" builtinId="8" hidden="1"/>
    <cellStyle name="Hyperlink" xfId="1652" builtinId="8" hidden="1"/>
    <cellStyle name="Hyperlink" xfId="1654" builtinId="8" hidden="1"/>
    <cellStyle name="Hyperlink" xfId="1656" builtinId="8" hidden="1"/>
    <cellStyle name="Hyperlink" xfId="1658" builtinId="8" hidden="1"/>
    <cellStyle name="Hyperlink" xfId="1660" builtinId="8" hidden="1"/>
    <cellStyle name="Hyperlink" xfId="1662" builtinId="8" hidden="1"/>
    <cellStyle name="Hyperlink" xfId="1664" builtinId="8" hidden="1"/>
    <cellStyle name="Hyperlink" xfId="1666" builtinId="8" hidden="1"/>
    <cellStyle name="Hyperlink" xfId="1668" builtinId="8" hidden="1"/>
    <cellStyle name="Hyperlink" xfId="1670" builtinId="8" hidden="1"/>
    <cellStyle name="Hyperlink" xfId="1672" builtinId="8" hidden="1"/>
    <cellStyle name="Hyperlink" xfId="1674" builtinId="8" hidden="1"/>
    <cellStyle name="Hyperlink" xfId="1676" builtinId="8" hidden="1"/>
    <cellStyle name="Hyperlink" xfId="1678" builtinId="8" hidden="1"/>
    <cellStyle name="Hyperlink" xfId="1680" builtinId="8" hidden="1"/>
    <cellStyle name="Hyperlink" xfId="1682" builtinId="8" hidden="1"/>
    <cellStyle name="Hyperlink" xfId="1684" builtinId="8" hidden="1"/>
    <cellStyle name="Hyperlink" xfId="1686" builtinId="8" hidden="1"/>
    <cellStyle name="Hyperlink" xfId="1688" builtinId="8" hidden="1"/>
    <cellStyle name="Hyperlink" xfId="1690" builtinId="8" hidden="1"/>
    <cellStyle name="Hyperlink" xfId="1692" builtinId="8" hidden="1"/>
    <cellStyle name="Hyperlink" xfId="1694" builtinId="8" hidden="1"/>
    <cellStyle name="Hyperlink" xfId="1696" builtinId="8" hidden="1"/>
    <cellStyle name="Hyperlink" xfId="1698" builtinId="8" hidden="1"/>
    <cellStyle name="Hyperlink" xfId="1700" builtinId="8" hidden="1"/>
    <cellStyle name="Hyperlink" xfId="1702" builtinId="8" hidden="1"/>
    <cellStyle name="Hyperlink" xfId="1704" builtinId="8" hidden="1"/>
    <cellStyle name="Hyperlink" xfId="1706" builtinId="8" hidden="1"/>
    <cellStyle name="Hyperlink" xfId="1708" builtinId="8" hidden="1"/>
    <cellStyle name="Hyperlink" xfId="1710" builtinId="8" hidden="1"/>
    <cellStyle name="Hyperlink" xfId="1712" builtinId="8" hidden="1"/>
    <cellStyle name="Hyperlink" xfId="1714" builtinId="8" hidden="1"/>
    <cellStyle name="Hyperlink" xfId="1716" builtinId="8" hidden="1"/>
    <cellStyle name="Hyperlink" xfId="1718" builtinId="8" hidden="1"/>
    <cellStyle name="Hyperlink" xfId="1720" builtinId="8" hidden="1"/>
    <cellStyle name="Hyperlink" xfId="1722" builtinId="8" hidden="1"/>
    <cellStyle name="Hyperlink" xfId="1724" builtinId="8" hidden="1"/>
    <cellStyle name="Hyperlink" xfId="1726" builtinId="8" hidden="1"/>
    <cellStyle name="Hyperlink" xfId="1728" builtinId="8" hidden="1"/>
    <cellStyle name="Hyperlink" xfId="1730" builtinId="8" hidden="1"/>
    <cellStyle name="Hyperlink" xfId="1732" builtinId="8" hidden="1"/>
    <cellStyle name="Hyperlink" xfId="1734" builtinId="8" hidden="1"/>
    <cellStyle name="Hyperlink" xfId="1736" builtinId="8" hidden="1"/>
    <cellStyle name="Hyperlink" xfId="1738" builtinId="8" hidden="1"/>
    <cellStyle name="Hyperlink" xfId="1740" builtinId="8" hidden="1"/>
    <cellStyle name="Hyperlink" xfId="1742" builtinId="8" hidden="1"/>
    <cellStyle name="Hyperlink" xfId="1744" builtinId="8" hidden="1"/>
    <cellStyle name="Hyperlink" xfId="1746" builtinId="8" hidden="1"/>
    <cellStyle name="Hyperlink" xfId="1748" builtinId="8" hidden="1"/>
    <cellStyle name="Hyperlink" xfId="1750" builtinId="8" hidden="1"/>
    <cellStyle name="Hyperlink" xfId="1752" builtinId="8" hidden="1"/>
    <cellStyle name="Hyperlink" xfId="1754" builtinId="8" hidden="1"/>
    <cellStyle name="Hyperlink" xfId="1756" builtinId="8" hidden="1"/>
    <cellStyle name="Hyperlink" xfId="1758" builtinId="8" hidden="1"/>
    <cellStyle name="Hyperlink" xfId="1760" builtinId="8" hidden="1"/>
    <cellStyle name="Hyperlink" xfId="1762" builtinId="8" hidden="1"/>
    <cellStyle name="Hyperlink" xfId="1764" builtinId="8" hidden="1"/>
    <cellStyle name="Hyperlink" xfId="1766" builtinId="8" hidden="1"/>
    <cellStyle name="Hyperlink" xfId="1768" builtinId="8" hidden="1"/>
    <cellStyle name="Hyperlink" xfId="1770" builtinId="8" hidden="1"/>
    <cellStyle name="Hyperlink" xfId="1772" builtinId="8" hidden="1"/>
    <cellStyle name="Hyperlink" xfId="1774" builtinId="8" hidden="1"/>
    <cellStyle name="Hyperlink" xfId="1776" builtinId="8" hidden="1"/>
    <cellStyle name="Hyperlink" xfId="1778" builtinId="8" hidden="1"/>
    <cellStyle name="Hyperlink" xfId="1780" builtinId="8" hidden="1"/>
    <cellStyle name="Hyperlink" xfId="1782" builtinId="8" hidden="1"/>
    <cellStyle name="Hyperlink" xfId="1784" builtinId="8" hidden="1"/>
    <cellStyle name="Hyperlink" xfId="1786" builtinId="8" hidden="1"/>
    <cellStyle name="Hyperlink" xfId="1788" builtinId="8" hidden="1"/>
    <cellStyle name="Hyperlink" xfId="1790" builtinId="8" hidden="1"/>
    <cellStyle name="Hyperlink" xfId="1792" builtinId="8" hidden="1"/>
    <cellStyle name="Hyperlink" xfId="1794" builtinId="8" hidden="1"/>
    <cellStyle name="Hyperlink" xfId="1796" builtinId="8" hidden="1"/>
    <cellStyle name="Hyperlink" xfId="1798" builtinId="8" hidden="1"/>
    <cellStyle name="Hyperlink" xfId="1800" builtinId="8" hidden="1"/>
    <cellStyle name="Hyperlink" xfId="1802" builtinId="8" hidden="1"/>
    <cellStyle name="Hyperlink" xfId="1804" builtinId="8" hidden="1"/>
    <cellStyle name="Hyperlink" xfId="1806" builtinId="8" hidden="1"/>
    <cellStyle name="Hyperlink" xfId="1808" builtinId="8" hidden="1"/>
    <cellStyle name="Hyperlink" xfId="1810" builtinId="8" hidden="1"/>
    <cellStyle name="Hyperlink" xfId="1812" builtinId="8" hidden="1"/>
    <cellStyle name="Hyperlink" xfId="1814" builtinId="8" hidden="1"/>
    <cellStyle name="Hyperlink" xfId="1816" builtinId="8" hidden="1"/>
    <cellStyle name="Hyperlink" xfId="1818" builtinId="8" hidden="1"/>
    <cellStyle name="Hyperlink" xfId="1820" builtinId="8" hidden="1"/>
    <cellStyle name="Hyperlink" xfId="1822" builtinId="8" hidden="1"/>
    <cellStyle name="Hyperlink" xfId="1824" builtinId="8" hidden="1"/>
    <cellStyle name="Hyperlink" xfId="1826" builtinId="8" hidden="1"/>
    <cellStyle name="Hyperlink" xfId="1828" builtinId="8" hidden="1"/>
    <cellStyle name="Hyperlink" xfId="1830" builtinId="8" hidden="1"/>
    <cellStyle name="Hyperlink" xfId="1832" builtinId="8" hidden="1"/>
    <cellStyle name="Hyperlink" xfId="1834" builtinId="8" hidden="1"/>
    <cellStyle name="Hyperlink" xfId="1836" builtinId="8" hidden="1"/>
    <cellStyle name="Hyperlink" xfId="1838" builtinId="8" hidden="1"/>
    <cellStyle name="Hyperlink" xfId="1840" builtinId="8" hidden="1"/>
    <cellStyle name="Hyperlink" xfId="1842" builtinId="8" hidden="1"/>
    <cellStyle name="Hyperlink" xfId="1844" builtinId="8" hidden="1"/>
    <cellStyle name="Hyperlink" xfId="1846" builtinId="8" hidden="1"/>
    <cellStyle name="Hyperlink" xfId="1848" builtinId="8" hidden="1"/>
    <cellStyle name="Hyperlink" xfId="1850" builtinId="8" hidden="1"/>
    <cellStyle name="Hyperlink" xfId="1852" builtinId="8" hidden="1"/>
    <cellStyle name="Hyperlink" xfId="1854" builtinId="8" hidden="1"/>
    <cellStyle name="Hyperlink" xfId="1856" builtinId="8" hidden="1"/>
    <cellStyle name="Hyperlink" xfId="1858" builtinId="8" hidden="1"/>
    <cellStyle name="Hyperlink" xfId="1860" builtinId="8" hidden="1"/>
    <cellStyle name="Hyperlink" xfId="1862" builtinId="8" hidden="1"/>
    <cellStyle name="Hyperlink" xfId="1864" builtinId="8" hidden="1"/>
    <cellStyle name="Hyperlink" xfId="1866" builtinId="8" hidden="1"/>
    <cellStyle name="Hyperlink" xfId="1868" builtinId="8" hidden="1"/>
    <cellStyle name="Hyperlink" xfId="1870" builtinId="8" hidden="1"/>
    <cellStyle name="Hyperlink" xfId="1872" builtinId="8" hidden="1"/>
    <cellStyle name="Hyperlink" xfId="1874" builtinId="8" hidden="1"/>
    <cellStyle name="Hyperlink" xfId="1876" builtinId="8" hidden="1"/>
    <cellStyle name="Hyperlink" xfId="1878" builtinId="8" hidden="1"/>
    <cellStyle name="Hyperlink" xfId="1880" builtinId="8" hidden="1"/>
    <cellStyle name="Hyperlink" xfId="1882" builtinId="8" hidden="1"/>
    <cellStyle name="Hyperlink" xfId="1884" builtinId="8" hidden="1"/>
    <cellStyle name="Hyperlink" xfId="1886" builtinId="8" hidden="1"/>
    <cellStyle name="Hyperlink" xfId="1888" builtinId="8" hidden="1"/>
    <cellStyle name="Hyperlink" xfId="1890" builtinId="8" hidden="1"/>
    <cellStyle name="Hyperlink" xfId="1892" builtinId="8" hidden="1"/>
    <cellStyle name="Hyperlink" xfId="1894" builtinId="8" hidden="1"/>
    <cellStyle name="Hyperlink" xfId="1896" builtinId="8" hidden="1"/>
    <cellStyle name="Hyperlink" xfId="1898" builtinId="8" hidden="1"/>
    <cellStyle name="Hyperlink" xfId="1900" builtinId="8" hidden="1"/>
    <cellStyle name="Hyperlink" xfId="1902" builtinId="8" hidden="1"/>
    <cellStyle name="Hyperlink" xfId="1904" builtinId="8" hidden="1"/>
    <cellStyle name="Hyperlink" xfId="1906" builtinId="8" hidden="1"/>
    <cellStyle name="Hyperlink" xfId="1908" builtinId="8" hidden="1"/>
    <cellStyle name="Hyperlink" xfId="1910" builtinId="8" hidden="1"/>
    <cellStyle name="Hyperlink" xfId="1912" builtinId="8" hidden="1"/>
    <cellStyle name="Hyperlink" xfId="1914" builtinId="8" hidden="1"/>
    <cellStyle name="Hyperlink" xfId="1916" builtinId="8" hidden="1"/>
    <cellStyle name="Hyperlink" xfId="1918" builtinId="8" hidden="1"/>
    <cellStyle name="Hyperlink" xfId="1920" builtinId="8" hidden="1"/>
    <cellStyle name="Hyperlink" xfId="1922" builtinId="8" hidden="1"/>
    <cellStyle name="Hyperlink" xfId="1924" builtinId="8" hidden="1"/>
    <cellStyle name="Normal" xfId="0" builtinId="0"/>
    <cellStyle name="Percent" xfId="293" builtinId="5"/>
    <cellStyle name="Percent 2" xfId="1586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theme" Target="theme/theme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Breakeven points  (US</a:t>
            </a:r>
            <a:r>
              <a:rPr lang="en-US" baseline="0"/>
              <a:t> dollars / pound)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DATABASE_Schema!$B$34</c:f>
              <c:strCache>
                <c:ptCount val="1"/>
                <c:pt idx="0">
                  <c:v>Variable Costs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DATABASE_Schema!$A$35:$A$36</c:f>
              <c:strCache>
                <c:ptCount val="2"/>
                <c:pt idx="0">
                  <c:v>Producer1</c:v>
                </c:pt>
                <c:pt idx="1">
                  <c:v>Cooperative </c:v>
                </c:pt>
              </c:strCache>
            </c:strRef>
          </c:cat>
          <c:val>
            <c:numRef>
              <c:f>DATABASE_Schema!$B$35:$B$36</c:f>
              <c:numCache>
                <c:formatCode>0.00</c:formatCode>
                <c:ptCount val="2"/>
                <c:pt idx="0">
                  <c:v>1.1852424488698572</c:v>
                </c:pt>
                <c:pt idx="1">
                  <c:v>1.1392028024546756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E-4DB3-BC75-413D7B7DA6C5}"/>
            </c:ext>
          </c:extLst>
        </c:ser>
        <c:ser>
          <c:idx val="1"/>
          <c:order val="1"/>
          <c:tx>
            <c:strRef>
              <c:f>DATABASE_Schema!$C$34</c:f>
              <c:strCache>
                <c:ptCount val="1"/>
                <c:pt idx="0">
                  <c:v>Fixed costs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DATABASE_Schema!$A$35:$A$36</c:f>
              <c:strCache>
                <c:ptCount val="2"/>
                <c:pt idx="0">
                  <c:v>Producer1</c:v>
                </c:pt>
                <c:pt idx="1">
                  <c:v>Cooperative </c:v>
                </c:pt>
              </c:strCache>
            </c:strRef>
          </c:cat>
          <c:val>
            <c:numRef>
              <c:f>DATABASE_Schema!$C$35:$C$36</c:f>
              <c:numCache>
                <c:formatCode>0.00</c:formatCode>
                <c:ptCount val="2"/>
                <c:pt idx="0">
                  <c:v>4.1315816045943921E-2</c:v>
                </c:pt>
                <c:pt idx="1">
                  <c:v>6.1805724746045898E-2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E-4DB3-BC75-413D7B7DA6C5}"/>
            </c:ext>
          </c:extLst>
        </c:ser>
        <c:ser>
          <c:idx val="2"/>
          <c:order val="2"/>
          <c:tx>
            <c:strRef>
              <c:f>DATABASE_Schema!$D$34</c:f>
              <c:strCache>
                <c:ptCount val="1"/>
                <c:pt idx="0">
                  <c:v>Total costs and depreciation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DATABASE_Schema!$A$35:$A$36</c:f>
              <c:strCache>
                <c:ptCount val="2"/>
                <c:pt idx="0">
                  <c:v>Producer1</c:v>
                </c:pt>
                <c:pt idx="1">
                  <c:v>Cooperative </c:v>
                </c:pt>
              </c:strCache>
            </c:strRef>
          </c:cat>
          <c:val>
            <c:numRef>
              <c:f>DATABASE_Schema!$D$35:$D$36</c:f>
              <c:numCache>
                <c:formatCode>0.00</c:formatCode>
                <c:ptCount val="2"/>
                <c:pt idx="0">
                  <c:v>0.88928394728226801</c:v>
                </c:pt>
                <c:pt idx="1">
                  <c:v>0.80000000000000016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E-4DB3-BC75-413D7B7DA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7581304"/>
        <c:axId val="-2127580952"/>
      </c:barChart>
      <c:catAx>
        <c:axId val="-21275813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80952"/>
        <c:crosses val="autoZero"/>
        <c:auto val="1"/>
        <c:lblAlgn val="ctr"/>
        <c:lblOffset val="100"/>
        <c:noMultiLvlLbl val="0"/>
      </c:catAx>
      <c:valAx>
        <c:axId val="-2127580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581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Breakeven points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DATABASE_Schema!$B$34</c:f>
              <c:strCache>
                <c:ptCount val="1"/>
                <c:pt idx="0">
                  <c:v>Variable Costs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DATABASE_Schema!$A$35:$A$36</c:f>
              <c:strCache>
                <c:ptCount val="2"/>
                <c:pt idx="0">
                  <c:v>Producer1</c:v>
                </c:pt>
                <c:pt idx="1">
                  <c:v>Cooperative </c:v>
                </c:pt>
              </c:strCache>
            </c:strRef>
          </c:cat>
          <c:val>
            <c:numRef>
              <c:f>DATABASE_Schema!$B$35:$B$36</c:f>
              <c:numCache>
                <c:formatCode>0.00</c:formatCode>
                <c:ptCount val="2"/>
                <c:pt idx="0">
                  <c:v>1.1852424488698572</c:v>
                </c:pt>
                <c:pt idx="1">
                  <c:v>1.1392028024546756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E-4DB3-BC75-413D7B7DA6C5}"/>
            </c:ext>
          </c:extLst>
        </c:ser>
        <c:ser>
          <c:idx val="1"/>
          <c:order val="1"/>
          <c:tx>
            <c:strRef>
              <c:f>DATABASE_Schema!$C$34</c:f>
              <c:strCache>
                <c:ptCount val="1"/>
                <c:pt idx="0">
                  <c:v>Fixed costs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DATABASE_Schema!$A$35:$A$36</c:f>
              <c:strCache>
                <c:ptCount val="2"/>
                <c:pt idx="0">
                  <c:v>Producer1</c:v>
                </c:pt>
                <c:pt idx="1">
                  <c:v>Cooperative </c:v>
                </c:pt>
              </c:strCache>
            </c:strRef>
          </c:cat>
          <c:val>
            <c:numRef>
              <c:f>DATABASE_Schema!$C$35:$C$36</c:f>
              <c:numCache>
                <c:formatCode>0.00</c:formatCode>
                <c:ptCount val="2"/>
                <c:pt idx="0">
                  <c:v>4.1315816045943921E-2</c:v>
                </c:pt>
                <c:pt idx="1">
                  <c:v>6.1805724746045898E-2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E-4DB3-BC75-413D7B7DA6C5}"/>
            </c:ext>
          </c:extLst>
        </c:ser>
        <c:ser>
          <c:idx val="2"/>
          <c:order val="2"/>
          <c:tx>
            <c:strRef>
              <c:f>DATABASE_Schema!$D$34</c:f>
              <c:strCache>
                <c:ptCount val="1"/>
                <c:pt idx="0">
                  <c:v>Total costs and depreciation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DATABASE_Schema!$A$35:$A$36</c:f>
              <c:strCache>
                <c:ptCount val="2"/>
                <c:pt idx="0">
                  <c:v>Producer1</c:v>
                </c:pt>
                <c:pt idx="1">
                  <c:v>Cooperative </c:v>
                </c:pt>
              </c:strCache>
            </c:strRef>
          </c:cat>
          <c:val>
            <c:numRef>
              <c:f>DATABASE_Schema!$D$35:$D$36</c:f>
              <c:numCache>
                <c:formatCode>0.00</c:formatCode>
                <c:ptCount val="2"/>
                <c:pt idx="0">
                  <c:v>0.88928394728226801</c:v>
                </c:pt>
                <c:pt idx="1">
                  <c:v>0.80000000000000016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E-4DB3-BC75-413D7B7DA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132739528"/>
        <c:axId val="2131868088"/>
      </c:barChart>
      <c:catAx>
        <c:axId val="2132739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868088"/>
        <c:crosses val="autoZero"/>
        <c:auto val="1"/>
        <c:lblAlgn val="ctr"/>
        <c:lblOffset val="100"/>
        <c:noMultiLvlLbl val="0"/>
      </c:catAx>
      <c:valAx>
        <c:axId val="213186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27395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Breakeven points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TOTAL_Adj'!$C$13</c:f>
              <c:strCache>
                <c:ptCount val="1"/>
                <c:pt idx="0">
                  <c:v>Variable Costs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100000"/>
                    <a:shade val="100000"/>
                    <a:satMod val="130000"/>
                  </a:schemeClr>
                </a:gs>
                <a:gs pos="100000">
                  <a:schemeClr val="accent1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'Outcome TOTAL_Adj'!$B$14:$B$15</c:f>
              <c:strCache>
                <c:ptCount val="2"/>
                <c:pt idx="0">
                  <c:v>Productor 1</c:v>
                </c:pt>
                <c:pt idx="1">
                  <c:v>Cooperative </c:v>
                </c:pt>
              </c:strCache>
            </c:strRef>
          </c:cat>
          <c:val>
            <c:numRef>
              <c:f>'Outcome TOTAL_Adj'!$C$14:$C$15</c:f>
              <c:numCache>
                <c:formatCode>General</c:formatCode>
                <c:ptCount val="2"/>
                <c:pt idx="0" formatCode="0.00">
                  <c:v>1.1852424488698572</c:v>
                </c:pt>
                <c:pt idx="1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BE-4DB3-BC75-413D7B7DA6C5}"/>
            </c:ext>
          </c:extLst>
        </c:ser>
        <c:ser>
          <c:idx val="1"/>
          <c:order val="1"/>
          <c:tx>
            <c:strRef>
              <c:f>'Outcome TOTAL_Adj'!$D$13</c:f>
              <c:strCache>
                <c:ptCount val="1"/>
                <c:pt idx="0">
                  <c:v>Fixed costs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100000"/>
                    <a:shade val="100000"/>
                    <a:satMod val="130000"/>
                  </a:schemeClr>
                </a:gs>
                <a:gs pos="100000">
                  <a:schemeClr val="accent2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'Outcome TOTAL_Adj'!$B$14:$B$15</c:f>
              <c:strCache>
                <c:ptCount val="2"/>
                <c:pt idx="0">
                  <c:v>Productor 1</c:v>
                </c:pt>
                <c:pt idx="1">
                  <c:v>Cooperative </c:v>
                </c:pt>
              </c:strCache>
            </c:strRef>
          </c:cat>
          <c:val>
            <c:numRef>
              <c:f>'Outcome TOTAL_Adj'!$D$14:$D$15</c:f>
              <c:numCache>
                <c:formatCode>General</c:formatCode>
                <c:ptCount val="2"/>
                <c:pt idx="0" formatCode="0.00">
                  <c:v>4.1315816045943921E-2</c:v>
                </c:pt>
                <c:pt idx="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CBE-4DB3-BC75-413D7B7DA6C5}"/>
            </c:ext>
          </c:extLst>
        </c:ser>
        <c:ser>
          <c:idx val="2"/>
          <c:order val="2"/>
          <c:tx>
            <c:strRef>
              <c:f>'Outcome TOTAL_Adj'!$E$13</c:f>
              <c:strCache>
                <c:ptCount val="1"/>
                <c:pt idx="0">
                  <c:v>Total costs and depreciation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100000"/>
                    <a:shade val="100000"/>
                    <a:satMod val="130000"/>
                  </a:schemeClr>
                </a:gs>
                <a:gs pos="100000">
                  <a:schemeClr val="accent3">
                    <a:tint val="50000"/>
                    <a:shade val="100000"/>
                    <a:satMod val="350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'Outcome TOTAL_Adj'!$B$14:$B$15</c:f>
              <c:strCache>
                <c:ptCount val="2"/>
                <c:pt idx="0">
                  <c:v>Productor 1</c:v>
                </c:pt>
                <c:pt idx="1">
                  <c:v>Cooperative </c:v>
                </c:pt>
              </c:strCache>
            </c:strRef>
          </c:cat>
          <c:val>
            <c:numRef>
              <c:f>'Outcome TOTAL_Adj'!$E$14:$E$15</c:f>
              <c:numCache>
                <c:formatCode>General</c:formatCode>
                <c:ptCount val="2"/>
                <c:pt idx="0" formatCode="0.00">
                  <c:v>0.88928394728226801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CBE-4DB3-BC75-413D7B7DA6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7437448"/>
        <c:axId val="-2078543656"/>
      </c:barChart>
      <c:catAx>
        <c:axId val="-21274374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078543656"/>
        <c:crosses val="autoZero"/>
        <c:auto val="1"/>
        <c:lblAlgn val="ctr"/>
        <c:lblOffset val="100"/>
        <c:noMultiLvlLbl val="0"/>
      </c:catAx>
      <c:valAx>
        <c:axId val="-2078543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7437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Breakeven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'Outcome TOTAL_Adj'!$C$13</c:f>
              <c:strCache>
                <c:ptCount val="1"/>
                <c:pt idx="0">
                  <c:v>Variable Costs</c:v>
                </c:pt>
              </c:strCache>
            </c:strRef>
          </c:tx>
          <c:spPr>
            <a:solidFill>
              <a:srgbClr val="008000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'Outcome TOTAL_Adj'!$B$14:$B$15</c:f>
              <c:strCache>
                <c:ptCount val="2"/>
                <c:pt idx="0">
                  <c:v>Productor 1</c:v>
                </c:pt>
                <c:pt idx="1">
                  <c:v>Cooperative </c:v>
                </c:pt>
              </c:strCache>
            </c:strRef>
          </c:cat>
          <c:val>
            <c:numRef>
              <c:f>'Outcome TOTAL_Adj'!$C$14:$C$15</c:f>
              <c:numCache>
                <c:formatCode>General</c:formatCode>
                <c:ptCount val="2"/>
                <c:pt idx="0" formatCode="0.00">
                  <c:v>1.1852424488698572</c:v>
                </c:pt>
                <c:pt idx="1">
                  <c:v>1.05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74-4F34-9596-6524DE1772FD}"/>
            </c:ext>
          </c:extLst>
        </c:ser>
        <c:ser>
          <c:idx val="1"/>
          <c:order val="1"/>
          <c:tx>
            <c:strRef>
              <c:f>'Outcome TOTAL_Adj'!$D$13</c:f>
              <c:strCache>
                <c:ptCount val="1"/>
                <c:pt idx="0">
                  <c:v>Fixed costs</c:v>
                </c:pt>
              </c:strCache>
            </c:strRef>
          </c:tx>
          <c:spPr>
            <a:solidFill>
              <a:srgbClr val="9BBB59">
                <a:lumMod val="60000"/>
                <a:lumOff val="40000"/>
              </a:srgbClr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'Outcome TOTAL_Adj'!$B$14:$B$15</c:f>
              <c:strCache>
                <c:ptCount val="2"/>
                <c:pt idx="0">
                  <c:v>Productor 1</c:v>
                </c:pt>
                <c:pt idx="1">
                  <c:v>Cooperative </c:v>
                </c:pt>
              </c:strCache>
            </c:strRef>
          </c:cat>
          <c:val>
            <c:numRef>
              <c:f>'Outcome TOTAL_Adj'!$D$14:$D$15</c:f>
              <c:numCache>
                <c:formatCode>General</c:formatCode>
                <c:ptCount val="2"/>
                <c:pt idx="0" formatCode="0.00">
                  <c:v>4.1315816045943921E-2</c:v>
                </c:pt>
                <c:pt idx="1">
                  <c:v>0.06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074-4F34-9596-6524DE1772FD}"/>
            </c:ext>
          </c:extLst>
        </c:ser>
        <c:ser>
          <c:idx val="2"/>
          <c:order val="2"/>
          <c:tx>
            <c:strRef>
              <c:f>'Outcome TOTAL_Adj'!$E$13</c:f>
              <c:strCache>
                <c:ptCount val="1"/>
                <c:pt idx="0">
                  <c:v>Total costs and depreciation</c:v>
                </c:pt>
              </c:strCache>
            </c:strRef>
          </c:tx>
          <c:spPr>
            <a:solidFill>
              <a:srgbClr val="CCFFCC"/>
            </a:soli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invertIfNegative val="0"/>
          <c:cat>
            <c:strRef>
              <c:f>'Outcome TOTAL_Adj'!$B$14:$B$15</c:f>
              <c:strCache>
                <c:ptCount val="2"/>
                <c:pt idx="0">
                  <c:v>Productor 1</c:v>
                </c:pt>
                <c:pt idx="1">
                  <c:v>Cooperative </c:v>
                </c:pt>
              </c:strCache>
            </c:strRef>
          </c:cat>
          <c:val>
            <c:numRef>
              <c:f>'Outcome TOTAL_Adj'!$E$14:$E$15</c:f>
              <c:numCache>
                <c:formatCode>General</c:formatCode>
                <c:ptCount val="2"/>
                <c:pt idx="0" formatCode="0.00">
                  <c:v>0.88928394728226801</c:v>
                </c:pt>
                <c:pt idx="1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074-4F34-9596-6524DE1772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-2128015096"/>
        <c:axId val="-2128011512"/>
      </c:barChart>
      <c:catAx>
        <c:axId val="-2128015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011512"/>
        <c:crosses val="autoZero"/>
        <c:auto val="1"/>
        <c:lblAlgn val="ctr"/>
        <c:lblOffset val="100"/>
        <c:noMultiLvlLbl val="0"/>
      </c:catAx>
      <c:valAx>
        <c:axId val="-2128011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28015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0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</xdr:row>
      <xdr:rowOff>12700</xdr:rowOff>
    </xdr:from>
    <xdr:to>
      <xdr:col>18</xdr:col>
      <xdr:colOff>200025</xdr:colOff>
      <xdr:row>25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0.03963</cdr:x>
      <cdr:y>0.31412</cdr:y>
    </cdr:from>
    <cdr:to>
      <cdr:x>1</cdr:x>
      <cdr:y>0.32277</cdr:y>
    </cdr:to>
    <cdr:cxnSp macro="">
      <cdr:nvCxnSpPr>
        <cdr:cNvPr id="2" name="Straight Connector 1">
          <a:extLst xmlns:a="http://schemas.openxmlformats.org/drawingml/2006/main">
            <a:ext uri="{FF2B5EF4-FFF2-40B4-BE49-F238E27FC236}">
              <a16:creationId xmlns:a16="http://schemas.microsoft.com/office/drawing/2014/main" id="{285F0D0C-D9D4-4622-B94D-331598F036E7}"/>
            </a:ext>
          </a:extLst>
        </cdr:cNvPr>
        <cdr:cNvCxnSpPr/>
      </cdr:nvCxnSpPr>
      <cdr:spPr>
        <a:xfrm xmlns:a="http://schemas.openxmlformats.org/drawingml/2006/main" flipV="1">
          <a:off x="419100" y="1384300"/>
          <a:ext cx="10156825" cy="38100"/>
        </a:xfrm>
        <a:prstGeom xmlns:a="http://schemas.openxmlformats.org/drawingml/2006/main" prst="line">
          <a:avLst/>
        </a:prstGeom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  <cdr:relSizeAnchor xmlns:cdr="http://schemas.openxmlformats.org/drawingml/2006/chartDrawing">
    <cdr:from>
      <cdr:x>0.03362</cdr:x>
      <cdr:y>0.47262</cdr:y>
    </cdr:from>
    <cdr:to>
      <cdr:x>1</cdr:x>
      <cdr:y>0.48415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E76CF014-14DE-4F91-80C4-B3EAEAB83F03}"/>
            </a:ext>
          </a:extLst>
        </cdr:cNvPr>
        <cdr:cNvCxnSpPr/>
      </cdr:nvCxnSpPr>
      <cdr:spPr>
        <a:xfrm xmlns:a="http://schemas.openxmlformats.org/drawingml/2006/main" flipV="1">
          <a:off x="355600" y="2082800"/>
          <a:ext cx="10220325" cy="5080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FF0000"/>
          </a:solidFill>
        </a:ln>
        <a:effectLst xmlns:a="http://schemas.openxmlformats.org/drawingml/2006/main"/>
      </cdr:spPr>
      <cdr:style>
        <a:lnRef xmlns:a="http://schemas.openxmlformats.org/drawingml/2006/main" idx="2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1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92074</xdr:colOff>
      <xdr:row>33</xdr:row>
      <xdr:rowOff>190500</xdr:rowOff>
    </xdr:from>
    <xdr:to>
      <xdr:col>35</xdr:col>
      <xdr:colOff>571499</xdr:colOff>
      <xdr:row>55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561975</xdr:colOff>
      <xdr:row>3</xdr:row>
      <xdr:rowOff>190500</xdr:rowOff>
    </xdr:from>
    <xdr:to>
      <xdr:col>10</xdr:col>
      <xdr:colOff>66675</xdr:colOff>
      <xdr:row>8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1004455</xdr:colOff>
      <xdr:row>2</xdr:row>
      <xdr:rowOff>277092</xdr:rowOff>
    </xdr:from>
    <xdr:to>
      <xdr:col>15</xdr:col>
      <xdr:colOff>259772</xdr:colOff>
      <xdr:row>3</xdr:row>
      <xdr:rowOff>813956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 txBox="1"/>
      </xdr:nvSpPr>
      <xdr:spPr>
        <a:xfrm>
          <a:off x="14841682" y="692728"/>
          <a:ext cx="6823363" cy="1454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MX" sz="1400" b="1"/>
            <a:t>Nota: Subieron</a:t>
          </a:r>
          <a:r>
            <a:rPr lang="es-MX" sz="1400" b="1" baseline="0"/>
            <a:t> costos de producción porque sumé </a:t>
          </a:r>
        </a:p>
        <a:p>
          <a:endParaRPr lang="es-MX" sz="1400" b="1" baseline="0"/>
        </a:p>
        <a:p>
          <a:r>
            <a:rPr lang="es-MX" sz="1400" b="1" baseline="0"/>
            <a:t>Costo de aimentar un trabajador por día </a:t>
          </a:r>
          <a:r>
            <a:rPr lang="es-MX" sz="1400" b="1" baseline="0">
              <a:solidFill>
                <a:srgbClr val="FF0000"/>
              </a:solidFill>
            </a:rPr>
            <a:t>+ </a:t>
          </a:r>
          <a:r>
            <a:rPr lang="es-MX" sz="1400" b="1" baseline="0"/>
            <a:t>costo del jornal</a:t>
          </a:r>
        </a:p>
        <a:p>
          <a:endParaRPr lang="es-MX" sz="1400" b="1" baseline="0"/>
        </a:p>
        <a:p>
          <a:r>
            <a:rPr lang="es-MX" sz="1400" b="1" baseline="0"/>
            <a:t>Porque no se estaba considerando antes el costo de alimentación en esta edición</a:t>
          </a:r>
          <a:endParaRPr lang="es-MX" sz="1400" b="1"/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0</xdr:row>
      <xdr:rowOff>133350</xdr:rowOff>
    </xdr:from>
    <xdr:to>
      <xdr:col>11</xdr:col>
      <xdr:colOff>400050</xdr:colOff>
      <xdr:row>16</xdr:row>
      <xdr:rowOff>161925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0000000-0008-0000-10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406400</xdr:colOff>
      <xdr:row>6</xdr:row>
      <xdr:rowOff>25400</xdr:rowOff>
    </xdr:from>
    <xdr:to>
      <xdr:col>11</xdr:col>
      <xdr:colOff>393700</xdr:colOff>
      <xdr:row>6</xdr:row>
      <xdr:rowOff>50800</xdr:rowOff>
    </xdr:to>
    <xdr:cxnSp macro="">
      <xdr:nvCxnSpPr>
        <xdr:cNvPr id="8" name="Straight Connector 7">
          <a:extLst>
            <a:ext uri="{FF2B5EF4-FFF2-40B4-BE49-F238E27FC236}">
              <a16:creationId xmlns:a16="http://schemas.microsoft.com/office/drawing/2014/main" id="{00000000-0008-0000-1000-000008000000}"/>
            </a:ext>
          </a:extLst>
        </xdr:cNvPr>
        <xdr:cNvCxnSpPr/>
      </xdr:nvCxnSpPr>
      <xdr:spPr>
        <a:xfrm flipV="1">
          <a:off x="2425700" y="1168400"/>
          <a:ext cx="5372100" cy="25400"/>
        </a:xfrm>
        <a:prstGeom prst="line">
          <a:avLst/>
        </a:prstGeom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393700</xdr:colOff>
      <xdr:row>8</xdr:row>
      <xdr:rowOff>38100</xdr:rowOff>
    </xdr:from>
    <xdr:to>
      <xdr:col>11</xdr:col>
      <xdr:colOff>381000</xdr:colOff>
      <xdr:row>8</xdr:row>
      <xdr:rowOff>63500</xdr:rowOff>
    </xdr:to>
    <xdr:cxnSp macro="">
      <xdr:nvCxnSpPr>
        <xdr:cNvPr id="11" name="Straight Connector 10">
          <a:extLst>
            <a:ext uri="{FF2B5EF4-FFF2-40B4-BE49-F238E27FC236}">
              <a16:creationId xmlns:a16="http://schemas.microsoft.com/office/drawing/2014/main" id="{00000000-0008-0000-1000-00000B000000}"/>
            </a:ext>
          </a:extLst>
        </xdr:cNvPr>
        <xdr:cNvCxnSpPr/>
      </xdr:nvCxnSpPr>
      <xdr:spPr>
        <a:xfrm flipV="1">
          <a:off x="2413000" y="1562100"/>
          <a:ext cx="5372100" cy="25400"/>
        </a:xfrm>
        <a:prstGeom prst="line">
          <a:avLst/>
        </a:prstGeom>
        <a:ln>
          <a:solidFill>
            <a:srgbClr val="FF0000"/>
          </a:solidFill>
        </a:ln>
      </xdr:spPr>
      <xdr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99680</xdr:colOff>
      <xdr:row>9</xdr:row>
      <xdr:rowOff>44302</xdr:rowOff>
    </xdr:from>
    <xdr:to>
      <xdr:col>15</xdr:col>
      <xdr:colOff>620232</xdr:colOff>
      <xdr:row>25</xdr:row>
      <xdr:rowOff>110756</xdr:rowOff>
    </xdr:to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00000000-0008-0000-1200-000002000000}"/>
                </a:ext>
              </a:extLst>
            </xdr:cNvPr>
            <xdr:cNvSpPr txBox="1"/>
          </xdr:nvSpPr>
          <xdr:spPr>
            <a:xfrm>
              <a:off x="7907965" y="1871773"/>
              <a:ext cx="5759302" cy="304578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𝑝𝑒𝑟𝑐𝑒𝑛𝑡𝑎𝑔𝑒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𝑐h𝑎𝑛𝑔𝑒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d>
                          <m:dPr>
                            <m:ctrlP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𝑝𝑟𝑜𝑑𝑢𝑐𝑡𝑡𝑟</m:t>
                            </m:r>
                            <m:sSub>
                              <m:sSubPr>
                                <m:ctrlPr>
                                  <a:rPr lang="es-MX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𝑒𝑒</m:t>
                                </m:r>
                              </m:e>
                              <m:sub>
                                <m:r>
                                  <a:rPr lang="es-MX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𝑚𝑎𝑡𝑢𝑟𝑒</m:t>
                                </m:r>
                              </m:sub>
                            </m:sSub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−</m:t>
                            </m:r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𝑝𝑟𝑜𝑑𝑢𝑐𝑡𝑡𝑟𝑒</m:t>
                            </m:r>
                            <m:sSub>
                              <m:sSubPr>
                                <m:ctrlPr>
                                  <a:rPr lang="es-MX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MX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𝑒</m:t>
                                </m:r>
                              </m:e>
                              <m:sub>
                                <m:r>
                                  <a:rPr lang="es-MX" sz="1100" i="1">
                                    <a:solidFill>
                                      <a:schemeClr val="dk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𝑦𝑜𝑢𝑛𝑔</m:t>
                                </m:r>
                              </m:sub>
                            </m:sSub>
                          </m:e>
                        </m:d>
                      </m:num>
                      <m:den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𝑝𝑟𝑜𝑑𝑢𝑐𝑡𝑡𝑟𝑒</m:t>
                        </m:r>
                        <m:sSub>
                          <m:sSubPr>
                            <m:ctrlP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b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𝑦𝑜𝑢𝑛𝑔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MX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MX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𝑝𝑒𝑟𝑐𝑒𝑛𝑡𝑎𝑔𝑒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𝑐h𝑎𝑛𝑔𝑒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𝑝𝑟𝑜𝑑𝑢𝑐𝑡𝑡𝑟𝑒</m:t>
                        </m:r>
                        <m:sSub>
                          <m:sSubPr>
                            <m:ctrlP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b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𝑚𝑎𝑡𝑢𝑟𝑒</m:t>
                            </m:r>
                          </m:sub>
                        </m:sSub>
                      </m:num>
                      <m:den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𝑝𝑟𝑜𝑑𝑢𝑐𝑡𝑡𝑟𝑒</m:t>
                        </m:r>
                        <m:sSub>
                          <m:sSubPr>
                            <m:ctrlP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b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𝑦𝑜𝑢𝑛𝑔</m:t>
                            </m:r>
                          </m:sub>
                        </m:sSub>
                      </m:den>
                    </m:f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−1</m:t>
                    </m:r>
                  </m:oMath>
                </m:oMathPara>
              </a14:m>
              <a:endParaRPr lang="es-MX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MX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𝑝𝑒𝑟𝑐𝑒𝑛𝑡𝑎𝑔𝑒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𝑐h𝑎𝑛𝑔𝑒</m:t>
                    </m:r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+1=</m:t>
                    </m:r>
                    <m:f>
                      <m:fPr>
                        <m:ctrlP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𝑝𝑟𝑜𝑑𝑢𝑐𝑡𝑡𝑟𝑒</m:t>
                        </m:r>
                        <m:sSub>
                          <m:sSubPr>
                            <m:ctrlP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b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𝑚𝑎𝑡𝑢𝑟𝑒</m:t>
                            </m:r>
                          </m:sub>
                        </m:sSub>
                      </m:num>
                      <m:den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𝑝𝑟𝑜𝑑𝑢𝑐𝑡𝑡𝑟𝑒</m:t>
                        </m:r>
                        <m:sSub>
                          <m:sSubPr>
                            <m:ctrlP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b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𝑦𝑜𝑢𝑛𝑔</m:t>
                            </m:r>
                          </m:sub>
                        </m:sSub>
                      </m:den>
                    </m:f>
                  </m:oMath>
                </m:oMathPara>
              </a14:m>
              <a:endParaRPr lang="es-MX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MX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𝑝𝑟𝑜𝑑𝑢𝑐𝑡𝑡𝑟𝑒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𝑦𝑜𝑢𝑛𝑔</m:t>
                        </m:r>
                      </m:sub>
                    </m:sSub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𝑝𝑟𝑜𝑑𝑢𝑐𝑡𝑡𝑟𝑒</m:t>
                        </m:r>
                        <m:sSub>
                          <m:sSubPr>
                            <m:ctrlP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b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𝑚𝑎𝑡𝑢𝑟𝑒</m:t>
                            </m:r>
                          </m:sub>
                        </m:sSub>
                      </m:num>
                      <m:den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𝑝𝑟𝑜𝑑𝑢𝑐𝑡𝑡𝑝𝑒𝑟𝑐𝑒𝑛𝑡𝑎𝑔𝑒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𝑐h𝑎𝑛𝑔𝑒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es-MX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MX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MX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 ejemplo del</a:t>
              </a:r>
              <a:r>
                <a:rPr lang="es-MX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primer cambio porcental (4.15)</a:t>
              </a:r>
              <a:endParaRPr lang="es-MX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MX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𝑝𝑟𝑜𝑑𝑢𝑐𝑡𝑡𝑟𝑒</m:t>
                    </m:r>
                    <m:sSub>
                      <m:sSubPr>
                        <m:ctrlP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b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𝑦𝑜𝑢𝑛𝑔</m:t>
                        </m:r>
                      </m:sub>
                    </m:sSub>
                    <m:r>
                      <a:rPr lang="es-MX" sz="1100" i="1">
                        <a:solidFill>
                          <a:schemeClr val="dk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f>
                      <m:fPr>
                        <m:ctrlP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fPr>
                      <m:num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𝑝𝑟𝑜𝑑𝑢𝑐𝑡𝑡𝑟𝑒</m:t>
                        </m:r>
                        <m:sSub>
                          <m:sSubPr>
                            <m:ctrlP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</m:ctrlPr>
                          </m:sSubPr>
                          <m:e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𝑒</m:t>
                            </m:r>
                          </m:e>
                          <m:sub>
                            <m:r>
                              <a:rPr lang="es-MX" sz="1100" i="1">
                                <a:solidFill>
                                  <a:schemeClr val="dk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𝑚𝑎𝑡𝑢𝑟𝑒</m:t>
                            </m:r>
                          </m:sub>
                        </m:sSub>
                      </m:num>
                      <m:den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4.1</m:t>
                        </m:r>
                        <m:r>
                          <a:rPr lang="es-MX" sz="1100" b="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  <m:r>
                          <a:rPr lang="es-MX" sz="1100" i="1">
                            <a:solidFill>
                              <a:schemeClr val="dk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+1</m:t>
                        </m:r>
                      </m:den>
                    </m:f>
                  </m:oMath>
                </m:oMathPara>
              </a14:m>
              <a:endParaRPr lang="es-MX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MX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MX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C1C95C7-9AEB-4055-8FF1-753337D1605D}"/>
                </a:ext>
              </a:extLst>
            </xdr:cNvPr>
            <xdr:cNvSpPr txBox="1"/>
          </xdr:nvSpPr>
          <xdr:spPr>
            <a:xfrm>
              <a:off x="7907965" y="1871773"/>
              <a:ext cx="5759302" cy="3045785"/>
            </a:xfrm>
            <a:prstGeom prst="rect">
              <a:avLst/>
            </a:prstGeom>
            <a:solidFill>
              <a:schemeClr val="lt1"/>
            </a:solidFill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es-MX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𝑝𝑒𝑟𝑐𝑒𝑛𝑡𝑎𝑔𝑒 𝑐ℎ𝑎𝑛𝑔𝑒=((𝑝𝑟𝑜𝑑𝑢𝑐𝑡𝑡𝑟〖𝑒𝑒〗_𝑚𝑎𝑡𝑢𝑟𝑒−𝑝𝑟𝑜𝑑𝑢𝑐𝑡𝑡𝑟𝑒𝑒_𝑦𝑜𝑢𝑛𝑔 ))/(𝑝𝑟𝑜𝑑𝑢𝑐𝑡𝑡𝑟𝑒𝑒_𝑦𝑜𝑢𝑛𝑔 )</a:t>
              </a:r>
              <a:endParaRPr lang="es-MX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MX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MX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𝑝𝑒𝑟𝑐𝑒𝑛𝑡𝑎𝑔𝑒 𝑐ℎ𝑎𝑛𝑔𝑒=(𝑝𝑟𝑜𝑑𝑢𝑐𝑡𝑡𝑟𝑒𝑒_𝑚𝑎𝑡𝑢𝑟𝑒)/(𝑝𝑟𝑜𝑑𝑢𝑐𝑡𝑡𝑟𝑒𝑒_𝑦𝑜𝑢𝑛𝑔 )−1</a:t>
              </a:r>
              <a:endParaRPr lang="es-MX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MX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MX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𝑝𝑒𝑟𝑐𝑒𝑛𝑡𝑎𝑔𝑒 𝑐ℎ𝑎𝑛𝑔𝑒+1=(𝑝𝑟𝑜𝑑𝑢𝑐𝑡𝑡𝑟𝑒𝑒_𝑚𝑎𝑡𝑢𝑟𝑒)/(𝑝𝑟𝑜𝑑𝑢𝑐𝑡𝑡𝑟𝑒𝑒_𝑦𝑜𝑢𝑛𝑔 )</a:t>
              </a:r>
              <a:endParaRPr lang="es-MX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MX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MX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𝑝𝑟𝑜𝑑𝑢𝑐𝑡𝑡𝑟𝑒𝑒_𝑦𝑜𝑢𝑛𝑔=(𝑝𝑟𝑜𝑑𝑢𝑐𝑡𝑡𝑟𝑒𝑒_𝑚𝑎𝑡𝑢𝑟𝑒)/(𝑝𝑟𝑜𝑑𝑢𝑐𝑡𝑡𝑝𝑒𝑟𝑐𝑒𝑛𝑡𝑎𝑔𝑒 𝑐ℎ𝑎𝑛𝑔𝑒+1)</a:t>
              </a:r>
              <a:endParaRPr lang="es-MX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MX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MX" sz="1100" i="1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con ejemplo del</a:t>
              </a:r>
              <a:r>
                <a:rPr lang="es-MX" sz="1100" i="1" baseline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 primer cambio porcental (4.15)</a:t>
              </a:r>
              <a:endParaRPr lang="es-MX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MX" sz="1100" i="1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r>
                <a:rPr lang="es-MX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𝑝𝑟𝑜𝑑𝑢𝑐𝑡𝑡𝑟𝑒𝑒_𝑦𝑜𝑢𝑛𝑔=(𝑝𝑟𝑜𝑑𝑢𝑐𝑡𝑡𝑟𝑒𝑒_𝑚𝑎𝑡𝑢𝑟𝑒)/(4.1</a:t>
              </a:r>
              <a:r>
                <a:rPr lang="es-MX" sz="1100" b="0" i="0">
                  <a:solidFill>
                    <a:schemeClr val="dk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5</a:t>
              </a:r>
              <a:r>
                <a:rPr lang="es-MX" sz="1100" i="0">
                  <a:solidFill>
                    <a:schemeClr val="dk1"/>
                  </a:solidFill>
                  <a:effectLst/>
                  <a:latin typeface="+mn-lt"/>
                  <a:ea typeface="+mn-ea"/>
                  <a:cs typeface="+mn-cs"/>
                </a:rPr>
                <a:t>+1)</a:t>
              </a:r>
              <a:endParaRPr lang="es-MX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MX" sz="1100">
                <a:solidFill>
                  <a:schemeClr val="dk1"/>
                </a:solidFill>
                <a:effectLst/>
                <a:latin typeface="+mn-lt"/>
                <a:ea typeface="+mn-ea"/>
                <a:cs typeface="+mn-cs"/>
              </a:endParaRPr>
            </a:p>
            <a:p>
              <a:endParaRPr lang="es-MX" sz="1100"/>
            </a:p>
          </xdr:txBody>
        </xdr:sp>
      </mc:Fallback>
    </mc:AlternateContent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26"/>
  <sheetViews>
    <sheetView workbookViewId="0">
      <selection activeCell="E24" sqref="E24"/>
    </sheetView>
  </sheetViews>
  <sheetFormatPr defaultColWidth="11" defaultRowHeight="15.75" x14ac:dyDescent="0.25"/>
  <cols>
    <col min="3" max="3" width="41.875" customWidth="1"/>
    <col min="4" max="4" width="5.125" style="321" customWidth="1"/>
  </cols>
  <sheetData>
    <row r="3" spans="2:10" ht="16.5" thickBot="1" x14ac:dyDescent="0.3"/>
    <row r="4" spans="2:10" x14ac:dyDescent="0.25">
      <c r="B4" s="673"/>
      <c r="C4" s="758"/>
      <c r="D4" s="674"/>
      <c r="E4" s="674"/>
      <c r="F4" s="675"/>
    </row>
    <row r="5" spans="2:10" x14ac:dyDescent="0.25">
      <c r="B5" s="676"/>
      <c r="C5" s="665"/>
      <c r="D5" s="665"/>
      <c r="E5" s="665"/>
      <c r="F5" s="677"/>
    </row>
    <row r="6" spans="2:10" x14ac:dyDescent="0.25">
      <c r="B6" s="676"/>
      <c r="C6" s="683" t="s">
        <v>917</v>
      </c>
      <c r="D6" s="683"/>
      <c r="E6" s="685">
        <v>1.03</v>
      </c>
      <c r="F6" s="677"/>
    </row>
    <row r="7" spans="2:10" x14ac:dyDescent="0.25">
      <c r="B7" s="676"/>
      <c r="C7" s="683" t="s">
        <v>918</v>
      </c>
      <c r="D7" s="683"/>
      <c r="E7" s="685">
        <v>1.94</v>
      </c>
      <c r="F7" s="677"/>
    </row>
    <row r="8" spans="2:10" x14ac:dyDescent="0.25">
      <c r="B8" s="676"/>
      <c r="C8" s="683" t="s">
        <v>919</v>
      </c>
      <c r="D8" s="683"/>
      <c r="E8" s="685">
        <v>1.97</v>
      </c>
      <c r="F8" s="677"/>
    </row>
    <row r="9" spans="2:10" x14ac:dyDescent="0.25">
      <c r="B9" s="676"/>
      <c r="C9" s="683"/>
      <c r="D9" s="683"/>
      <c r="E9" s="685"/>
      <c r="F9" s="677"/>
    </row>
    <row r="10" spans="2:10" x14ac:dyDescent="0.25">
      <c r="B10" s="676"/>
      <c r="C10" s="683" t="s">
        <v>913</v>
      </c>
      <c r="D10" s="683"/>
      <c r="E10" s="685">
        <v>1</v>
      </c>
      <c r="F10" s="677"/>
    </row>
    <row r="11" spans="2:10" x14ac:dyDescent="0.25">
      <c r="B11" s="676"/>
      <c r="C11" s="683" t="s">
        <v>818</v>
      </c>
      <c r="D11" s="683"/>
      <c r="E11" s="685">
        <v>0</v>
      </c>
      <c r="F11" s="677"/>
    </row>
    <row r="12" spans="2:10" x14ac:dyDescent="0.25">
      <c r="B12" s="676"/>
      <c r="C12" s="683" t="s">
        <v>819</v>
      </c>
      <c r="D12" s="683"/>
      <c r="E12" s="685">
        <v>0</v>
      </c>
      <c r="F12" s="677"/>
    </row>
    <row r="13" spans="2:10" x14ac:dyDescent="0.25">
      <c r="B13" s="676"/>
      <c r="C13" s="683"/>
      <c r="D13" s="683"/>
      <c r="E13" s="685"/>
      <c r="F13" s="677"/>
      <c r="H13" s="321"/>
      <c r="I13" s="321"/>
      <c r="J13" s="321"/>
    </row>
    <row r="14" spans="2:10" ht="68.099999999999994" customHeight="1" x14ac:dyDescent="0.25">
      <c r="B14" s="676"/>
      <c r="C14" s="684" t="s">
        <v>920</v>
      </c>
      <c r="D14" s="684"/>
      <c r="E14" s="749">
        <v>16.155738605161996</v>
      </c>
      <c r="F14" s="677"/>
      <c r="H14" s="321"/>
      <c r="I14" s="321"/>
      <c r="J14" s="321"/>
    </row>
    <row r="15" spans="2:10" ht="62.1" customHeight="1" x14ac:dyDescent="0.25">
      <c r="B15" s="676"/>
      <c r="C15" s="684" t="s">
        <v>865</v>
      </c>
      <c r="D15" s="684"/>
      <c r="E15" s="685">
        <v>14</v>
      </c>
      <c r="F15" s="677"/>
    </row>
    <row r="16" spans="2:10" x14ac:dyDescent="0.25">
      <c r="B16" s="676"/>
      <c r="C16" s="683"/>
      <c r="D16" s="683"/>
      <c r="E16" s="685"/>
      <c r="F16" s="677"/>
    </row>
    <row r="17" spans="2:8" ht="75.95" customHeight="1" x14ac:dyDescent="0.25">
      <c r="B17" s="676"/>
      <c r="C17" s="684" t="s">
        <v>925</v>
      </c>
      <c r="D17" s="684"/>
      <c r="E17" s="750">
        <v>235.22130697419001</v>
      </c>
      <c r="F17" s="677"/>
      <c r="H17" s="321"/>
    </row>
    <row r="18" spans="2:8" x14ac:dyDescent="0.25">
      <c r="B18" s="676"/>
      <c r="C18" s="683"/>
      <c r="D18" s="683"/>
      <c r="E18" s="685"/>
      <c r="F18" s="677"/>
    </row>
    <row r="19" spans="2:8" ht="44.1" customHeight="1" x14ac:dyDescent="0.25">
      <c r="B19" s="676"/>
      <c r="C19" s="684" t="s">
        <v>924</v>
      </c>
      <c r="D19" s="684"/>
      <c r="E19" s="749">
        <v>556.51400329489297</v>
      </c>
      <c r="F19" s="677"/>
    </row>
    <row r="20" spans="2:8" s="321" customFormat="1" x14ac:dyDescent="0.25">
      <c r="B20" s="676"/>
      <c r="C20" s="684"/>
      <c r="D20" s="684"/>
      <c r="E20" s="749"/>
      <c r="F20" s="677"/>
    </row>
    <row r="21" spans="2:8" s="321" customFormat="1" x14ac:dyDescent="0.25">
      <c r="B21" s="676"/>
      <c r="C21" s="684"/>
      <c r="D21" s="684"/>
      <c r="E21" s="749"/>
      <c r="F21" s="677"/>
    </row>
    <row r="22" spans="2:8" s="321" customFormat="1" ht="54.95" customHeight="1" x14ac:dyDescent="0.25">
      <c r="B22" s="676"/>
      <c r="C22" s="684" t="s">
        <v>977</v>
      </c>
      <c r="D22" s="684"/>
      <c r="E22" s="749"/>
      <c r="F22" s="677"/>
    </row>
    <row r="23" spans="2:8" s="321" customFormat="1" x14ac:dyDescent="0.25">
      <c r="B23" s="676"/>
      <c r="C23" s="684"/>
      <c r="D23" s="684"/>
      <c r="E23" s="749"/>
      <c r="F23" s="677"/>
    </row>
    <row r="24" spans="2:8" s="321" customFormat="1" x14ac:dyDescent="0.25">
      <c r="B24" s="676"/>
      <c r="C24" s="751" t="s">
        <v>979</v>
      </c>
      <c r="D24" s="684"/>
      <c r="E24" s="749">
        <v>379.79674777205003</v>
      </c>
      <c r="F24" s="677"/>
    </row>
    <row r="25" spans="2:8" s="321" customFormat="1" x14ac:dyDescent="0.25">
      <c r="B25" s="676"/>
      <c r="C25" s="751" t="s">
        <v>978</v>
      </c>
      <c r="D25" s="684"/>
      <c r="E25" s="749">
        <v>379.79674777205014</v>
      </c>
      <c r="F25" s="677"/>
    </row>
    <row r="26" spans="2:8" s="321" customFormat="1" ht="16.5" thickBot="1" x14ac:dyDescent="0.3">
      <c r="B26" s="678"/>
      <c r="C26" s="759"/>
      <c r="D26" s="759"/>
      <c r="E26" s="760"/>
      <c r="F26" s="68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K60"/>
  <sheetViews>
    <sheetView topLeftCell="A27" workbookViewId="0">
      <selection activeCell="G47" sqref="G47"/>
    </sheetView>
  </sheetViews>
  <sheetFormatPr defaultColWidth="11" defaultRowHeight="15.75" x14ac:dyDescent="0.25"/>
  <cols>
    <col min="1" max="1" width="11" style="321"/>
    <col min="2" max="2" width="46.875" bestFit="1" customWidth="1"/>
    <col min="3" max="3" width="15.625" customWidth="1"/>
    <col min="4" max="4" width="13.5" customWidth="1"/>
    <col min="5" max="5" width="11.625" customWidth="1"/>
    <col min="6" max="6" width="11.875" customWidth="1"/>
    <col min="7" max="7" width="15.875" bestFit="1" customWidth="1"/>
    <col min="8" max="8" width="15.375" customWidth="1"/>
    <col min="9" max="9" width="13.625" customWidth="1"/>
  </cols>
  <sheetData>
    <row r="1" spans="1:11" ht="18.75" x14ac:dyDescent="0.3">
      <c r="B1" s="134" t="s">
        <v>456</v>
      </c>
      <c r="C1" s="211"/>
      <c r="D1" s="73"/>
    </row>
    <row r="3" spans="1:11" x14ac:dyDescent="0.25">
      <c r="B3" s="3" t="s">
        <v>20</v>
      </c>
      <c r="C3" s="16"/>
      <c r="D3" s="8"/>
      <c r="E3" s="16"/>
      <c r="F3" s="3" t="s">
        <v>458</v>
      </c>
      <c r="G3" s="3" t="s">
        <v>460</v>
      </c>
      <c r="H3" s="3" t="s">
        <v>75</v>
      </c>
      <c r="I3" s="3" t="s">
        <v>459</v>
      </c>
    </row>
    <row r="4" spans="1:11" x14ac:dyDescent="0.25">
      <c r="B4" s="177" t="s">
        <v>443</v>
      </c>
      <c r="C4" s="199"/>
      <c r="D4" s="199"/>
      <c r="E4" s="199"/>
      <c r="F4" s="212"/>
      <c r="I4" s="7"/>
      <c r="J4" s="7"/>
      <c r="K4" s="7"/>
    </row>
    <row r="5" spans="1:11" x14ac:dyDescent="0.25">
      <c r="A5" s="10"/>
      <c r="B5" s="10" t="s">
        <v>436</v>
      </c>
      <c r="C5" s="467"/>
      <c r="D5" s="467"/>
      <c r="E5" s="467"/>
      <c r="F5" s="336">
        <f>Budget_Supuestos!C300</f>
        <v>5.36</v>
      </c>
      <c r="G5" s="66">
        <v>0</v>
      </c>
      <c r="H5" s="306">
        <f>Budget_Supuestos!B300</f>
        <v>1434</v>
      </c>
      <c r="I5" s="266">
        <f>IF(H5&gt;0,(H5-G5)/F5,0)</f>
        <v>267.53731343283579</v>
      </c>
      <c r="J5" s="7"/>
      <c r="K5" s="7"/>
    </row>
    <row r="6" spans="1:11" x14ac:dyDescent="0.25">
      <c r="A6" s="10"/>
      <c r="B6" s="10" t="s">
        <v>8</v>
      </c>
      <c r="C6" s="467"/>
      <c r="D6" s="467"/>
      <c r="E6" s="467"/>
      <c r="F6" s="336">
        <f>Budget_Supuestos!C301</f>
        <v>1.29</v>
      </c>
      <c r="G6" s="66">
        <v>0</v>
      </c>
      <c r="H6" s="306">
        <f>Budget_Supuestos!B301</f>
        <v>340</v>
      </c>
      <c r="I6" s="266">
        <f t="shared" ref="I6:I19" si="0">IF(H6&gt;0,(H6-G6)/F6,0)</f>
        <v>263.5658914728682</v>
      </c>
      <c r="J6" s="7"/>
      <c r="K6" s="7"/>
    </row>
    <row r="7" spans="1:11" x14ac:dyDescent="0.25">
      <c r="A7" s="10"/>
      <c r="B7" s="10" t="s">
        <v>437</v>
      </c>
      <c r="C7" s="467"/>
      <c r="D7" s="467"/>
      <c r="E7" s="467"/>
      <c r="F7" s="336">
        <f>Budget_Supuestos!C302</f>
        <v>4.09</v>
      </c>
      <c r="G7" s="66">
        <v>0</v>
      </c>
      <c r="H7" s="306">
        <f>Budget_Supuestos!B302</f>
        <v>184</v>
      </c>
      <c r="I7" s="266">
        <f t="shared" si="0"/>
        <v>44.987775061124694</v>
      </c>
      <c r="J7" s="7"/>
      <c r="K7" s="7"/>
    </row>
    <row r="8" spans="1:11" x14ac:dyDescent="0.25">
      <c r="A8" s="10"/>
      <c r="B8" s="10" t="s">
        <v>202</v>
      </c>
      <c r="C8" s="467"/>
      <c r="D8" s="467"/>
      <c r="E8" s="467"/>
      <c r="F8" s="336">
        <f>Budget_Supuestos!C303</f>
        <v>4.8</v>
      </c>
      <c r="G8" s="66">
        <v>0</v>
      </c>
      <c r="H8" s="306">
        <f>Budget_Supuestos!B303</f>
        <v>190</v>
      </c>
      <c r="I8" s="266">
        <f t="shared" si="0"/>
        <v>39.583333333333336</v>
      </c>
      <c r="J8" s="7"/>
      <c r="K8" s="7"/>
    </row>
    <row r="9" spans="1:11" x14ac:dyDescent="0.25">
      <c r="A9" s="10"/>
      <c r="B9" s="10" t="s">
        <v>24</v>
      </c>
      <c r="C9" s="467"/>
      <c r="D9" s="467"/>
      <c r="E9" s="467"/>
      <c r="F9" s="336">
        <f>Budget_Supuestos!C304</f>
        <v>4.84</v>
      </c>
      <c r="G9" s="66">
        <v>0</v>
      </c>
      <c r="H9" s="306">
        <f>Budget_Supuestos!B304</f>
        <v>943</v>
      </c>
      <c r="I9" s="266">
        <f t="shared" si="0"/>
        <v>194.83471074380165</v>
      </c>
      <c r="J9" s="7"/>
      <c r="K9" s="7"/>
    </row>
    <row r="10" spans="1:11" x14ac:dyDescent="0.25">
      <c r="A10" s="10"/>
      <c r="B10" s="10" t="s">
        <v>25</v>
      </c>
      <c r="C10" s="467"/>
      <c r="D10" s="467"/>
      <c r="E10" s="467"/>
      <c r="F10" s="336">
        <f>Budget_Supuestos!C305</f>
        <v>0.63</v>
      </c>
      <c r="G10" s="66">
        <v>0</v>
      </c>
      <c r="H10" s="306">
        <f>Budget_Supuestos!B305</f>
        <v>289</v>
      </c>
      <c r="I10" s="266">
        <f t="shared" si="0"/>
        <v>458.73015873015873</v>
      </c>
      <c r="J10" s="7"/>
      <c r="K10" s="7"/>
    </row>
    <row r="11" spans="1:11" x14ac:dyDescent="0.25">
      <c r="A11" s="10"/>
      <c r="B11" s="10" t="s">
        <v>438</v>
      </c>
      <c r="C11" s="467"/>
      <c r="D11" s="467"/>
      <c r="E11" s="467"/>
      <c r="F11" s="336">
        <f>Budget_Supuestos!C306</f>
        <v>4.1500000000000004</v>
      </c>
      <c r="G11" s="66">
        <v>0</v>
      </c>
      <c r="H11" s="306">
        <f>Budget_Supuestos!B306</f>
        <v>210</v>
      </c>
      <c r="I11" s="266">
        <f>IF(H11&gt;0,(H11-G11)/F11,0)</f>
        <v>50.602409638554214</v>
      </c>
      <c r="J11" s="7"/>
      <c r="K11" s="7"/>
    </row>
    <row r="12" spans="1:11" x14ac:dyDescent="0.25">
      <c r="A12" s="10"/>
      <c r="B12" s="10" t="s">
        <v>439</v>
      </c>
      <c r="C12" s="467"/>
      <c r="D12" s="467"/>
      <c r="E12" s="467"/>
      <c r="F12" s="336">
        <f>Budget_Supuestos!C307</f>
        <v>5.04</v>
      </c>
      <c r="G12" s="66">
        <v>0</v>
      </c>
      <c r="H12" s="306">
        <f>Budget_Supuestos!B307</f>
        <v>282</v>
      </c>
      <c r="I12" s="266">
        <f t="shared" si="0"/>
        <v>55.952380952380949</v>
      </c>
      <c r="J12" s="7"/>
      <c r="K12" s="7"/>
    </row>
    <row r="13" spans="1:11" x14ac:dyDescent="0.25">
      <c r="A13" s="10"/>
      <c r="B13" s="10" t="s">
        <v>440</v>
      </c>
      <c r="C13" s="467"/>
      <c r="D13" s="467"/>
      <c r="E13" s="467"/>
      <c r="F13" s="336">
        <f>Budget_Supuestos!C308</f>
        <v>3.94</v>
      </c>
      <c r="G13" s="66">
        <v>0</v>
      </c>
      <c r="H13" s="306">
        <f>Budget_Supuestos!B308</f>
        <v>4409</v>
      </c>
      <c r="I13" s="266">
        <f t="shared" si="0"/>
        <v>1119.0355329949239</v>
      </c>
      <c r="J13" s="7"/>
      <c r="K13" s="7"/>
    </row>
    <row r="14" spans="1:11" x14ac:dyDescent="0.25">
      <c r="A14" s="10"/>
      <c r="B14" s="10" t="s">
        <v>570</v>
      </c>
      <c r="C14" s="467"/>
      <c r="D14" s="467"/>
      <c r="E14" s="467"/>
      <c r="F14" s="336">
        <f>Budget_Supuestos!C309</f>
        <v>1.6</v>
      </c>
      <c r="G14" s="66">
        <v>0</v>
      </c>
      <c r="H14" s="306">
        <f>Budget_Supuestos!B309</f>
        <v>203</v>
      </c>
      <c r="I14" s="266">
        <f t="shared" si="0"/>
        <v>126.875</v>
      </c>
      <c r="J14" s="7"/>
      <c r="K14" s="7"/>
    </row>
    <row r="15" spans="1:11" x14ac:dyDescent="0.25">
      <c r="A15" s="10"/>
      <c r="B15" s="10" t="s">
        <v>441</v>
      </c>
      <c r="C15" s="467"/>
      <c r="D15" s="467"/>
      <c r="E15" s="467"/>
      <c r="F15" s="336">
        <f>Budget_Supuestos!C310</f>
        <v>7.03</v>
      </c>
      <c r="G15" s="66">
        <v>0</v>
      </c>
      <c r="H15" s="306">
        <f>Budget_Supuestos!B310</f>
        <v>8248</v>
      </c>
      <c r="I15" s="266">
        <f>IF(H15&gt;0,(H15-G15)/F15,0)</f>
        <v>1173.25746799431</v>
      </c>
      <c r="J15" s="7"/>
      <c r="K15" s="7"/>
    </row>
    <row r="16" spans="1:11" x14ac:dyDescent="0.25">
      <c r="A16" s="10"/>
      <c r="B16" s="10" t="s">
        <v>613</v>
      </c>
      <c r="C16" s="467"/>
      <c r="D16" s="467"/>
      <c r="E16" s="467"/>
      <c r="F16" s="336">
        <f>Budget_Supuestos!C311</f>
        <v>3.77</v>
      </c>
      <c r="G16" s="66">
        <v>0</v>
      </c>
      <c r="H16" s="306">
        <f>Budget_Supuestos!B311</f>
        <v>190</v>
      </c>
      <c r="I16" s="266">
        <f t="shared" si="0"/>
        <v>50.397877984084879</v>
      </c>
      <c r="J16" s="7"/>
      <c r="K16" s="7"/>
    </row>
    <row r="17" spans="1:11" s="321" customFormat="1" x14ac:dyDescent="0.25">
      <c r="A17" s="10"/>
      <c r="B17" s="10" t="s">
        <v>551</v>
      </c>
      <c r="C17" s="467"/>
      <c r="D17" s="467"/>
      <c r="E17" s="467"/>
      <c r="F17" s="336">
        <f>Budget_Supuestos!C312</f>
        <v>0</v>
      </c>
      <c r="G17" s="66">
        <v>0</v>
      </c>
      <c r="H17" s="306">
        <f>Budget_Supuestos!B312</f>
        <v>0</v>
      </c>
      <c r="I17" s="266">
        <f t="shared" si="0"/>
        <v>0</v>
      </c>
      <c r="J17" s="322"/>
      <c r="K17" s="322"/>
    </row>
    <row r="18" spans="1:11" x14ac:dyDescent="0.25">
      <c r="A18" s="10"/>
      <c r="B18" s="10" t="s">
        <v>614</v>
      </c>
      <c r="C18" s="467"/>
      <c r="D18" s="467"/>
      <c r="E18" s="467"/>
      <c r="F18" s="336">
        <f>Budget_Supuestos!C313</f>
        <v>4.5999999999999996</v>
      </c>
      <c r="G18" s="66">
        <v>0</v>
      </c>
      <c r="H18" s="306">
        <f>Budget_Supuestos!B313</f>
        <v>267</v>
      </c>
      <c r="I18" s="266">
        <f t="shared" si="0"/>
        <v>58.04347826086957</v>
      </c>
      <c r="J18" s="7"/>
      <c r="K18" s="7"/>
    </row>
    <row r="19" spans="1:11" x14ac:dyDescent="0.25">
      <c r="A19" s="10"/>
      <c r="B19" s="10" t="s">
        <v>615</v>
      </c>
      <c r="C19" s="467"/>
      <c r="D19" s="467"/>
      <c r="E19" s="467"/>
      <c r="F19" s="336">
        <f>Budget_Supuestos!C314</f>
        <v>7.65</v>
      </c>
      <c r="G19" s="66">
        <v>0</v>
      </c>
      <c r="H19" s="306">
        <f>Budget_Supuestos!B314</f>
        <v>251</v>
      </c>
      <c r="I19" s="266">
        <f t="shared" si="0"/>
        <v>32.810457516339866</v>
      </c>
      <c r="J19" s="7"/>
      <c r="K19" s="7"/>
    </row>
    <row r="20" spans="1:11" x14ac:dyDescent="0.25">
      <c r="A20" s="10"/>
      <c r="C20" s="214" t="s">
        <v>523</v>
      </c>
      <c r="D20" s="214"/>
      <c r="E20" s="214"/>
      <c r="F20" s="214"/>
      <c r="G20" s="214"/>
      <c r="H20" s="304">
        <f>SUM(H5:H19)</f>
        <v>17440</v>
      </c>
      <c r="I20" s="339">
        <f>SUM(I5:I19)</f>
        <v>3936.2137881155859</v>
      </c>
      <c r="J20" s="7"/>
      <c r="K20" s="7"/>
    </row>
    <row r="21" spans="1:11" x14ac:dyDescent="0.25">
      <c r="B21" s="177" t="s">
        <v>451</v>
      </c>
      <c r="C21" s="135"/>
      <c r="D21" s="135"/>
      <c r="E21" s="135"/>
      <c r="F21" s="135"/>
      <c r="I21" s="7"/>
      <c r="J21" s="7"/>
      <c r="K21" s="7"/>
    </row>
    <row r="22" spans="1:11" x14ac:dyDescent="0.25">
      <c r="B22" s="67" t="s">
        <v>351</v>
      </c>
      <c r="C22" s="468"/>
      <c r="D22" s="468"/>
      <c r="E22" s="468"/>
      <c r="F22" s="3" t="s">
        <v>458</v>
      </c>
      <c r="G22" s="3" t="s">
        <v>460</v>
      </c>
      <c r="H22" s="3" t="s">
        <v>75</v>
      </c>
      <c r="I22" s="3" t="s">
        <v>459</v>
      </c>
      <c r="J22" s="7"/>
      <c r="K22" s="7"/>
    </row>
    <row r="23" spans="1:11" x14ac:dyDescent="0.25">
      <c r="A23" s="10"/>
      <c r="B23" s="10" t="s">
        <v>444</v>
      </c>
      <c r="C23" s="469"/>
      <c r="D23" s="469"/>
      <c r="E23" s="469"/>
      <c r="F23" s="303">
        <f>Budget_Supuestos!C317</f>
        <v>7.5</v>
      </c>
      <c r="G23" s="66">
        <v>0</v>
      </c>
      <c r="H23" s="261">
        <f>Budget_Supuestos!B317</f>
        <v>7946</v>
      </c>
      <c r="I23" s="266">
        <f>IF(H23&gt;0,(H23-G23)/F23,0)</f>
        <v>1059.4666666666667</v>
      </c>
      <c r="J23" s="7"/>
      <c r="K23" s="7"/>
    </row>
    <row r="24" spans="1:11" x14ac:dyDescent="0.25">
      <c r="A24" s="10"/>
      <c r="B24" s="10" t="s">
        <v>573</v>
      </c>
      <c r="C24" s="469"/>
      <c r="D24" s="469"/>
      <c r="E24" s="469"/>
      <c r="F24" s="303">
        <f>Budget_Supuestos!C318</f>
        <v>0.1</v>
      </c>
      <c r="G24" s="66">
        <v>0</v>
      </c>
      <c r="H24" s="261">
        <f>Budget_Supuestos!B318</f>
        <v>0</v>
      </c>
      <c r="I24" s="266">
        <f t="shared" ref="I24:I33" si="1">IF(H24&gt;0,(H24-G24)/F24,0)</f>
        <v>0</v>
      </c>
      <c r="J24" s="7"/>
      <c r="K24" s="7"/>
    </row>
    <row r="25" spans="1:11" x14ac:dyDescent="0.25">
      <c r="A25" s="10"/>
      <c r="B25" s="10" t="s">
        <v>445</v>
      </c>
      <c r="C25" s="469"/>
      <c r="D25" s="469"/>
      <c r="E25" s="469"/>
      <c r="F25" s="303">
        <f>Budget_Supuestos!C319</f>
        <v>8.7799999999999994</v>
      </c>
      <c r="G25" s="66">
        <v>0</v>
      </c>
      <c r="H25" s="261">
        <f>Budget_Supuestos!B319</f>
        <v>6565</v>
      </c>
      <c r="I25" s="266">
        <f t="shared" si="1"/>
        <v>747.72209567198183</v>
      </c>
      <c r="J25" s="7"/>
      <c r="K25" s="7"/>
    </row>
    <row r="26" spans="1:11" x14ac:dyDescent="0.25">
      <c r="A26" s="10"/>
      <c r="B26" s="10" t="s">
        <v>446</v>
      </c>
      <c r="C26" s="469"/>
      <c r="D26" s="469"/>
      <c r="E26" s="469"/>
      <c r="F26" s="303">
        <f>Budget_Supuestos!C320</f>
        <v>8.77</v>
      </c>
      <c r="G26" s="66">
        <v>0</v>
      </c>
      <c r="H26" s="261">
        <f>Budget_Supuestos!B320</f>
        <v>10236</v>
      </c>
      <c r="I26" s="266">
        <f t="shared" si="1"/>
        <v>1167.1607753705816</v>
      </c>
      <c r="J26" s="7"/>
      <c r="K26" s="7"/>
    </row>
    <row r="27" spans="1:11" x14ac:dyDescent="0.25">
      <c r="A27" s="10"/>
      <c r="B27" s="10" t="s">
        <v>447</v>
      </c>
      <c r="C27" s="469"/>
      <c r="D27" s="469"/>
      <c r="E27" s="469"/>
      <c r="F27" s="303">
        <f>Budget_Supuestos!C321</f>
        <v>7.47</v>
      </c>
      <c r="G27" s="66">
        <v>0</v>
      </c>
      <c r="H27" s="261">
        <f>Budget_Supuestos!B321</f>
        <v>2389</v>
      </c>
      <c r="I27" s="266">
        <f t="shared" si="1"/>
        <v>319.81258366800535</v>
      </c>
      <c r="J27" s="7"/>
      <c r="K27" s="7"/>
    </row>
    <row r="28" spans="1:11" x14ac:dyDescent="0.25">
      <c r="A28" s="10"/>
      <c r="B28" s="10" t="s">
        <v>448</v>
      </c>
      <c r="C28" s="469"/>
      <c r="D28" s="469"/>
      <c r="E28" s="469"/>
      <c r="F28" s="303">
        <f>Budget_Supuestos!C322</f>
        <v>5.16</v>
      </c>
      <c r="G28" s="66">
        <v>0</v>
      </c>
      <c r="H28" s="261">
        <f>Budget_Supuestos!B322</f>
        <v>392</v>
      </c>
      <c r="I28" s="266">
        <f t="shared" si="1"/>
        <v>75.968992248062008</v>
      </c>
      <c r="J28" s="7"/>
      <c r="K28" s="7"/>
    </row>
    <row r="29" spans="1:11" x14ac:dyDescent="0.25">
      <c r="A29" s="10"/>
      <c r="B29" s="10" t="s">
        <v>200</v>
      </c>
      <c r="C29" s="469"/>
      <c r="D29" s="469"/>
      <c r="E29" s="469"/>
      <c r="F29" s="303">
        <f>Budget_Supuestos!C323</f>
        <v>6.13</v>
      </c>
      <c r="G29" s="66">
        <v>0</v>
      </c>
      <c r="H29" s="261">
        <f>Budget_Supuestos!B323</f>
        <v>530</v>
      </c>
      <c r="I29" s="266">
        <f t="shared" si="1"/>
        <v>86.460032626427406</v>
      </c>
      <c r="J29" s="7"/>
      <c r="K29" s="7"/>
    </row>
    <row r="30" spans="1:11" x14ac:dyDescent="0.25">
      <c r="A30" s="10"/>
      <c r="B30" s="10" t="s">
        <v>574</v>
      </c>
      <c r="C30" s="469"/>
      <c r="D30" s="469"/>
      <c r="E30" s="469"/>
      <c r="F30" s="303">
        <f>Budget_Supuestos!C324</f>
        <v>5.3</v>
      </c>
      <c r="G30" s="66">
        <v>0</v>
      </c>
      <c r="H30" s="261">
        <f>Budget_Supuestos!B324</f>
        <v>227</v>
      </c>
      <c r="I30" s="266">
        <f t="shared" si="1"/>
        <v>42.830188679245282</v>
      </c>
      <c r="J30" s="7"/>
      <c r="K30" s="7"/>
    </row>
    <row r="31" spans="1:11" s="321" customFormat="1" x14ac:dyDescent="0.25">
      <c r="A31" s="10"/>
      <c r="B31" s="10" t="s">
        <v>651</v>
      </c>
      <c r="C31" s="469"/>
      <c r="D31" s="469"/>
      <c r="E31" s="469"/>
      <c r="F31" s="303">
        <f>Budget_Supuestos!C325</f>
        <v>0</v>
      </c>
      <c r="G31" s="66">
        <v>0</v>
      </c>
      <c r="H31" s="261">
        <f>Budget_Supuestos!B325</f>
        <v>0</v>
      </c>
      <c r="I31" s="266">
        <f t="shared" si="1"/>
        <v>0</v>
      </c>
      <c r="J31" s="322"/>
      <c r="K31" s="322"/>
    </row>
    <row r="32" spans="1:11" s="314" customFormat="1" x14ac:dyDescent="0.25">
      <c r="A32" s="10"/>
      <c r="B32" s="10" t="s">
        <v>616</v>
      </c>
      <c r="C32" s="469"/>
      <c r="D32" s="469"/>
      <c r="E32" s="469"/>
      <c r="F32" s="303">
        <f>Budget_Supuestos!C326</f>
        <v>9.5</v>
      </c>
      <c r="G32" s="66">
        <v>0</v>
      </c>
      <c r="H32" s="261">
        <f>Budget_Supuestos!B326</f>
        <v>442</v>
      </c>
      <c r="I32" s="266">
        <f t="shared" si="1"/>
        <v>46.526315789473685</v>
      </c>
      <c r="J32" s="316"/>
      <c r="K32" s="316"/>
    </row>
    <row r="33" spans="1:11" s="314" customFormat="1" x14ac:dyDescent="0.25">
      <c r="A33" s="10"/>
      <c r="B33" s="10" t="s">
        <v>449</v>
      </c>
      <c r="C33" s="469"/>
      <c r="D33" s="469"/>
      <c r="E33" s="469"/>
      <c r="F33" s="303">
        <f>Budget_Supuestos!C327</f>
        <v>0.1</v>
      </c>
      <c r="G33" s="66">
        <v>0</v>
      </c>
      <c r="H33" s="261">
        <f>Budget_Supuestos!B327</f>
        <v>0</v>
      </c>
      <c r="I33" s="266">
        <f t="shared" si="1"/>
        <v>0</v>
      </c>
      <c r="J33" s="316"/>
      <c r="K33" s="316"/>
    </row>
    <row r="34" spans="1:11" x14ac:dyDescent="0.25">
      <c r="A34" s="10"/>
      <c r="B34" s="251" t="s">
        <v>40</v>
      </c>
      <c r="C34" s="469"/>
      <c r="D34" s="469"/>
      <c r="E34" s="469"/>
      <c r="F34" s="303"/>
      <c r="G34" s="66"/>
      <c r="H34" s="306"/>
      <c r="I34" s="266"/>
      <c r="J34" s="7"/>
      <c r="K34" s="7"/>
    </row>
    <row r="35" spans="1:11" x14ac:dyDescent="0.25">
      <c r="A35" s="10"/>
      <c r="B35" s="10" t="str">
        <f>Budget_Supuestos!A329</f>
        <v>Secador solar - Plancha concreto</v>
      </c>
      <c r="C35" s="469"/>
      <c r="D35" s="469"/>
      <c r="E35" s="469"/>
      <c r="F35" s="303">
        <f>Budget_Supuestos!C329</f>
        <v>8.3000000000000007</v>
      </c>
      <c r="G35" s="66">
        <v>0</v>
      </c>
      <c r="H35" s="261">
        <f>Budget_Supuestos!B329</f>
        <v>25522</v>
      </c>
      <c r="I35" s="340">
        <f t="shared" ref="I35:I52" si="2">IF(H35&gt;0,(H35-G35)/F35,0)</f>
        <v>3074.9397590361441</v>
      </c>
      <c r="J35" s="7"/>
      <c r="K35" s="7"/>
    </row>
    <row r="36" spans="1:11" x14ac:dyDescent="0.25">
      <c r="A36" s="10"/>
      <c r="B36" s="10" t="str">
        <f>Budget_Supuestos!A330</f>
        <v>Plastico</v>
      </c>
      <c r="C36" s="469"/>
      <c r="D36" s="469"/>
      <c r="E36" s="469"/>
      <c r="F36" s="303">
        <f>Budget_Supuestos!C330</f>
        <v>3.43</v>
      </c>
      <c r="G36" s="66">
        <v>0</v>
      </c>
      <c r="H36" s="261">
        <f>Budget_Supuestos!B330</f>
        <v>1521</v>
      </c>
      <c r="I36" s="307">
        <f t="shared" si="2"/>
        <v>443.44023323615158</v>
      </c>
      <c r="J36" s="7"/>
      <c r="K36" s="7"/>
    </row>
    <row r="37" spans="1:11" x14ac:dyDescent="0.25">
      <c r="A37" s="10"/>
      <c r="B37" s="10" t="str">
        <f>Budget_Supuestos!A331</f>
        <v>Rastrillo</v>
      </c>
      <c r="C37" s="469"/>
      <c r="D37" s="469"/>
      <c r="E37" s="469"/>
      <c r="F37" s="303">
        <f>Budget_Supuestos!C331</f>
        <v>2.91</v>
      </c>
      <c r="G37" s="66">
        <v>0</v>
      </c>
      <c r="H37" s="263">
        <f>Budget_Supuestos!B331</f>
        <v>228</v>
      </c>
      <c r="I37" s="307">
        <f t="shared" si="2"/>
        <v>78.350515463917517</v>
      </c>
      <c r="J37" s="7"/>
      <c r="K37" s="7"/>
    </row>
    <row r="38" spans="1:11" x14ac:dyDescent="0.25">
      <c r="A38" s="10"/>
      <c r="B38" s="10" t="str">
        <f>Budget_Supuestos!A332</f>
        <v>Escoba</v>
      </c>
      <c r="C38" s="469"/>
      <c r="D38" s="469"/>
      <c r="E38" s="469"/>
      <c r="F38" s="303">
        <f>Budget_Supuestos!C332</f>
        <v>1.4</v>
      </c>
      <c r="G38" s="66">
        <v>0</v>
      </c>
      <c r="H38" s="263">
        <f>Budget_Supuestos!B332</f>
        <v>50</v>
      </c>
      <c r="I38" s="307">
        <f t="shared" si="2"/>
        <v>35.714285714285715</v>
      </c>
      <c r="J38" s="7"/>
      <c r="K38" s="7"/>
    </row>
    <row r="39" spans="1:11" x14ac:dyDescent="0.25">
      <c r="A39" s="10"/>
      <c r="B39" s="10" t="str">
        <f>Budget_Supuestos!A333</f>
        <v>Bodega</v>
      </c>
      <c r="C39" s="469"/>
      <c r="D39" s="469"/>
      <c r="E39" s="469"/>
      <c r="F39" s="303">
        <f>Budget_Supuestos!C333</f>
        <v>0.1</v>
      </c>
      <c r="G39" s="66">
        <v>0</v>
      </c>
      <c r="H39" s="263">
        <f>Budget_Supuestos!B333</f>
        <v>0</v>
      </c>
      <c r="I39" s="307">
        <f t="shared" si="2"/>
        <v>0</v>
      </c>
      <c r="J39" s="7"/>
      <c r="K39" s="7"/>
    </row>
    <row r="40" spans="1:11" x14ac:dyDescent="0.25">
      <c r="A40" s="10"/>
      <c r="B40" s="10" t="str">
        <f>Budget_Supuestos!A334</f>
        <v>Otro componente del beneficio seco</v>
      </c>
      <c r="C40" s="469"/>
      <c r="D40" s="469"/>
      <c r="E40" s="469"/>
      <c r="F40" s="303">
        <f>Budget_Supuestos!C334</f>
        <v>1.5</v>
      </c>
      <c r="G40" s="66">
        <v>0</v>
      </c>
      <c r="H40" s="261">
        <f>Budget_Supuestos!B334</f>
        <v>75</v>
      </c>
      <c r="I40" s="307">
        <f t="shared" si="2"/>
        <v>50</v>
      </c>
      <c r="J40" s="7"/>
      <c r="K40" s="7"/>
    </row>
    <row r="41" spans="1:11" x14ac:dyDescent="0.25">
      <c r="B41" s="13" t="s">
        <v>545</v>
      </c>
      <c r="C41" s="469"/>
      <c r="D41" s="469"/>
      <c r="E41" s="469"/>
      <c r="F41" s="146"/>
      <c r="G41" s="66"/>
      <c r="H41" s="259">
        <f>AVERAGE(H35:H37)</f>
        <v>9090.3333333333339</v>
      </c>
      <c r="I41" s="259">
        <f>AVERAGE(I35:I37)</f>
        <v>1198.9101692454044</v>
      </c>
      <c r="J41" s="7"/>
      <c r="K41" s="7"/>
    </row>
    <row r="42" spans="1:11" x14ac:dyDescent="0.25">
      <c r="B42" s="10"/>
      <c r="C42" s="214" t="s">
        <v>524</v>
      </c>
      <c r="D42" s="214"/>
      <c r="E42" s="214"/>
      <c r="F42" s="214"/>
      <c r="G42" s="214"/>
      <c r="H42" s="305">
        <f>SUM(H23:H34)+SUM(H35:H40)</f>
        <v>56123</v>
      </c>
      <c r="I42" s="339">
        <f>SUM(I23:I34)+SUM(I35:I40)</f>
        <v>7228.3924441709432</v>
      </c>
      <c r="J42" s="7"/>
      <c r="K42" s="7"/>
    </row>
    <row r="43" spans="1:11" x14ac:dyDescent="0.25">
      <c r="B43" s="177" t="s">
        <v>454</v>
      </c>
      <c r="C43" s="135"/>
      <c r="D43" s="135"/>
      <c r="E43" s="135"/>
      <c r="F43" s="135"/>
      <c r="I43" s="7"/>
      <c r="J43" s="7"/>
      <c r="K43" s="7"/>
    </row>
    <row r="44" spans="1:11" x14ac:dyDescent="0.25">
      <c r="A44" s="113"/>
      <c r="B44" s="10" t="str">
        <f>Budget_Supuestos!A336</f>
        <v>Bascula o balanza</v>
      </c>
      <c r="C44" s="146"/>
      <c r="D44" s="146"/>
      <c r="E44" s="146"/>
      <c r="F44" s="303">
        <f>Budget_Supuestos!C336</f>
        <v>8.14</v>
      </c>
      <c r="G44" s="66">
        <v>0</v>
      </c>
      <c r="H44" s="383">
        <f>+Budget_Supuestos!B336</f>
        <v>0</v>
      </c>
      <c r="I44" s="266">
        <f t="shared" si="2"/>
        <v>0</v>
      </c>
      <c r="J44" s="7"/>
      <c r="K44" s="7"/>
    </row>
    <row r="45" spans="1:11" x14ac:dyDescent="0.25">
      <c r="A45" s="113"/>
      <c r="B45" s="10" t="str">
        <f>Budget_Supuestos!A337</f>
        <v>Vehiculo o automovil para trabajo</v>
      </c>
      <c r="C45" s="146"/>
      <c r="D45" s="146"/>
      <c r="E45" s="146"/>
      <c r="F45" s="303">
        <f>Budget_Supuestos!C337</f>
        <v>19</v>
      </c>
      <c r="G45" s="66">
        <v>0</v>
      </c>
      <c r="H45" s="383">
        <f>Budget_Supuestos!B337</f>
        <v>78478</v>
      </c>
      <c r="I45" s="340">
        <f t="shared" si="2"/>
        <v>4130.4210526315792</v>
      </c>
      <c r="J45" s="7"/>
      <c r="K45" s="7"/>
    </row>
    <row r="46" spans="1:11" s="321" customFormat="1" x14ac:dyDescent="0.25">
      <c r="A46" s="113"/>
      <c r="B46" s="10" t="s">
        <v>650</v>
      </c>
      <c r="C46" s="146"/>
      <c r="D46" s="146"/>
      <c r="E46" s="146"/>
      <c r="F46" s="303">
        <f>Budget_Supuestos!C344</f>
        <v>0</v>
      </c>
      <c r="G46" s="66">
        <v>0</v>
      </c>
      <c r="H46" s="383">
        <f>Budget_Supuestos!B344</f>
        <v>0</v>
      </c>
      <c r="I46" s="266">
        <f t="shared" si="2"/>
        <v>0</v>
      </c>
      <c r="J46" s="322"/>
      <c r="K46" s="322"/>
    </row>
    <row r="47" spans="1:11" x14ac:dyDescent="0.25">
      <c r="A47" s="113"/>
      <c r="B47" s="10" t="str">
        <f>Budget_Supuestos!A338</f>
        <v>Animal de trabajo</v>
      </c>
      <c r="C47" s="146"/>
      <c r="D47" s="146"/>
      <c r="E47" s="146"/>
      <c r="F47" s="303">
        <f>Budget_Supuestos!C338</f>
        <v>8.8000000000000007</v>
      </c>
      <c r="G47" s="621">
        <v>0</v>
      </c>
      <c r="H47" s="383">
        <f>+Budget_Supuestos!B338</f>
        <v>13471</v>
      </c>
      <c r="I47" s="266">
        <f t="shared" si="2"/>
        <v>1530.7954545454545</v>
      </c>
      <c r="J47" s="7"/>
      <c r="K47" s="7"/>
    </row>
    <row r="48" spans="1:11" x14ac:dyDescent="0.25">
      <c r="A48" s="113"/>
      <c r="B48" s="10" t="str">
        <f>Budget_Supuestos!A339</f>
        <v>Sacos para la recoleccion</v>
      </c>
      <c r="C48" s="146"/>
      <c r="D48" s="146"/>
      <c r="E48" s="146"/>
      <c r="F48" s="303">
        <f>Budget_Supuestos!C339</f>
        <v>1.3</v>
      </c>
      <c r="G48" s="66">
        <v>0</v>
      </c>
      <c r="H48" s="383">
        <f>+Budget_Supuestos!B339</f>
        <v>362</v>
      </c>
      <c r="I48" s="266">
        <f t="shared" si="2"/>
        <v>278.46153846153845</v>
      </c>
      <c r="K48" s="7"/>
    </row>
    <row r="49" spans="1:11" x14ac:dyDescent="0.25">
      <c r="A49" s="113"/>
      <c r="B49" s="10" t="str">
        <f>Budget_Supuestos!A340</f>
        <v>Sacos Pergamino</v>
      </c>
      <c r="C49" s="146"/>
      <c r="D49" s="146"/>
      <c r="E49" s="146"/>
      <c r="F49" s="303">
        <f>Budget_Supuestos!C340</f>
        <v>2.7</v>
      </c>
      <c r="G49" s="66">
        <v>0</v>
      </c>
      <c r="H49" s="383">
        <f>+Budget_Supuestos!B340</f>
        <v>1328</v>
      </c>
      <c r="I49" s="266">
        <f t="shared" si="2"/>
        <v>491.85185185185185</v>
      </c>
      <c r="J49" s="7"/>
      <c r="K49" s="7"/>
    </row>
    <row r="50" spans="1:11" x14ac:dyDescent="0.25">
      <c r="A50" s="113"/>
      <c r="B50" s="10" t="str">
        <f>Budget_Supuestos!A341</f>
        <v>Cabuya:</v>
      </c>
      <c r="C50" s="146"/>
      <c r="D50" s="146"/>
      <c r="E50" s="146"/>
      <c r="F50" s="303">
        <f>Budget_Supuestos!C341</f>
        <v>1.03</v>
      </c>
      <c r="G50" s="66"/>
      <c r="H50" s="383">
        <f>+Budget_Supuestos!B341</f>
        <v>72.16</v>
      </c>
      <c r="I50" s="266">
        <f t="shared" si="2"/>
        <v>70.058252427184456</v>
      </c>
      <c r="J50" s="7"/>
      <c r="K50" s="7"/>
    </row>
    <row r="51" spans="1:11" x14ac:dyDescent="0.25">
      <c r="A51" s="113"/>
      <c r="B51" s="10" t="str">
        <f>Budget_Supuestos!A342</f>
        <v>Canastas</v>
      </c>
      <c r="C51" s="146"/>
      <c r="D51" s="146"/>
      <c r="E51" s="146"/>
      <c r="F51" s="303">
        <f>Budget_Supuestos!C342</f>
        <v>1.35</v>
      </c>
      <c r="G51" s="66"/>
      <c r="H51" s="383">
        <f>+Budget_Supuestos!B342</f>
        <v>302</v>
      </c>
      <c r="I51" s="266">
        <f t="shared" si="2"/>
        <v>223.7037037037037</v>
      </c>
      <c r="J51" s="7"/>
      <c r="K51" s="7"/>
    </row>
    <row r="52" spans="1:11" x14ac:dyDescent="0.25">
      <c r="A52" s="113"/>
      <c r="B52" s="10" t="str">
        <f>Budget_Supuestos!A343</f>
        <v>Cajas</v>
      </c>
      <c r="C52" s="146"/>
      <c r="D52" s="146"/>
      <c r="E52" s="146"/>
      <c r="F52" s="146">
        <f>Budget_Supuestos!C343</f>
        <v>6.3</v>
      </c>
      <c r="G52" s="66"/>
      <c r="H52" s="153">
        <f>+Budget_Supuestos!B343</f>
        <v>228</v>
      </c>
      <c r="I52" s="266">
        <f t="shared" si="2"/>
        <v>36.19047619047619</v>
      </c>
      <c r="J52" s="7"/>
      <c r="K52" s="7"/>
    </row>
    <row r="53" spans="1:11" x14ac:dyDescent="0.25">
      <c r="A53" s="113"/>
      <c r="B53" s="3"/>
      <c r="C53" s="214" t="s">
        <v>525</v>
      </c>
      <c r="D53" s="214"/>
      <c r="E53" s="214"/>
      <c r="F53" s="214"/>
      <c r="G53" s="214"/>
      <c r="H53" s="305">
        <f>SUM(H45:H47)+H51+H52</f>
        <v>92479</v>
      </c>
      <c r="I53" s="305">
        <f>SUM(I45:I47)+I51+I52</f>
        <v>5921.1106870712138</v>
      </c>
    </row>
    <row r="54" spans="1:11" x14ac:dyDescent="0.25">
      <c r="A54" s="113"/>
      <c r="B54" s="3"/>
      <c r="C54" s="3"/>
      <c r="E54" s="7"/>
      <c r="F54" s="3"/>
      <c r="G54" s="3"/>
      <c r="H54" s="3"/>
    </row>
    <row r="55" spans="1:11" x14ac:dyDescent="0.25">
      <c r="B55" s="3"/>
      <c r="C55" s="3" t="s">
        <v>7</v>
      </c>
      <c r="E55" s="3"/>
      <c r="F55" s="3"/>
      <c r="G55" s="3"/>
      <c r="H55" s="255">
        <f>H53+H42+H20</f>
        <v>166042</v>
      </c>
      <c r="I55" s="255">
        <f>I53+I42+I20</f>
        <v>17085.716919357743</v>
      </c>
    </row>
    <row r="57" spans="1:11" x14ac:dyDescent="0.25">
      <c r="C57" s="60" t="s">
        <v>526</v>
      </c>
      <c r="D57" s="60"/>
      <c r="H57" s="470">
        <f>H55*0.04</f>
        <v>6641.68</v>
      </c>
    </row>
    <row r="58" spans="1:11" x14ac:dyDescent="0.25">
      <c r="C58" t="s">
        <v>597</v>
      </c>
      <c r="H58" s="471">
        <f>H20*0.04</f>
        <v>697.6</v>
      </c>
    </row>
    <row r="59" spans="1:11" x14ac:dyDescent="0.25">
      <c r="C59" t="s">
        <v>429</v>
      </c>
      <c r="H59" s="471">
        <f>H42*0.04</f>
        <v>2244.92</v>
      </c>
    </row>
    <row r="60" spans="1:11" x14ac:dyDescent="0.25">
      <c r="C60" t="s">
        <v>598</v>
      </c>
      <c r="H60" s="471">
        <f>H53*0.04</f>
        <v>3699.16</v>
      </c>
    </row>
  </sheetData>
  <phoneticPr fontId="16" type="noConversion"/>
  <pageMargins left="0.75" right="0.75" top="1" bottom="1" header="0.5" footer="0.5"/>
  <pageSetup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93"/>
  <sheetViews>
    <sheetView workbookViewId="0">
      <selection activeCell="L1" sqref="L1:XFD93"/>
    </sheetView>
  </sheetViews>
  <sheetFormatPr defaultColWidth="0" defaultRowHeight="15.75" x14ac:dyDescent="0.25"/>
  <cols>
    <col min="1" max="1" width="48.5" style="8" customWidth="1"/>
    <col min="2" max="2" width="13" style="8" bestFit="1" customWidth="1"/>
    <col min="3" max="3" width="10.875" style="8" customWidth="1"/>
    <col min="4" max="4" width="11" style="8" bestFit="1" customWidth="1"/>
    <col min="5" max="7" width="11.875" style="8" bestFit="1" customWidth="1"/>
    <col min="8" max="10" width="11" style="8" bestFit="1" customWidth="1"/>
    <col min="11" max="11" width="58.5" style="8" bestFit="1" customWidth="1"/>
    <col min="12" max="16384" width="0" style="8" hidden="1"/>
  </cols>
  <sheetData>
    <row r="1" spans="1:11" ht="18.75" x14ac:dyDescent="0.3">
      <c r="A1" s="136" t="s">
        <v>211</v>
      </c>
      <c r="B1" s="136"/>
      <c r="C1" s="136"/>
      <c r="D1" s="136"/>
      <c r="E1" s="136"/>
      <c r="F1" s="136"/>
    </row>
    <row r="2" spans="1:11" ht="18.75" x14ac:dyDescent="0.3">
      <c r="A2" s="136" t="s">
        <v>213</v>
      </c>
      <c r="B2" s="136"/>
      <c r="C2" s="136"/>
      <c r="D2" s="136"/>
      <c r="E2" s="136"/>
      <c r="F2" s="136"/>
    </row>
    <row r="3" spans="1:11" x14ac:dyDescent="0.25">
      <c r="A3" s="16" t="s">
        <v>35</v>
      </c>
    </row>
    <row r="4" spans="1:11" x14ac:dyDescent="0.25">
      <c r="A4" s="489" t="s">
        <v>43</v>
      </c>
    </row>
    <row r="5" spans="1:11" x14ac:dyDescent="0.25">
      <c r="A5" s="24" t="s">
        <v>361</v>
      </c>
      <c r="B5" s="27" t="s">
        <v>43</v>
      </c>
      <c r="C5" s="379" t="s">
        <v>44</v>
      </c>
      <c r="D5" s="379" t="s">
        <v>45</v>
      </c>
      <c r="E5" s="379" t="s">
        <v>46</v>
      </c>
      <c r="F5" s="379" t="s">
        <v>47</v>
      </c>
      <c r="G5" s="379" t="s">
        <v>48</v>
      </c>
      <c r="H5" s="379" t="s">
        <v>49</v>
      </c>
      <c r="I5" s="379" t="s">
        <v>50</v>
      </c>
      <c r="J5" s="379" t="s">
        <v>51</v>
      </c>
      <c r="K5" s="34" t="s">
        <v>54</v>
      </c>
    </row>
    <row r="6" spans="1:11" x14ac:dyDescent="0.25">
      <c r="A6" s="317" t="s">
        <v>362</v>
      </c>
      <c r="B6" s="324">
        <f>'Inputs advanced'!F7</f>
        <v>1.7166666666666668</v>
      </c>
      <c r="C6" s="325"/>
      <c r="D6" s="325"/>
      <c r="E6" s="325"/>
      <c r="F6" s="325"/>
      <c r="G6" s="325"/>
      <c r="H6" s="325"/>
      <c r="I6" s="325"/>
      <c r="J6" s="325"/>
      <c r="K6" s="317"/>
    </row>
    <row r="7" spans="1:11" x14ac:dyDescent="0.25">
      <c r="A7" s="317" t="s">
        <v>363</v>
      </c>
      <c r="B7" s="324">
        <f>'Inputs advanced'!F8</f>
        <v>1.5224333333333333</v>
      </c>
      <c r="C7" s="325"/>
      <c r="D7" s="325"/>
      <c r="E7" s="325"/>
      <c r="F7" s="325"/>
      <c r="G7" s="325"/>
      <c r="H7" s="325"/>
      <c r="I7" s="325"/>
      <c r="J7" s="325"/>
      <c r="K7" s="317"/>
    </row>
    <row r="8" spans="1:11" x14ac:dyDescent="0.25">
      <c r="A8" s="318" t="s">
        <v>620</v>
      </c>
      <c r="B8" s="324">
        <f>'Inputs advanced'!F9</f>
        <v>4.0277777777777777</v>
      </c>
      <c r="C8" s="326"/>
      <c r="D8" s="326"/>
      <c r="E8" s="326"/>
      <c r="F8" s="326"/>
      <c r="G8" s="326"/>
      <c r="H8" s="326"/>
      <c r="I8" s="326"/>
      <c r="J8" s="326"/>
      <c r="K8" s="318"/>
    </row>
    <row r="9" spans="1:11" x14ac:dyDescent="0.25">
      <c r="A9" s="318" t="s">
        <v>364</v>
      </c>
      <c r="B9" s="324">
        <f>'Inputs advanced'!F10</f>
        <v>8.8199999999999985</v>
      </c>
      <c r="C9" s="326"/>
      <c r="D9" s="326"/>
      <c r="E9" s="326"/>
      <c r="F9" s="326"/>
      <c r="G9" s="326"/>
      <c r="H9" s="326"/>
      <c r="I9" s="326"/>
      <c r="J9" s="326"/>
      <c r="K9" s="318"/>
    </row>
    <row r="10" spans="1:11" x14ac:dyDescent="0.25">
      <c r="A10" s="318" t="s">
        <v>550</v>
      </c>
      <c r="B10" s="324">
        <f>'Inputs advanced'!F11</f>
        <v>0.88333333333333341</v>
      </c>
      <c r="C10" s="326"/>
      <c r="D10" s="326"/>
      <c r="E10" s="326"/>
      <c r="F10" s="326"/>
      <c r="G10" s="326"/>
      <c r="H10" s="326"/>
      <c r="I10" s="326"/>
      <c r="J10" s="326"/>
      <c r="K10" s="318"/>
    </row>
    <row r="11" spans="1:11" x14ac:dyDescent="0.25">
      <c r="A11" s="318"/>
      <c r="B11" s="324"/>
      <c r="C11" s="326"/>
      <c r="D11" s="326"/>
      <c r="E11" s="326"/>
      <c r="F11" s="326"/>
      <c r="G11" s="326"/>
      <c r="H11" s="326"/>
      <c r="I11" s="326"/>
      <c r="J11" s="326"/>
      <c r="K11" s="318"/>
    </row>
    <row r="12" spans="1:11" x14ac:dyDescent="0.25">
      <c r="A12" s="24" t="s">
        <v>397</v>
      </c>
      <c r="B12" s="327" t="s">
        <v>43</v>
      </c>
      <c r="C12" s="378" t="s">
        <v>44</v>
      </c>
      <c r="D12" s="378" t="s">
        <v>45</v>
      </c>
      <c r="E12" s="378" t="s">
        <v>46</v>
      </c>
      <c r="F12" s="378" t="s">
        <v>47</v>
      </c>
      <c r="G12" s="378" t="s">
        <v>48</v>
      </c>
      <c r="H12" s="378" t="s">
        <v>49</v>
      </c>
      <c r="I12" s="378" t="s">
        <v>50</v>
      </c>
      <c r="J12" s="378" t="s">
        <v>51</v>
      </c>
      <c r="K12" s="318"/>
    </row>
    <row r="13" spans="1:11" x14ac:dyDescent="0.25">
      <c r="A13" s="317" t="s">
        <v>368</v>
      </c>
      <c r="B13" s="324">
        <f>'Inputs advanced'!F13</f>
        <v>9.612244897959183</v>
      </c>
      <c r="C13" s="325"/>
      <c r="D13" s="325"/>
      <c r="E13" s="325"/>
      <c r="F13" s="325"/>
      <c r="G13" s="325"/>
      <c r="H13" s="325"/>
      <c r="I13" s="325"/>
      <c r="J13" s="325"/>
      <c r="K13" s="317"/>
    </row>
    <row r="14" spans="1:11" x14ac:dyDescent="0.25">
      <c r="A14" s="317" t="s">
        <v>580</v>
      </c>
      <c r="B14" s="324">
        <f>'Inputs advanced'!F14</f>
        <v>8.92</v>
      </c>
      <c r="C14" s="326"/>
      <c r="D14" s="326"/>
      <c r="E14" s="326"/>
      <c r="F14" s="326"/>
      <c r="G14" s="326"/>
      <c r="H14" s="326"/>
      <c r="I14" s="326"/>
      <c r="J14" s="326"/>
      <c r="K14" s="318"/>
    </row>
    <row r="15" spans="1:11" x14ac:dyDescent="0.25">
      <c r="A15" s="320" t="s">
        <v>596</v>
      </c>
      <c r="B15" s="324">
        <f>'Inputs advanced'!F15</f>
        <v>16.983333333333334</v>
      </c>
      <c r="C15" s="326"/>
      <c r="D15" s="326"/>
      <c r="E15" s="326"/>
      <c r="F15" s="326"/>
      <c r="G15" s="326"/>
      <c r="H15" s="326"/>
      <c r="I15" s="326"/>
      <c r="J15" s="326"/>
      <c r="K15" s="318"/>
    </row>
    <row r="16" spans="1:11" x14ac:dyDescent="0.25">
      <c r="A16" s="318" t="s">
        <v>41</v>
      </c>
      <c r="B16" s="324">
        <f>'Inputs advanced'!F16</f>
        <v>6.3366000000000007</v>
      </c>
      <c r="C16" s="326"/>
      <c r="D16" s="326"/>
      <c r="E16" s="326"/>
      <c r="F16" s="326"/>
      <c r="G16" s="326"/>
      <c r="H16" s="326"/>
      <c r="I16" s="326"/>
      <c r="J16" s="326"/>
      <c r="K16" s="318"/>
    </row>
    <row r="17" spans="1:11" x14ac:dyDescent="0.25">
      <c r="A17" s="318" t="s">
        <v>209</v>
      </c>
      <c r="B17" s="324">
        <f>'Inputs advanced'!F17</f>
        <v>14.78</v>
      </c>
      <c r="C17" s="326"/>
      <c r="D17" s="326"/>
      <c r="E17" s="326"/>
      <c r="F17" s="326"/>
      <c r="G17" s="326"/>
      <c r="H17" s="326"/>
      <c r="I17" s="326"/>
      <c r="J17" s="326"/>
      <c r="K17" s="318"/>
    </row>
    <row r="18" spans="1:11" x14ac:dyDescent="0.25">
      <c r="A18" s="318" t="s">
        <v>621</v>
      </c>
      <c r="B18" s="324">
        <f>'Inputs advanced'!F18</f>
        <v>5.45</v>
      </c>
      <c r="C18" s="326"/>
      <c r="D18" s="326"/>
      <c r="E18" s="326"/>
      <c r="F18" s="326"/>
      <c r="G18" s="326"/>
      <c r="H18" s="326"/>
      <c r="I18" s="326"/>
      <c r="J18" s="326"/>
      <c r="K18" s="318"/>
    </row>
    <row r="19" spans="1:11" x14ac:dyDescent="0.25">
      <c r="A19" s="318" t="s">
        <v>37</v>
      </c>
      <c r="B19" s="324">
        <f>'Inputs advanced'!F19</f>
        <v>24.527333333333331</v>
      </c>
      <c r="C19" s="326"/>
      <c r="D19" s="326"/>
      <c r="E19" s="326"/>
      <c r="F19" s="326"/>
      <c r="G19" s="326"/>
      <c r="H19" s="326"/>
      <c r="I19" s="326"/>
      <c r="J19" s="326"/>
      <c r="K19" s="318"/>
    </row>
    <row r="20" spans="1:11" x14ac:dyDescent="0.25">
      <c r="A20" s="318" t="s">
        <v>622</v>
      </c>
      <c r="B20" s="324">
        <f>'Inputs advanced'!F20</f>
        <v>2.4115333333333338</v>
      </c>
      <c r="C20" s="326"/>
      <c r="D20" s="326"/>
      <c r="E20" s="326"/>
      <c r="F20" s="326"/>
      <c r="G20" s="326"/>
      <c r="H20" s="326"/>
      <c r="I20" s="326"/>
      <c r="J20" s="326"/>
      <c r="K20" s="318"/>
    </row>
    <row r="21" spans="1:11" x14ac:dyDescent="0.25">
      <c r="A21" s="318" t="s">
        <v>38</v>
      </c>
      <c r="B21" s="324">
        <f>'Inputs advanced'!F21</f>
        <v>1.4444444444444449</v>
      </c>
      <c r="C21" s="326"/>
      <c r="D21" s="326"/>
      <c r="E21" s="326"/>
      <c r="F21" s="326"/>
      <c r="G21" s="326"/>
      <c r="H21" s="326"/>
      <c r="I21" s="326"/>
      <c r="J21" s="326"/>
      <c r="K21" s="318"/>
    </row>
    <row r="22" spans="1:11" x14ac:dyDescent="0.25">
      <c r="A22" s="318" t="s">
        <v>210</v>
      </c>
      <c r="B22" s="324">
        <f>'Inputs advanced'!F22</f>
        <v>0.3</v>
      </c>
      <c r="C22" s="328"/>
      <c r="D22" s="328"/>
      <c r="E22" s="328"/>
      <c r="F22" s="328"/>
      <c r="G22" s="328"/>
      <c r="H22" s="328"/>
      <c r="I22" s="328"/>
      <c r="J22" s="328"/>
      <c r="K22" s="188"/>
    </row>
    <row r="23" spans="1:11" x14ac:dyDescent="0.25">
      <c r="A23" s="318"/>
      <c r="B23" s="324"/>
      <c r="C23" s="326"/>
      <c r="D23" s="326"/>
      <c r="E23" s="326"/>
      <c r="F23" s="326"/>
      <c r="G23" s="326"/>
      <c r="H23" s="326"/>
      <c r="I23" s="326"/>
      <c r="J23" s="326"/>
      <c r="K23" s="318"/>
    </row>
    <row r="24" spans="1:11" x14ac:dyDescent="0.25">
      <c r="A24" s="26" t="s">
        <v>398</v>
      </c>
      <c r="B24" s="327" t="s">
        <v>43</v>
      </c>
      <c r="C24" s="378" t="s">
        <v>44</v>
      </c>
      <c r="D24" s="378" t="s">
        <v>45</v>
      </c>
      <c r="E24" s="378" t="s">
        <v>46</v>
      </c>
      <c r="F24" s="378" t="s">
        <v>47</v>
      </c>
      <c r="G24" s="378" t="s">
        <v>48</v>
      </c>
      <c r="H24" s="378" t="s">
        <v>49</v>
      </c>
      <c r="I24" s="378" t="s">
        <v>50</v>
      </c>
      <c r="J24" s="378" t="s">
        <v>51</v>
      </c>
      <c r="K24" s="32"/>
    </row>
    <row r="25" spans="1:11" x14ac:dyDescent="0.25">
      <c r="A25" s="317" t="s">
        <v>581</v>
      </c>
      <c r="B25" s="324">
        <f>'Inputs advanced'!F24</f>
        <v>18.78</v>
      </c>
      <c r="C25" s="325"/>
      <c r="D25" s="325"/>
      <c r="E25" s="325"/>
      <c r="F25" s="325"/>
      <c r="G25" s="325"/>
      <c r="H25" s="325"/>
      <c r="I25" s="325"/>
      <c r="J25" s="325"/>
      <c r="K25" s="317"/>
    </row>
    <row r="26" spans="1:11" x14ac:dyDescent="0.25">
      <c r="A26" s="318" t="s">
        <v>582</v>
      </c>
      <c r="B26" s="324">
        <f>'Inputs advanced'!F25</f>
        <v>13.48</v>
      </c>
      <c r="C26" s="326"/>
      <c r="D26" s="326"/>
      <c r="E26" s="326"/>
      <c r="F26" s="326"/>
      <c r="G26" s="326"/>
      <c r="H26" s="326"/>
      <c r="I26" s="326"/>
      <c r="J26" s="326"/>
      <c r="K26" s="318"/>
    </row>
    <row r="27" spans="1:11" x14ac:dyDescent="0.25">
      <c r="A27" s="318" t="s">
        <v>623</v>
      </c>
      <c r="B27" s="324">
        <f>'Inputs advanced'!F26</f>
        <v>3.5</v>
      </c>
      <c r="C27" s="326"/>
      <c r="D27" s="326"/>
      <c r="E27" s="326"/>
      <c r="F27" s="326"/>
      <c r="G27" s="326"/>
      <c r="H27" s="326"/>
      <c r="I27" s="326"/>
      <c r="J27" s="326"/>
      <c r="K27" s="318"/>
    </row>
    <row r="28" spans="1:11" x14ac:dyDescent="0.25">
      <c r="A28" s="318" t="s">
        <v>583</v>
      </c>
      <c r="B28" s="324">
        <f>'Inputs advanced'!F27</f>
        <v>6.12</v>
      </c>
      <c r="C28" s="326"/>
      <c r="D28" s="326"/>
      <c r="E28" s="326"/>
      <c r="F28" s="326"/>
      <c r="G28" s="326"/>
      <c r="H28" s="326"/>
      <c r="I28" s="326"/>
      <c r="J28" s="326"/>
      <c r="K28" s="318"/>
    </row>
    <row r="29" spans="1:11" x14ac:dyDescent="0.25">
      <c r="A29" s="318" t="s">
        <v>624</v>
      </c>
      <c r="B29" s="324">
        <f>'Inputs advanced'!F28</f>
        <v>10.78</v>
      </c>
      <c r="C29" s="326"/>
      <c r="D29" s="326"/>
      <c r="E29" s="326"/>
      <c r="F29" s="326"/>
      <c r="G29" s="326"/>
      <c r="H29" s="326"/>
      <c r="I29" s="326"/>
      <c r="J29" s="326"/>
      <c r="K29" s="318"/>
    </row>
    <row r="30" spans="1:11" x14ac:dyDescent="0.25">
      <c r="A30" s="318" t="s">
        <v>584</v>
      </c>
      <c r="B30" s="324">
        <f>'Inputs advanced'!F29</f>
        <v>27.38</v>
      </c>
      <c r="C30" s="326"/>
      <c r="D30" s="326"/>
      <c r="E30" s="326"/>
      <c r="F30" s="326"/>
      <c r="G30" s="326"/>
      <c r="H30" s="326"/>
      <c r="I30" s="326"/>
      <c r="J30" s="326"/>
      <c r="K30" s="318"/>
    </row>
    <row r="31" spans="1:11" x14ac:dyDescent="0.25">
      <c r="A31" s="318" t="s">
        <v>378</v>
      </c>
      <c r="B31" s="324">
        <f>'Inputs advanced'!F30</f>
        <v>12.901333333333334</v>
      </c>
      <c r="C31" s="326"/>
      <c r="D31" s="326"/>
      <c r="E31" s="326"/>
      <c r="F31" s="326"/>
      <c r="G31" s="326"/>
      <c r="H31" s="326"/>
      <c r="I31" s="326"/>
      <c r="J31" s="326"/>
      <c r="K31" s="318"/>
    </row>
    <row r="32" spans="1:11" x14ac:dyDescent="0.25">
      <c r="A32" s="318" t="s">
        <v>379</v>
      </c>
      <c r="B32" s="324">
        <f>'Inputs advanced'!F31</f>
        <v>23.34</v>
      </c>
      <c r="C32" s="326"/>
      <c r="D32" s="326"/>
      <c r="E32" s="326"/>
      <c r="F32" s="326"/>
      <c r="G32" s="326"/>
      <c r="H32" s="326"/>
      <c r="I32" s="326"/>
      <c r="J32" s="326"/>
      <c r="K32" s="318"/>
    </row>
    <row r="33" spans="1:11" x14ac:dyDescent="0.25">
      <c r="A33" s="318" t="s">
        <v>380</v>
      </c>
      <c r="B33" s="324">
        <f>'Inputs advanced'!F32</f>
        <v>13.32</v>
      </c>
      <c r="C33" s="326"/>
      <c r="D33" s="326"/>
      <c r="E33" s="326"/>
      <c r="F33" s="326"/>
      <c r="G33" s="326"/>
      <c r="H33" s="326"/>
      <c r="I33" s="326"/>
      <c r="J33" s="326"/>
      <c r="K33" s="318"/>
    </row>
    <row r="34" spans="1:11" x14ac:dyDescent="0.25">
      <c r="A34" s="318" t="s">
        <v>381</v>
      </c>
      <c r="B34" s="324">
        <f>'Inputs advanced'!F33</f>
        <v>4.66</v>
      </c>
      <c r="C34" s="329"/>
      <c r="D34" s="329"/>
      <c r="E34" s="329"/>
      <c r="F34" s="329"/>
      <c r="G34" s="329"/>
      <c r="H34" s="329"/>
      <c r="I34" s="329"/>
      <c r="J34" s="329"/>
      <c r="K34" s="196"/>
    </row>
    <row r="35" spans="1:11" x14ac:dyDescent="0.25">
      <c r="A35" s="318" t="s">
        <v>550</v>
      </c>
      <c r="B35" s="324">
        <f>'Inputs advanced'!F34</f>
        <v>1.2998000000000003</v>
      </c>
      <c r="C35" s="326"/>
      <c r="D35" s="326"/>
      <c r="E35" s="326"/>
      <c r="F35" s="326"/>
      <c r="G35" s="326"/>
      <c r="H35" s="326"/>
      <c r="I35" s="326"/>
      <c r="J35" s="326"/>
      <c r="K35" s="318"/>
    </row>
    <row r="36" spans="1:11" x14ac:dyDescent="0.25">
      <c r="A36" s="318"/>
      <c r="B36" s="324"/>
      <c r="C36" s="326"/>
      <c r="D36" s="326"/>
      <c r="E36" s="326"/>
      <c r="F36" s="326"/>
      <c r="G36" s="326"/>
      <c r="H36" s="326"/>
      <c r="I36" s="326"/>
      <c r="J36" s="326"/>
      <c r="K36" s="318"/>
    </row>
    <row r="37" spans="1:11" x14ac:dyDescent="0.25">
      <c r="A37" s="318"/>
      <c r="B37" s="326"/>
      <c r="C37" s="326"/>
      <c r="D37" s="326"/>
      <c r="E37" s="326"/>
      <c r="F37" s="326"/>
      <c r="G37" s="326"/>
      <c r="H37" s="326"/>
      <c r="I37" s="326"/>
      <c r="J37" s="326"/>
      <c r="K37" s="318"/>
    </row>
    <row r="38" spans="1:11" x14ac:dyDescent="0.25">
      <c r="A38" s="318"/>
      <c r="B38" s="326"/>
      <c r="C38" s="326"/>
      <c r="D38" s="326"/>
      <c r="E38" s="326"/>
      <c r="F38" s="326"/>
      <c r="G38" s="326"/>
      <c r="H38" s="326"/>
      <c r="I38" s="326"/>
      <c r="J38" s="326"/>
      <c r="K38" s="318"/>
    </row>
    <row r="39" spans="1:11" x14ac:dyDescent="0.25">
      <c r="A39" s="489" t="s">
        <v>44</v>
      </c>
      <c r="B39" s="326"/>
      <c r="C39" s="326"/>
      <c r="D39" s="326"/>
      <c r="E39" s="326"/>
      <c r="F39" s="326"/>
      <c r="G39" s="326"/>
      <c r="H39" s="326"/>
      <c r="I39" s="326"/>
      <c r="J39" s="326"/>
      <c r="K39" s="318"/>
    </row>
    <row r="40" spans="1:11" x14ac:dyDescent="0.25">
      <c r="A40" s="26" t="s">
        <v>387</v>
      </c>
      <c r="B40" s="327" t="s">
        <v>43</v>
      </c>
      <c r="C40" s="378" t="s">
        <v>44</v>
      </c>
      <c r="D40" s="378" t="s">
        <v>45</v>
      </c>
      <c r="E40" s="378" t="s">
        <v>46</v>
      </c>
      <c r="F40" s="378" t="s">
        <v>47</v>
      </c>
      <c r="G40" s="378" t="s">
        <v>48</v>
      </c>
      <c r="H40" s="378" t="s">
        <v>49</v>
      </c>
      <c r="I40" s="378" t="s">
        <v>50</v>
      </c>
      <c r="J40" s="378" t="s">
        <v>51</v>
      </c>
      <c r="K40" s="32"/>
    </row>
    <row r="41" spans="1:11" x14ac:dyDescent="0.25">
      <c r="A41" s="318" t="s">
        <v>383</v>
      </c>
      <c r="B41" s="330"/>
      <c r="C41" s="324">
        <f>'Inputs advanced'!F36</f>
        <v>47.428571428571431</v>
      </c>
      <c r="D41" s="326"/>
      <c r="E41" s="326"/>
      <c r="F41" s="326"/>
      <c r="G41" s="326"/>
      <c r="H41" s="326"/>
      <c r="I41" s="326"/>
      <c r="J41" s="326"/>
      <c r="K41" s="318"/>
    </row>
    <row r="42" spans="1:11" x14ac:dyDescent="0.25">
      <c r="A42" s="318" t="s">
        <v>384</v>
      </c>
      <c r="B42" s="330"/>
      <c r="C42" s="324">
        <f>'Inputs advanced'!F37</f>
        <v>5.32</v>
      </c>
      <c r="D42" s="326"/>
      <c r="E42" s="326"/>
      <c r="F42" s="326"/>
      <c r="G42" s="326"/>
      <c r="H42" s="326"/>
      <c r="I42" s="326"/>
      <c r="J42" s="326"/>
      <c r="K42" s="318"/>
    </row>
    <row r="43" spans="1:11" x14ac:dyDescent="0.25">
      <c r="A43" s="318" t="s">
        <v>385</v>
      </c>
      <c r="B43" s="330"/>
      <c r="C43" s="324">
        <f>'Inputs advanced'!F38</f>
        <v>0.24</v>
      </c>
      <c r="D43" s="326"/>
      <c r="E43" s="326"/>
      <c r="F43" s="326"/>
      <c r="G43" s="326"/>
      <c r="H43" s="326"/>
      <c r="I43" s="326"/>
      <c r="J43" s="326"/>
      <c r="K43" s="318"/>
    </row>
    <row r="44" spans="1:11" x14ac:dyDescent="0.25">
      <c r="A44" s="318" t="s">
        <v>386</v>
      </c>
      <c r="B44" s="330"/>
      <c r="C44" s="324">
        <f>'Inputs advanced'!F39</f>
        <v>6.2</v>
      </c>
      <c r="D44" s="326"/>
      <c r="E44" s="326"/>
      <c r="F44" s="326"/>
      <c r="G44" s="326"/>
      <c r="H44" s="326"/>
      <c r="I44" s="326"/>
      <c r="J44" s="326"/>
      <c r="K44" s="318"/>
    </row>
    <row r="45" spans="1:11" x14ac:dyDescent="0.25">
      <c r="A45" s="318" t="s">
        <v>210</v>
      </c>
      <c r="B45" s="330"/>
      <c r="C45" s="324">
        <f>'Inputs advanced'!F40</f>
        <v>2.1</v>
      </c>
      <c r="D45" s="326"/>
      <c r="E45" s="326"/>
      <c r="F45" s="326"/>
      <c r="G45" s="326"/>
      <c r="H45" s="326"/>
      <c r="I45" s="326"/>
      <c r="J45" s="326"/>
      <c r="K45" s="318"/>
    </row>
    <row r="46" spans="1:11" x14ac:dyDescent="0.25">
      <c r="A46" s="318"/>
      <c r="B46" s="324"/>
      <c r="C46" s="326"/>
      <c r="D46" s="326"/>
      <c r="E46" s="326"/>
      <c r="F46" s="326"/>
      <c r="G46" s="326"/>
      <c r="H46" s="326"/>
      <c r="I46" s="326"/>
      <c r="J46" s="326"/>
      <c r="K46" s="318"/>
    </row>
    <row r="47" spans="1:11" x14ac:dyDescent="0.25">
      <c r="A47" s="318"/>
      <c r="B47" s="324"/>
      <c r="C47" s="326"/>
      <c r="D47" s="326"/>
      <c r="E47" s="326"/>
      <c r="F47" s="326"/>
      <c r="G47" s="326"/>
      <c r="H47" s="326"/>
      <c r="I47" s="326"/>
      <c r="J47" s="326"/>
      <c r="K47" s="318"/>
    </row>
    <row r="48" spans="1:11" x14ac:dyDescent="0.25">
      <c r="A48" s="489" t="s">
        <v>399</v>
      </c>
      <c r="B48" s="324"/>
      <c r="C48" s="326"/>
      <c r="D48" s="326"/>
      <c r="E48" s="326"/>
      <c r="F48" s="326"/>
      <c r="G48" s="326"/>
      <c r="H48" s="326"/>
      <c r="I48" s="326"/>
      <c r="J48" s="326"/>
      <c r="K48" s="318"/>
    </row>
    <row r="49" spans="1:11" x14ac:dyDescent="0.25">
      <c r="A49" s="24" t="s">
        <v>402</v>
      </c>
      <c r="B49" s="327" t="s">
        <v>43</v>
      </c>
      <c r="C49" s="568" t="s">
        <v>44</v>
      </c>
      <c r="D49" s="568" t="s">
        <v>45</v>
      </c>
      <c r="E49" s="568" t="s">
        <v>46</v>
      </c>
      <c r="F49" s="568" t="s">
        <v>47</v>
      </c>
      <c r="G49" s="568" t="s">
        <v>48</v>
      </c>
      <c r="H49" s="568" t="s">
        <v>49</v>
      </c>
      <c r="I49" s="568" t="s">
        <v>50</v>
      </c>
      <c r="J49" s="568" t="s">
        <v>51</v>
      </c>
    </row>
    <row r="50" spans="1:11" x14ac:dyDescent="0.25">
      <c r="A50" s="318" t="s">
        <v>405</v>
      </c>
      <c r="B50" s="331"/>
      <c r="C50" s="332"/>
      <c r="D50" s="575">
        <f>'Inputs advanced'!F63</f>
        <v>40.340000000000003</v>
      </c>
      <c r="E50" s="575">
        <f>'Inputs advanced'!F63</f>
        <v>40.340000000000003</v>
      </c>
      <c r="F50" s="575">
        <f>'Inputs advanced'!F90</f>
        <v>31</v>
      </c>
      <c r="G50" s="575">
        <f>'Inputs advanced'!F90</f>
        <v>31</v>
      </c>
      <c r="H50" s="575">
        <f>'Inputs advanced'!F90</f>
        <v>31</v>
      </c>
      <c r="I50" s="575">
        <f>'Inputs advanced'!F117</f>
        <v>28</v>
      </c>
      <c r="J50" s="575">
        <f>'Inputs advanced'!F117</f>
        <v>28</v>
      </c>
    </row>
    <row r="51" spans="1:11" x14ac:dyDescent="0.25">
      <c r="A51" s="318" t="s">
        <v>646</v>
      </c>
      <c r="B51" s="331"/>
      <c r="C51" s="332"/>
      <c r="D51" s="575">
        <f>'Inputs advanced'!F64</f>
        <v>0.04</v>
      </c>
      <c r="E51" s="575">
        <f>'Inputs advanced'!F64</f>
        <v>0.04</v>
      </c>
      <c r="F51" s="575">
        <f>'Inputs advanced'!F91</f>
        <v>0.04</v>
      </c>
      <c r="G51" s="575">
        <f>'Inputs advanced'!F91</f>
        <v>0.04</v>
      </c>
      <c r="H51" s="575">
        <f>'Inputs advanced'!F91</f>
        <v>0.04</v>
      </c>
      <c r="I51" s="575">
        <f>'Inputs advanced'!F118</f>
        <v>0.04</v>
      </c>
      <c r="J51" s="575">
        <f>'Inputs advanced'!F118</f>
        <v>0.04</v>
      </c>
    </row>
    <row r="52" spans="1:11" x14ac:dyDescent="0.25">
      <c r="A52" s="318" t="s">
        <v>406</v>
      </c>
      <c r="B52" s="331"/>
      <c r="C52" s="332"/>
      <c r="D52" s="575">
        <f>'Inputs advanced'!F65</f>
        <v>5.75</v>
      </c>
      <c r="E52" s="575">
        <f>'Inputs advanced'!F65</f>
        <v>5.75</v>
      </c>
      <c r="F52" s="575">
        <f>'Inputs advanced'!F92</f>
        <v>5.5</v>
      </c>
      <c r="G52" s="575">
        <f>'Inputs advanced'!F92</f>
        <v>5.5</v>
      </c>
      <c r="H52" s="575">
        <f>'Inputs advanced'!F92</f>
        <v>5.5</v>
      </c>
      <c r="I52" s="575">
        <f>'Inputs advanced'!F119</f>
        <v>5.78</v>
      </c>
      <c r="J52" s="575">
        <f>'Inputs advanced'!F119</f>
        <v>5.78</v>
      </c>
    </row>
    <row r="53" spans="1:11" x14ac:dyDescent="0.25">
      <c r="A53" s="318" t="s">
        <v>407</v>
      </c>
      <c r="B53" s="331"/>
      <c r="C53" s="332"/>
      <c r="D53" s="575">
        <f>'Inputs advanced'!F66</f>
        <v>0</v>
      </c>
      <c r="E53" s="575">
        <f>'Inputs advanced'!F66</f>
        <v>0</v>
      </c>
      <c r="F53" s="575">
        <f>'Inputs advanced'!F93</f>
        <v>0</v>
      </c>
      <c r="G53" s="575">
        <f>'Inputs advanced'!F93</f>
        <v>0</v>
      </c>
      <c r="H53" s="575">
        <f>'Inputs advanced'!F93</f>
        <v>0</v>
      </c>
      <c r="I53" s="575">
        <f>'Inputs advanced'!F120</f>
        <v>0</v>
      </c>
      <c r="J53" s="575">
        <f>'Inputs advanced'!F120</f>
        <v>0</v>
      </c>
    </row>
    <row r="54" spans="1:11" x14ac:dyDescent="0.25">
      <c r="A54" s="318" t="s">
        <v>386</v>
      </c>
      <c r="B54" s="331"/>
      <c r="C54" s="332"/>
      <c r="D54" s="575">
        <f>'Inputs advanced'!F67</f>
        <v>3.4</v>
      </c>
      <c r="E54" s="575">
        <f>'Inputs advanced'!F67</f>
        <v>3.4</v>
      </c>
      <c r="F54" s="575">
        <f>'Inputs advanced'!F94</f>
        <v>3.4</v>
      </c>
      <c r="G54" s="575">
        <f>'Inputs advanced'!F94</f>
        <v>3.4</v>
      </c>
      <c r="H54" s="575">
        <f>'Inputs advanced'!F94</f>
        <v>3.4</v>
      </c>
      <c r="I54" s="575">
        <f>'Inputs advanced'!F121</f>
        <v>3.71</v>
      </c>
      <c r="J54" s="575">
        <f>'Inputs advanced'!F121</f>
        <v>3.71</v>
      </c>
    </row>
    <row r="55" spans="1:11" x14ac:dyDescent="0.25">
      <c r="A55" s="318" t="s">
        <v>408</v>
      </c>
      <c r="B55" s="331"/>
      <c r="C55" s="332"/>
      <c r="D55" s="575">
        <f>'Inputs advanced'!F68</f>
        <v>4</v>
      </c>
      <c r="E55" s="575">
        <f>'Inputs advanced'!F68</f>
        <v>4</v>
      </c>
      <c r="F55" s="575">
        <f>'Inputs advanced'!F95</f>
        <v>2.5</v>
      </c>
      <c r="G55" s="575">
        <f>'Inputs advanced'!F95</f>
        <v>2.5</v>
      </c>
      <c r="H55" s="575">
        <f>'Inputs advanced'!F95</f>
        <v>2.5</v>
      </c>
      <c r="I55" s="575">
        <f>'Inputs advanced'!F122</f>
        <v>2.2000000000000002</v>
      </c>
      <c r="J55" s="575">
        <f>'Inputs advanced'!F122</f>
        <v>2.2000000000000002</v>
      </c>
    </row>
    <row r="56" spans="1:11" x14ac:dyDescent="0.25">
      <c r="A56" s="318" t="s">
        <v>409</v>
      </c>
      <c r="B56" s="331"/>
      <c r="C56" s="332"/>
      <c r="D56" s="575">
        <f>'Inputs advanced'!F69</f>
        <v>13</v>
      </c>
      <c r="E56" s="575">
        <f>'Inputs advanced'!F69</f>
        <v>13</v>
      </c>
      <c r="F56" s="575">
        <f>'Inputs advanced'!F96</f>
        <v>11.7</v>
      </c>
      <c r="G56" s="575">
        <f>'Inputs advanced'!F96</f>
        <v>11.7</v>
      </c>
      <c r="H56" s="575">
        <f>'Inputs advanced'!F96</f>
        <v>11.7</v>
      </c>
      <c r="I56" s="575">
        <f>'Inputs advanced'!F123</f>
        <v>12.2</v>
      </c>
      <c r="J56" s="575">
        <f>'Inputs advanced'!F123</f>
        <v>12.2</v>
      </c>
    </row>
    <row r="57" spans="1:11" x14ac:dyDescent="0.25">
      <c r="A57" s="319" t="s">
        <v>410</v>
      </c>
      <c r="B57" s="331"/>
      <c r="C57" s="332"/>
      <c r="D57" s="575">
        <f>'Inputs advanced'!F70</f>
        <v>0.3</v>
      </c>
      <c r="E57" s="575">
        <f>'Inputs advanced'!F70</f>
        <v>0.3</v>
      </c>
      <c r="F57" s="575">
        <f>'Inputs advanced'!F97</f>
        <v>0.36</v>
      </c>
      <c r="G57" s="575">
        <f>'Inputs advanced'!F97</f>
        <v>0.36</v>
      </c>
      <c r="H57" s="575">
        <f>'Inputs advanced'!F97</f>
        <v>0.36</v>
      </c>
      <c r="I57" s="575">
        <f>'Inputs advanced'!F124</f>
        <v>0.36</v>
      </c>
      <c r="J57" s="575">
        <f>'Inputs advanced'!F124</f>
        <v>0.36</v>
      </c>
    </row>
    <row r="58" spans="1:11" x14ac:dyDescent="0.25">
      <c r="A58" s="318" t="s">
        <v>411</v>
      </c>
      <c r="B58" s="331"/>
      <c r="C58" s="332"/>
      <c r="D58" s="575">
        <f>'Inputs advanced'!F71</f>
        <v>8.9</v>
      </c>
      <c r="E58" s="575">
        <f>'Inputs advanced'!F71</f>
        <v>8.9</v>
      </c>
      <c r="F58" s="575">
        <f>'Inputs advanced'!F98</f>
        <v>3.91</v>
      </c>
      <c r="G58" s="575">
        <f>'Inputs advanced'!F98</f>
        <v>3.91</v>
      </c>
      <c r="H58" s="575">
        <f>'Inputs advanced'!F98</f>
        <v>3.91</v>
      </c>
      <c r="I58" s="575">
        <f>'Inputs advanced'!F125</f>
        <v>4.54</v>
      </c>
      <c r="J58" s="575">
        <f>'Inputs advanced'!F125</f>
        <v>4.54</v>
      </c>
    </row>
    <row r="59" spans="1:11" x14ac:dyDescent="0.25">
      <c r="A59" s="319" t="s">
        <v>210</v>
      </c>
      <c r="B59" s="331"/>
      <c r="C59" s="332"/>
      <c r="D59" s="575">
        <f>'Inputs advanced'!F72</f>
        <v>7.84</v>
      </c>
      <c r="E59" s="575">
        <f>'Inputs advanced'!F72</f>
        <v>7.84</v>
      </c>
      <c r="F59" s="575">
        <f>'Inputs advanced'!F99</f>
        <v>7.36</v>
      </c>
      <c r="G59" s="575">
        <f>'Inputs advanced'!F99</f>
        <v>7.36</v>
      </c>
      <c r="H59" s="575">
        <f>'Inputs advanced'!F99</f>
        <v>7.36</v>
      </c>
      <c r="I59" s="575">
        <f>'Inputs advanced'!F126</f>
        <v>7.91</v>
      </c>
      <c r="J59" s="575">
        <f>'Inputs advanced'!F126</f>
        <v>7.91</v>
      </c>
    </row>
    <row r="60" spans="1:11" x14ac:dyDescent="0.25">
      <c r="A60" s="319"/>
      <c r="B60" s="331"/>
      <c r="C60" s="332"/>
      <c r="D60" s="333"/>
      <c r="E60" s="333"/>
      <c r="F60" s="333"/>
      <c r="G60" s="333"/>
      <c r="H60" s="333"/>
      <c r="I60" s="333"/>
      <c r="J60" s="324"/>
    </row>
    <row r="61" spans="1:11" x14ac:dyDescent="0.25">
      <c r="A61" s="24" t="s">
        <v>420</v>
      </c>
      <c r="B61" s="327" t="s">
        <v>43</v>
      </c>
      <c r="C61" s="378" t="s">
        <v>44</v>
      </c>
      <c r="D61" s="568" t="s">
        <v>45</v>
      </c>
      <c r="E61" s="568" t="s">
        <v>46</v>
      </c>
      <c r="F61" s="568" t="s">
        <v>47</v>
      </c>
      <c r="G61" s="568" t="s">
        <v>48</v>
      </c>
      <c r="H61" s="568" t="s">
        <v>49</v>
      </c>
      <c r="I61" s="568" t="s">
        <v>50</v>
      </c>
      <c r="J61" s="568" t="s">
        <v>51</v>
      </c>
      <c r="K61" s="318"/>
    </row>
    <row r="62" spans="1:11" x14ac:dyDescent="0.25">
      <c r="A62" s="205" t="s">
        <v>39</v>
      </c>
      <c r="B62" s="324"/>
      <c r="C62" s="326"/>
      <c r="D62" s="576">
        <f>'Inputs advanced'!F75</f>
        <v>25</v>
      </c>
      <c r="E62" s="576">
        <f>'Inputs advanced'!F75</f>
        <v>25</v>
      </c>
      <c r="F62" s="576">
        <f>'Inputs advanced'!F102</f>
        <v>65</v>
      </c>
      <c r="G62" s="576">
        <f>'Inputs advanced'!F102</f>
        <v>65</v>
      </c>
      <c r="H62" s="576">
        <f>'Inputs advanced'!F102</f>
        <v>65</v>
      </c>
      <c r="I62" s="576">
        <f>'Inputs advanced'!F129</f>
        <v>53</v>
      </c>
      <c r="J62" s="576">
        <f>'Inputs advanced'!F129</f>
        <v>53</v>
      </c>
    </row>
    <row r="63" spans="1:11" x14ac:dyDescent="0.25">
      <c r="A63" s="205" t="s">
        <v>210</v>
      </c>
      <c r="B63" s="324"/>
      <c r="C63" s="326"/>
      <c r="D63" s="575">
        <f>'Inputs advanced'!F76</f>
        <v>0</v>
      </c>
      <c r="E63" s="576">
        <f>'Inputs advanced'!F76</f>
        <v>0</v>
      </c>
      <c r="F63" s="575">
        <f>'Inputs advanced'!F103</f>
        <v>0</v>
      </c>
      <c r="G63" s="576">
        <f>'Inputs advanced'!F103</f>
        <v>0</v>
      </c>
      <c r="H63" s="575">
        <f>'Inputs advanced'!F103</f>
        <v>0</v>
      </c>
      <c r="I63" s="576">
        <f>'Inputs advanced'!F130</f>
        <v>0</v>
      </c>
      <c r="J63" s="576">
        <f>'Inputs advanced'!F130</f>
        <v>0</v>
      </c>
      <c r="K63" s="318"/>
    </row>
    <row r="64" spans="1:11" x14ac:dyDescent="0.25">
      <c r="A64" s="205"/>
      <c r="B64" s="324"/>
      <c r="C64" s="326"/>
      <c r="D64" s="333"/>
      <c r="E64" s="333"/>
      <c r="F64" s="333"/>
      <c r="G64" s="333"/>
      <c r="H64" s="333"/>
      <c r="I64" s="333"/>
      <c r="J64" s="324"/>
      <c r="K64" s="318"/>
    </row>
    <row r="65" spans="1:11" x14ac:dyDescent="0.25">
      <c r="A65" s="125"/>
      <c r="B65" s="324"/>
      <c r="C65" s="326"/>
      <c r="D65" s="330"/>
      <c r="E65" s="330"/>
      <c r="F65" s="330"/>
      <c r="G65" s="330"/>
      <c r="H65" s="330"/>
      <c r="I65" s="330"/>
      <c r="J65" s="330"/>
      <c r="K65" s="318"/>
    </row>
    <row r="66" spans="1:11" x14ac:dyDescent="0.25">
      <c r="A66" s="24" t="s">
        <v>403</v>
      </c>
      <c r="B66" s="324"/>
      <c r="C66" s="326"/>
      <c r="D66" s="330"/>
      <c r="E66" s="330"/>
      <c r="F66" s="330"/>
      <c r="G66" s="330"/>
      <c r="H66" s="330"/>
      <c r="I66" s="326"/>
      <c r="J66" s="326"/>
      <c r="K66" s="318"/>
    </row>
    <row r="67" spans="1:11" x14ac:dyDescent="0.25">
      <c r="A67" s="206" t="s">
        <v>404</v>
      </c>
      <c r="B67" s="324"/>
      <c r="C67" s="326"/>
      <c r="D67" s="330"/>
      <c r="E67" s="330"/>
      <c r="F67" s="330"/>
      <c r="G67" s="330"/>
      <c r="H67" s="330"/>
      <c r="I67" s="330"/>
      <c r="J67" s="330"/>
      <c r="K67" s="318"/>
    </row>
    <row r="68" spans="1:11" x14ac:dyDescent="0.25">
      <c r="A68" s="207" t="s">
        <v>625</v>
      </c>
      <c r="B68" s="324"/>
      <c r="C68" s="326"/>
      <c r="D68" s="576">
        <f>'Inputs advanced'!F80</f>
        <v>3</v>
      </c>
      <c r="E68" s="576">
        <f>'Inputs advanced'!F80</f>
        <v>3</v>
      </c>
      <c r="F68" s="576">
        <f>'Inputs advanced'!F107</f>
        <v>6.5</v>
      </c>
      <c r="G68" s="576">
        <f>'Inputs advanced'!F107</f>
        <v>6.5</v>
      </c>
      <c r="H68" s="576">
        <f>'Inputs advanced'!F107</f>
        <v>6.5</v>
      </c>
      <c r="I68" s="576">
        <f>'Inputs advanced'!F134</f>
        <v>4.5999999999999996</v>
      </c>
      <c r="J68" s="576">
        <f>'Inputs advanced'!F134</f>
        <v>4.5999999999999996</v>
      </c>
      <c r="K68" s="318"/>
    </row>
    <row r="69" spans="1:11" x14ac:dyDescent="0.25">
      <c r="A69" s="207" t="s">
        <v>423</v>
      </c>
      <c r="B69" s="324"/>
      <c r="C69" s="326"/>
      <c r="D69" s="576">
        <f>'Inputs advanced'!F81</f>
        <v>3</v>
      </c>
      <c r="E69" s="576">
        <f>'Inputs advanced'!F81</f>
        <v>3</v>
      </c>
      <c r="F69" s="576">
        <f>'Inputs advanced'!F108</f>
        <v>6</v>
      </c>
      <c r="G69" s="576">
        <f>'Inputs advanced'!F108</f>
        <v>6</v>
      </c>
      <c r="H69" s="576">
        <f>'Inputs advanced'!F108</f>
        <v>6</v>
      </c>
      <c r="I69" s="576">
        <f>'Inputs advanced'!F135</f>
        <v>2.2999999999999998</v>
      </c>
      <c r="J69" s="576">
        <f>'Inputs advanced'!F135</f>
        <v>2.2999999999999998</v>
      </c>
      <c r="K69" s="318"/>
    </row>
    <row r="70" spans="1:11" x14ac:dyDescent="0.25">
      <c r="A70" s="208" t="s">
        <v>40</v>
      </c>
      <c r="B70" s="324"/>
      <c r="C70" s="326"/>
      <c r="D70" s="576">
        <f>'Inputs advanced'!F82</f>
        <v>5.8</v>
      </c>
      <c r="E70" s="576">
        <f>'Inputs advanced'!F82</f>
        <v>5.8</v>
      </c>
      <c r="F70" s="576">
        <f>'Inputs advanced'!F109</f>
        <v>8.5</v>
      </c>
      <c r="G70" s="576">
        <f>'Inputs advanced'!F109</f>
        <v>8.5</v>
      </c>
      <c r="H70" s="576">
        <f>'Inputs advanced'!F109</f>
        <v>8.5</v>
      </c>
      <c r="I70" s="576">
        <f>'Inputs advanced'!F136</f>
        <v>1.2</v>
      </c>
      <c r="J70" s="576">
        <f>'Inputs advanced'!F136</f>
        <v>1.2</v>
      </c>
      <c r="K70" s="318"/>
    </row>
    <row r="71" spans="1:11" x14ac:dyDescent="0.25">
      <c r="A71" s="207" t="s">
        <v>628</v>
      </c>
      <c r="B71" s="324"/>
      <c r="C71" s="326"/>
      <c r="D71" s="576">
        <f>'Inputs advanced'!F83</f>
        <v>1.2</v>
      </c>
      <c r="E71" s="576">
        <f>'Inputs advanced'!F83</f>
        <v>1.2</v>
      </c>
      <c r="F71" s="576">
        <f>'Inputs advanced'!F110</f>
        <v>2.13</v>
      </c>
      <c r="G71" s="576">
        <f>'Inputs advanced'!F110</f>
        <v>2.13</v>
      </c>
      <c r="H71" s="576">
        <f>'Inputs advanced'!F110</f>
        <v>2.13</v>
      </c>
      <c r="I71" s="576">
        <f>'Inputs advanced'!F137</f>
        <v>0.83</v>
      </c>
      <c r="J71" s="576">
        <f>'Inputs advanced'!F137</f>
        <v>0.83</v>
      </c>
      <c r="K71" s="318"/>
    </row>
    <row r="72" spans="1:11" x14ac:dyDescent="0.25">
      <c r="A72" s="207" t="s">
        <v>626</v>
      </c>
      <c r="B72" s="324"/>
      <c r="C72" s="326"/>
      <c r="D72" s="576">
        <f>'Inputs advanced'!F84</f>
        <v>1.8</v>
      </c>
      <c r="E72" s="576">
        <f>'Inputs advanced'!F84</f>
        <v>1.8</v>
      </c>
      <c r="F72" s="576">
        <f>'Inputs advanced'!F111</f>
        <v>4.8</v>
      </c>
      <c r="G72" s="576">
        <f>'Inputs advanced'!F111</f>
        <v>4.8</v>
      </c>
      <c r="H72" s="576">
        <f>'Inputs advanced'!F111</f>
        <v>4.8</v>
      </c>
      <c r="I72" s="576">
        <f>'Inputs advanced'!F138</f>
        <v>0</v>
      </c>
      <c r="J72" s="576">
        <f>'Inputs advanced'!F138</f>
        <v>0</v>
      </c>
      <c r="K72" s="318"/>
    </row>
    <row r="73" spans="1:11" x14ac:dyDescent="0.25">
      <c r="A73" s="207" t="s">
        <v>627</v>
      </c>
      <c r="B73" s="324"/>
      <c r="C73" s="326"/>
      <c r="D73" s="576">
        <f>'Inputs advanced'!F85</f>
        <v>1</v>
      </c>
      <c r="E73" s="576">
        <f>'Inputs advanced'!F85</f>
        <v>1</v>
      </c>
      <c r="F73" s="576">
        <f>'Inputs advanced'!F112</f>
        <v>2.2999999999999998</v>
      </c>
      <c r="G73" s="576">
        <f>'Inputs advanced'!F112</f>
        <v>2.2999999999999998</v>
      </c>
      <c r="H73" s="576">
        <f>'Inputs advanced'!F112</f>
        <v>2.2999999999999998</v>
      </c>
      <c r="I73" s="576">
        <f>'Inputs advanced'!F139</f>
        <v>0.21</v>
      </c>
      <c r="J73" s="576">
        <f>'Inputs advanced'!F139</f>
        <v>0.21</v>
      </c>
      <c r="K73" s="318"/>
    </row>
    <row r="74" spans="1:11" x14ac:dyDescent="0.25">
      <c r="A74" s="312" t="s">
        <v>424</v>
      </c>
      <c r="B74" s="324"/>
      <c r="C74" s="326"/>
      <c r="D74" s="576">
        <f>'Inputs advanced'!F86</f>
        <v>0.28000000000000003</v>
      </c>
      <c r="E74" s="576">
        <f>'Inputs advanced'!F86</f>
        <v>0.28000000000000003</v>
      </c>
      <c r="F74" s="576">
        <f>'Inputs advanced'!F113</f>
        <v>0.43</v>
      </c>
      <c r="G74" s="576">
        <f>'Inputs advanced'!F113</f>
        <v>0.43</v>
      </c>
      <c r="H74" s="576">
        <f>'Inputs advanced'!F113</f>
        <v>0.43</v>
      </c>
      <c r="I74" s="576">
        <f>'Inputs advanced'!F140</f>
        <v>0</v>
      </c>
      <c r="J74" s="576">
        <f>'Inputs advanced'!F140</f>
        <v>0</v>
      </c>
      <c r="K74" s="318"/>
    </row>
    <row r="75" spans="1:11" x14ac:dyDescent="0.25">
      <c r="A75" s="312" t="s">
        <v>629</v>
      </c>
      <c r="B75" s="324"/>
      <c r="C75" s="326"/>
      <c r="D75" s="576">
        <f>'Inputs advanced'!F87</f>
        <v>1.9</v>
      </c>
      <c r="E75" s="576">
        <f>'Inputs advanced'!F87</f>
        <v>1.9</v>
      </c>
      <c r="F75" s="576">
        <f>'Inputs advanced'!F114</f>
        <v>3</v>
      </c>
      <c r="G75" s="576">
        <f>'Inputs advanced'!F114</f>
        <v>3</v>
      </c>
      <c r="H75" s="576">
        <f>'Inputs advanced'!F114</f>
        <v>3</v>
      </c>
      <c r="I75" s="576">
        <f>'Inputs advanced'!F141</f>
        <v>0.7</v>
      </c>
      <c r="J75" s="576">
        <f>'Inputs advanced'!F141</f>
        <v>0.7</v>
      </c>
      <c r="K75" s="318"/>
    </row>
    <row r="76" spans="1:11" x14ac:dyDescent="0.25">
      <c r="A76" s="312" t="s">
        <v>630</v>
      </c>
      <c r="B76" s="324"/>
      <c r="C76" s="326"/>
      <c r="D76" s="576">
        <f>'Inputs advanced'!F88</f>
        <v>0.1</v>
      </c>
      <c r="E76" s="576">
        <f>'Inputs advanced'!F88</f>
        <v>0.1</v>
      </c>
      <c r="F76" s="576">
        <f>'Inputs advanced'!F115</f>
        <v>0.1</v>
      </c>
      <c r="G76" s="576">
        <f>'Inputs advanced'!F115</f>
        <v>0.1</v>
      </c>
      <c r="H76" s="576">
        <f>'Inputs advanced'!F115</f>
        <v>0.1</v>
      </c>
      <c r="I76" s="576">
        <f>'Inputs advanced'!F142</f>
        <v>0</v>
      </c>
      <c r="J76" s="576">
        <f>'Inputs advanced'!F142</f>
        <v>0</v>
      </c>
      <c r="K76" s="318"/>
    </row>
    <row r="77" spans="1:11" x14ac:dyDescent="0.25">
      <c r="A77" s="312" t="s">
        <v>550</v>
      </c>
      <c r="B77" s="324"/>
      <c r="C77" s="326"/>
      <c r="D77" s="576">
        <f>'Inputs advanced'!F89</f>
        <v>0</v>
      </c>
      <c r="E77" s="576">
        <f>'Inputs advanced'!F89</f>
        <v>0</v>
      </c>
      <c r="F77" s="576">
        <f>'Inputs advanced'!F116</f>
        <v>0</v>
      </c>
      <c r="G77" s="576">
        <f>'Inputs advanced'!F116</f>
        <v>0</v>
      </c>
      <c r="H77" s="576">
        <f>'Inputs advanced'!F116</f>
        <v>0</v>
      </c>
      <c r="I77" s="576">
        <f>'Inputs advanced'!F143</f>
        <v>1.5</v>
      </c>
      <c r="J77" s="576">
        <f>'Inputs advanced'!F143</f>
        <v>1.5</v>
      </c>
      <c r="K77" s="318"/>
    </row>
    <row r="78" spans="1:11" x14ac:dyDescent="0.25">
      <c r="A78" s="24" t="s">
        <v>425</v>
      </c>
      <c r="B78" s="324"/>
      <c r="C78" s="326"/>
      <c r="D78" s="330"/>
      <c r="E78" s="330"/>
      <c r="F78" s="330"/>
      <c r="G78" s="330"/>
      <c r="H78" s="330"/>
      <c r="I78" s="330"/>
      <c r="J78" s="326"/>
      <c r="K78" s="318"/>
    </row>
    <row r="79" spans="1:11" x14ac:dyDescent="0.25">
      <c r="A79" s="24"/>
      <c r="B79" s="324"/>
      <c r="C79" s="326"/>
      <c r="D79" s="330"/>
      <c r="E79" s="330"/>
      <c r="F79" s="330"/>
      <c r="G79" s="330"/>
      <c r="H79" s="330"/>
      <c r="I79" s="326"/>
      <c r="J79" s="326"/>
    </row>
    <row r="80" spans="1:11" x14ac:dyDescent="0.25">
      <c r="B80" s="330"/>
      <c r="C80" s="330"/>
      <c r="D80" s="330"/>
      <c r="E80" s="330"/>
      <c r="F80" s="330"/>
      <c r="G80" s="330"/>
      <c r="H80" s="330"/>
      <c r="I80" s="330"/>
      <c r="J80" s="330"/>
    </row>
    <row r="81" spans="1:10" x14ac:dyDescent="0.25">
      <c r="A81" s="86" t="s">
        <v>125</v>
      </c>
      <c r="B81" s="490" t="s">
        <v>43</v>
      </c>
      <c r="C81" s="490" t="s">
        <v>44</v>
      </c>
      <c r="D81" s="490" t="s">
        <v>45</v>
      </c>
      <c r="E81" s="490" t="s">
        <v>46</v>
      </c>
      <c r="F81" s="490" t="s">
        <v>47</v>
      </c>
      <c r="G81" s="490" t="s">
        <v>48</v>
      </c>
      <c r="H81" s="490" t="s">
        <v>49</v>
      </c>
      <c r="I81" s="490" t="s">
        <v>50</v>
      </c>
      <c r="J81" s="490" t="s">
        <v>51</v>
      </c>
    </row>
    <row r="82" spans="1:10" x14ac:dyDescent="0.25">
      <c r="A82" s="86"/>
      <c r="B82" s="490"/>
      <c r="C82" s="490"/>
      <c r="D82" s="490"/>
      <c r="E82" s="490"/>
      <c r="F82" s="490"/>
      <c r="G82" s="490"/>
      <c r="H82" s="490"/>
      <c r="I82" s="490"/>
      <c r="J82" s="490"/>
    </row>
    <row r="83" spans="1:10" x14ac:dyDescent="0.25">
      <c r="A83" s="86"/>
      <c r="B83" s="490"/>
      <c r="C83" s="490"/>
      <c r="D83" s="490"/>
      <c r="E83" s="490"/>
      <c r="F83" s="490"/>
      <c r="G83" s="490"/>
      <c r="H83" s="490"/>
      <c r="I83" s="490"/>
      <c r="J83" s="490"/>
    </row>
    <row r="84" spans="1:10" ht="63" x14ac:dyDescent="0.25">
      <c r="A84" s="245" t="s">
        <v>585</v>
      </c>
      <c r="B84" s="330"/>
      <c r="C84" s="330"/>
      <c r="D84" s="330"/>
      <c r="E84" s="330"/>
      <c r="F84" s="330"/>
      <c r="G84" s="330"/>
      <c r="H84" s="330"/>
      <c r="I84" s="330"/>
      <c r="J84" s="330"/>
    </row>
    <row r="85" spans="1:10" x14ac:dyDescent="0.25">
      <c r="A85" s="8" t="s">
        <v>527</v>
      </c>
      <c r="B85" s="334">
        <f>'Inputs advanced'!$F$410</f>
        <v>14</v>
      </c>
      <c r="C85" s="334">
        <f>'Inputs advanced'!$F$410</f>
        <v>14</v>
      </c>
      <c r="D85" s="334">
        <f>'Inputs advanced'!$F$410</f>
        <v>14</v>
      </c>
      <c r="E85" s="334">
        <f>'Inputs advanced'!$F$410</f>
        <v>14</v>
      </c>
      <c r="F85" s="334">
        <f>'Inputs advanced'!$F$410</f>
        <v>14</v>
      </c>
      <c r="G85" s="334">
        <f>'Inputs advanced'!$F$410</f>
        <v>14</v>
      </c>
      <c r="H85" s="334">
        <f>'Inputs advanced'!$F$410</f>
        <v>14</v>
      </c>
      <c r="I85" s="334">
        <f>'Inputs advanced'!$F$410</f>
        <v>14</v>
      </c>
      <c r="J85" s="334">
        <f>'Inputs advanced'!$F$410</f>
        <v>14</v>
      </c>
    </row>
    <row r="86" spans="1:10" ht="47.25" x14ac:dyDescent="0.25">
      <c r="A86" s="245" t="s">
        <v>128</v>
      </c>
      <c r="B86" s="330"/>
      <c r="C86" s="330"/>
      <c r="D86" s="330"/>
      <c r="E86" s="330"/>
      <c r="F86" s="330"/>
      <c r="G86" s="330"/>
      <c r="H86" s="330"/>
      <c r="I86" s="330"/>
      <c r="J86" s="330"/>
    </row>
    <row r="87" spans="1:10" x14ac:dyDescent="0.25">
      <c r="A87" s="8" t="s">
        <v>527</v>
      </c>
      <c r="B87" s="334">
        <f>'Inputs advanced'!$F$411</f>
        <v>5.37</v>
      </c>
      <c r="C87" s="334">
        <f>'Inputs advanced'!$F$411</f>
        <v>5.37</v>
      </c>
      <c r="D87" s="334">
        <f>'Inputs advanced'!$F$411</f>
        <v>5.37</v>
      </c>
      <c r="E87" s="334">
        <f>'Inputs advanced'!$F$411</f>
        <v>5.37</v>
      </c>
      <c r="F87" s="334">
        <f>'Inputs advanced'!$F$411</f>
        <v>5.37</v>
      </c>
      <c r="G87" s="334">
        <f>'Inputs advanced'!$F$411</f>
        <v>5.37</v>
      </c>
      <c r="H87" s="334">
        <f>'Inputs advanced'!$F$411</f>
        <v>5.37</v>
      </c>
      <c r="I87" s="334">
        <f>'Inputs advanced'!$F$411</f>
        <v>5.37</v>
      </c>
      <c r="J87" s="334">
        <f>'Inputs advanced'!$F$411</f>
        <v>5.37</v>
      </c>
    </row>
    <row r="88" spans="1:10" ht="47.25" x14ac:dyDescent="0.25">
      <c r="A88" s="245" t="s">
        <v>586</v>
      </c>
      <c r="B88" s="330"/>
      <c r="C88" s="330"/>
      <c r="D88" s="330"/>
      <c r="E88" s="330"/>
      <c r="F88" s="330"/>
      <c r="G88" s="330"/>
      <c r="H88" s="330"/>
      <c r="I88" s="330"/>
      <c r="J88" s="330"/>
    </row>
    <row r="89" spans="1:10" x14ac:dyDescent="0.25">
      <c r="A89" s="8" t="s">
        <v>527</v>
      </c>
      <c r="B89" s="334">
        <f>'Inputs advanced'!$F$412</f>
        <v>1.4</v>
      </c>
      <c r="C89" s="334">
        <f>'Inputs advanced'!$F$412</f>
        <v>1.4</v>
      </c>
      <c r="D89" s="334">
        <f>'Inputs advanced'!$F$412</f>
        <v>1.4</v>
      </c>
      <c r="E89" s="334">
        <f>'Inputs advanced'!$F$412</f>
        <v>1.4</v>
      </c>
      <c r="F89" s="334">
        <f>'Inputs advanced'!$F$412</f>
        <v>1.4</v>
      </c>
      <c r="G89" s="334">
        <f>'Inputs advanced'!$F$412</f>
        <v>1.4</v>
      </c>
      <c r="H89" s="334">
        <f>'Inputs advanced'!$F$412</f>
        <v>1.4</v>
      </c>
      <c r="I89" s="334">
        <f>'Inputs advanced'!$F$412</f>
        <v>1.4</v>
      </c>
      <c r="J89" s="334">
        <f>'Inputs advanced'!$F$412</f>
        <v>1.4</v>
      </c>
    </row>
    <row r="90" spans="1:10" ht="63" x14ac:dyDescent="0.25">
      <c r="A90" s="491" t="s">
        <v>587</v>
      </c>
      <c r="B90" s="330"/>
      <c r="C90" s="330"/>
      <c r="D90" s="330"/>
      <c r="E90" s="330"/>
      <c r="F90" s="330"/>
      <c r="G90" s="330"/>
      <c r="H90" s="330"/>
      <c r="I90" s="330"/>
      <c r="J90" s="330"/>
    </row>
    <row r="91" spans="1:10" x14ac:dyDescent="0.25">
      <c r="A91" s="8" t="s">
        <v>588</v>
      </c>
      <c r="B91" s="335">
        <f>'Inputs advanced'!$F$413</f>
        <v>899</v>
      </c>
      <c r="C91" s="334">
        <f t="shared" ref="C91:J91" si="0">B91</f>
        <v>899</v>
      </c>
      <c r="D91" s="334">
        <f t="shared" si="0"/>
        <v>899</v>
      </c>
      <c r="E91" s="334">
        <f t="shared" si="0"/>
        <v>899</v>
      </c>
      <c r="F91" s="334">
        <f t="shared" si="0"/>
        <v>899</v>
      </c>
      <c r="G91" s="334">
        <f t="shared" si="0"/>
        <v>899</v>
      </c>
      <c r="H91" s="334">
        <f t="shared" si="0"/>
        <v>899</v>
      </c>
      <c r="I91" s="334">
        <f t="shared" si="0"/>
        <v>899</v>
      </c>
      <c r="J91" s="334">
        <f t="shared" si="0"/>
        <v>899</v>
      </c>
    </row>
    <row r="92" spans="1:10" x14ac:dyDescent="0.25">
      <c r="A92" s="87" t="s">
        <v>127</v>
      </c>
      <c r="B92" s="330"/>
      <c r="C92" s="330"/>
      <c r="D92" s="330"/>
      <c r="E92" s="330"/>
      <c r="F92" s="330"/>
      <c r="G92" s="330"/>
      <c r="H92" s="330"/>
      <c r="I92" s="330"/>
      <c r="J92" s="330"/>
    </row>
    <row r="93" spans="1:10" x14ac:dyDescent="0.25">
      <c r="B93" s="330"/>
      <c r="C93" s="330"/>
      <c r="D93" s="330"/>
      <c r="E93" s="330"/>
      <c r="F93" s="330"/>
      <c r="G93" s="330"/>
      <c r="H93" s="330"/>
      <c r="I93" s="330"/>
      <c r="J93" s="330"/>
    </row>
  </sheetData>
  <phoneticPr fontId="16" type="noConversion"/>
  <pageMargins left="0.75" right="0.75" top="1" bottom="1" header="0.5" footer="0.5"/>
  <pageSetup scale="48" orientation="landscape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T93"/>
  <sheetViews>
    <sheetView zoomScale="82" zoomScaleNormal="82" zoomScalePageLayoutView="82" workbookViewId="0">
      <pane xSplit="1" ySplit="1" topLeftCell="B22" activePane="bottomRight" state="frozen"/>
      <selection pane="topRight" activeCell="B1" sqref="B1"/>
      <selection pane="bottomLeft" activeCell="A2" sqref="A2"/>
      <selection pane="bottomRight" activeCell="K46" sqref="K46"/>
    </sheetView>
  </sheetViews>
  <sheetFormatPr defaultColWidth="10.875" defaultRowHeight="15.75" x14ac:dyDescent="0.25"/>
  <cols>
    <col min="1" max="1" width="51" style="322" customWidth="1"/>
    <col min="2" max="2" width="14.625" style="40" customWidth="1"/>
    <col min="3" max="3" width="16.125" style="40" customWidth="1"/>
    <col min="4" max="4" width="13.125" style="40" bestFit="1" customWidth="1"/>
    <col min="5" max="10" width="12.5" style="40" customWidth="1"/>
    <col min="11" max="11" width="11.5" style="8" bestFit="1" customWidth="1"/>
    <col min="12" max="12" width="12.5" style="322" bestFit="1" customWidth="1"/>
    <col min="13" max="16384" width="10.875" style="322"/>
  </cols>
  <sheetData>
    <row r="1" spans="1:20" ht="31.5" x14ac:dyDescent="0.25">
      <c r="A1" s="1"/>
      <c r="B1" s="43" t="s">
        <v>43</v>
      </c>
      <c r="C1" s="2" t="s">
        <v>44</v>
      </c>
      <c r="D1" s="2" t="s">
        <v>45</v>
      </c>
      <c r="E1" s="2" t="s">
        <v>46</v>
      </c>
      <c r="F1" s="2" t="s">
        <v>47</v>
      </c>
      <c r="G1" s="2" t="s">
        <v>48</v>
      </c>
      <c r="H1" s="2" t="s">
        <v>49</v>
      </c>
      <c r="I1" s="2" t="s">
        <v>50</v>
      </c>
      <c r="J1" s="2" t="s">
        <v>51</v>
      </c>
      <c r="K1" s="235" t="s">
        <v>537</v>
      </c>
      <c r="L1" s="799" t="s">
        <v>294</v>
      </c>
      <c r="M1" s="799"/>
      <c r="N1" s="799"/>
      <c r="O1" s="799"/>
      <c r="P1" s="799"/>
      <c r="Q1" s="799"/>
      <c r="R1" s="799"/>
      <c r="S1" s="799"/>
      <c r="T1" s="799"/>
    </row>
    <row r="2" spans="1:20" x14ac:dyDescent="0.25">
      <c r="A2" s="264" t="s">
        <v>59</v>
      </c>
      <c r="B2" s="265"/>
      <c r="C2" s="265"/>
      <c r="D2" s="265"/>
      <c r="E2" s="265"/>
      <c r="F2" s="265"/>
      <c r="G2" s="380"/>
      <c r="H2" s="380"/>
      <c r="I2" s="380"/>
      <c r="J2" s="380"/>
      <c r="K2" s="266"/>
    </row>
    <row r="3" spans="1:20" x14ac:dyDescent="0.25">
      <c r="A3" s="267" t="str">
        <f>Budget_Supuestos!J171</f>
        <v>Media En general Reportada I</v>
      </c>
      <c r="B3" s="268"/>
      <c r="C3" s="265"/>
      <c r="D3" s="265"/>
      <c r="E3" s="265"/>
      <c r="F3" s="265"/>
      <c r="G3" s="380"/>
      <c r="H3" s="380"/>
      <c r="I3" s="380"/>
      <c r="J3" s="380"/>
      <c r="K3" s="266"/>
    </row>
    <row r="4" spans="1:20" s="8" customFormat="1" ht="36.950000000000003" customHeight="1" x14ac:dyDescent="0.25">
      <c r="A4" s="344" t="s">
        <v>857</v>
      </c>
      <c r="B4" s="269"/>
      <c r="C4" s="269"/>
      <c r="D4" s="270">
        <f>Budget_Supuestos!$B$49*Budget_Supuestos!L147</f>
        <v>8803.5294117647063</v>
      </c>
      <c r="E4" s="270">
        <f>Budget_Supuestos!$B$49*Budget_Supuestos!L148</f>
        <v>8803.5294117647063</v>
      </c>
      <c r="F4" s="270">
        <f>Budget_Supuestos!$B$49*Budget_Supuestos!L149</f>
        <v>44898</v>
      </c>
      <c r="G4" s="270">
        <f>Budget_Supuestos!$B$49*Budget_Supuestos!L150</f>
        <v>44898</v>
      </c>
      <c r="H4" s="270">
        <f>Budget_Supuestos!$B$49*Budget_Supuestos!L151</f>
        <v>49387.80000000001</v>
      </c>
      <c r="I4" s="270">
        <f>Budget_Supuestos!$B$49*Budget_Supuestos!L152</f>
        <v>49387.80000000001</v>
      </c>
      <c r="J4" s="270">
        <f>Budget_Supuestos!$B$49*Budget_Supuestos!L153</f>
        <v>49387.80000000001</v>
      </c>
      <c r="K4" s="266">
        <f>AVERAGE(D4:J4)</f>
        <v>36509.494117647067</v>
      </c>
    </row>
    <row r="5" spans="1:20" s="8" customFormat="1" x14ac:dyDescent="0.25">
      <c r="A5" s="380" t="s">
        <v>631</v>
      </c>
      <c r="B5" s="269"/>
      <c r="C5" s="269"/>
      <c r="D5" s="270">
        <f t="shared" ref="D5:I5" si="0">E5*(D4/E4)</f>
        <v>0</v>
      </c>
      <c r="E5" s="270">
        <f t="shared" si="0"/>
        <v>0</v>
      </c>
      <c r="F5" s="270">
        <f t="shared" si="0"/>
        <v>0</v>
      </c>
      <c r="G5" s="270">
        <f t="shared" si="0"/>
        <v>0</v>
      </c>
      <c r="H5" s="270">
        <f t="shared" si="0"/>
        <v>0</v>
      </c>
      <c r="I5" s="270">
        <f t="shared" si="0"/>
        <v>0</v>
      </c>
      <c r="J5" s="270">
        <f>Budget_Supuestos!$B$52</f>
        <v>0</v>
      </c>
      <c r="K5" s="266">
        <f t="shared" ref="K5:K11" si="1">AVERAGE(D5:J5)</f>
        <v>0</v>
      </c>
    </row>
    <row r="6" spans="1:20" s="8" customFormat="1" hidden="1" x14ac:dyDescent="0.25">
      <c r="A6" s="269"/>
      <c r="B6" s="269"/>
      <c r="C6" s="269"/>
      <c r="D6" s="270"/>
      <c r="E6" s="270"/>
      <c r="F6" s="270"/>
      <c r="G6" s="270"/>
      <c r="H6" s="270"/>
      <c r="I6" s="270"/>
      <c r="J6" s="270"/>
      <c r="K6" s="266"/>
    </row>
    <row r="7" spans="1:20" s="8" customFormat="1" hidden="1" x14ac:dyDescent="0.25">
      <c r="A7" s="271" t="str">
        <f>Budget_Supuestos!C144</f>
        <v>Borbon</v>
      </c>
      <c r="B7" s="269"/>
      <c r="C7" s="269"/>
      <c r="D7" s="270"/>
      <c r="E7" s="270"/>
      <c r="F7" s="270"/>
      <c r="G7" s="270"/>
      <c r="H7" s="270"/>
      <c r="I7" s="270"/>
      <c r="J7" s="270"/>
      <c r="K7" s="266"/>
    </row>
    <row r="8" spans="1:20" s="8" customFormat="1" hidden="1" x14ac:dyDescent="0.25">
      <c r="A8" s="269" t="s">
        <v>94</v>
      </c>
      <c r="B8" s="269"/>
      <c r="C8" s="269"/>
      <c r="D8" s="270">
        <v>0</v>
      </c>
      <c r="E8" s="270">
        <v>0</v>
      </c>
      <c r="F8" s="270">
        <v>0</v>
      </c>
      <c r="G8" s="270">
        <v>0</v>
      </c>
      <c r="H8" s="270">
        <v>0</v>
      </c>
      <c r="I8" s="270">
        <v>0</v>
      </c>
      <c r="J8" s="270">
        <v>0</v>
      </c>
      <c r="K8" s="266">
        <f t="shared" si="1"/>
        <v>0</v>
      </c>
    </row>
    <row r="9" spans="1:20" s="8" customFormat="1" hidden="1" x14ac:dyDescent="0.25">
      <c r="A9" s="269" t="s">
        <v>186</v>
      </c>
      <c r="B9" s="269"/>
      <c r="C9" s="269"/>
      <c r="D9" s="270">
        <v>0</v>
      </c>
      <c r="E9" s="270">
        <v>0</v>
      </c>
      <c r="F9" s="270">
        <v>0</v>
      </c>
      <c r="G9" s="270">
        <v>0</v>
      </c>
      <c r="H9" s="270">
        <v>0</v>
      </c>
      <c r="I9" s="270">
        <v>0</v>
      </c>
      <c r="J9" s="270">
        <v>0</v>
      </c>
      <c r="K9" s="266">
        <f t="shared" si="1"/>
        <v>0</v>
      </c>
    </row>
    <row r="10" spans="1:20" s="8" customFormat="1" hidden="1" x14ac:dyDescent="0.25">
      <c r="A10" s="269" t="s">
        <v>191</v>
      </c>
      <c r="B10" s="269"/>
      <c r="C10" s="269"/>
      <c r="D10" s="270">
        <f>IF(Budget_Supuestos!$B$58=1,Budget_Supuestos!$B$64*(Budget_Supuestos!$B$207*(Budget_Supuestos!I147*Conversiones!$C$11))*Budget_Supuestos!$B$67,0)</f>
        <v>0</v>
      </c>
      <c r="E10" s="270">
        <f>IF(Budget_Supuestos!$B$58=1,Budget_Supuestos!$B$64*(Budget_Supuestos!$B$207*(Budget_Supuestos!I148*Conversiones!$C$11))*Budget_Supuestos!$B$67,0)</f>
        <v>0</v>
      </c>
      <c r="F10" s="270">
        <f>IF(Budget_Supuestos!$B$58=1,Budget_Supuestos!$B$64*(Budget_Supuestos!$B$207*(Budget_Supuestos!I149*Conversiones!$C$11))*Budget_Supuestos!$B$67,0)</f>
        <v>0</v>
      </c>
      <c r="G10" s="270">
        <f>IF(Budget_Supuestos!$B$58=1,Budget_Supuestos!$B$64*(Budget_Supuestos!$B$207*(Budget_Supuestos!I150*Conversiones!$C$11))*Budget_Supuestos!$B$67,0)</f>
        <v>0</v>
      </c>
      <c r="H10" s="270">
        <f>IF(Budget_Supuestos!$B$58=1,Budget_Supuestos!$B$64*(Budget_Supuestos!$B$207*(Budget_Supuestos!I151*Conversiones!$C$11))*Budget_Supuestos!$B$67,0)</f>
        <v>0</v>
      </c>
      <c r="I10" s="270">
        <f>IF(Budget_Supuestos!$B$58=1,Budget_Supuestos!$B$64*(Budget_Supuestos!$B$207*(Budget_Supuestos!I152*Conversiones!$C$11))*Budget_Supuestos!$B$67,0)</f>
        <v>0</v>
      </c>
      <c r="J10" s="270">
        <f>IF(Budget_Supuestos!$B$58=1,Budget_Supuestos!$B$64*(Budget_Supuestos!$B$207*(Budget_Supuestos!I153*Conversiones!$C$11))*Budget_Supuestos!$B$67,0)</f>
        <v>0</v>
      </c>
      <c r="K10" s="266">
        <f t="shared" si="1"/>
        <v>0</v>
      </c>
    </row>
    <row r="11" spans="1:20" s="8" customFormat="1" hidden="1" x14ac:dyDescent="0.25">
      <c r="A11" s="269" t="s">
        <v>192</v>
      </c>
      <c r="B11" s="269"/>
      <c r="C11" s="269"/>
      <c r="D11" s="270">
        <f>IF(Budget_Supuestos!$B$59=1,Budget_Supuestos!$B$65*(Budget_Supuestos!$B$207*(Budget_Supuestos!I147*Conversiones!$C$11))*Budget_Supuestos!$B$67,0)</f>
        <v>0</v>
      </c>
      <c r="E11" s="270">
        <f>IF(Budget_Supuestos!$B$59=1,Budget_Supuestos!$B$65*(Budget_Supuestos!$B$207*(Budget_Supuestos!I148*Conversiones!$C$11))*Budget_Supuestos!$B$67,0)</f>
        <v>0</v>
      </c>
      <c r="F11" s="270">
        <f>IF(Budget_Supuestos!$B$59=1,Budget_Supuestos!$B$65*(Budget_Supuestos!$B$207*(Budget_Supuestos!I149*Conversiones!$C$11))*Budget_Supuestos!$B$67,0)</f>
        <v>0</v>
      </c>
      <c r="G11" s="270">
        <f>IF(Budget_Supuestos!$B$59=1,Budget_Supuestos!$B$65*(Budget_Supuestos!$B$207*(Budget_Supuestos!I150*Conversiones!$C$11))*Budget_Supuestos!$B$67,0)</f>
        <v>0</v>
      </c>
      <c r="H11" s="270">
        <f>IF(Budget_Supuestos!$B$59=1,Budget_Supuestos!$B$65*(Budget_Supuestos!$B$207*(Budget_Supuestos!I151*Conversiones!$C$11))*Budget_Supuestos!$B$67,0)</f>
        <v>0</v>
      </c>
      <c r="I11" s="270">
        <f>IF(Budget_Supuestos!$B$59=1,Budget_Supuestos!$B$65*(Budget_Supuestos!$B$207*(Budget_Supuestos!I152*Conversiones!$C$11))*Budget_Supuestos!$B$67,0)</f>
        <v>0</v>
      </c>
      <c r="J11" s="270">
        <f>IF(Budget_Supuestos!$B$59=1,Budget_Supuestos!$B$65*(Budget_Supuestos!$B$207*(Budget_Supuestos!I153*Conversiones!$C$11))*Budget_Supuestos!$B$67,0)</f>
        <v>0</v>
      </c>
      <c r="K11" s="266">
        <f t="shared" si="1"/>
        <v>0</v>
      </c>
    </row>
    <row r="12" spans="1:20" s="8" customFormat="1" hidden="1" x14ac:dyDescent="0.25">
      <c r="A12" s="269"/>
      <c r="B12" s="269"/>
      <c r="C12" s="269"/>
      <c r="D12" s="272"/>
      <c r="E12" s="272"/>
      <c r="F12" s="272"/>
      <c r="G12" s="272"/>
      <c r="H12" s="272"/>
      <c r="I12" s="272"/>
      <c r="J12" s="272"/>
      <c r="K12" s="266"/>
    </row>
    <row r="13" spans="1:20" hidden="1" x14ac:dyDescent="0.25">
      <c r="A13" s="273" t="s">
        <v>154</v>
      </c>
      <c r="B13" s="268"/>
      <c r="C13" s="268"/>
      <c r="D13" s="272"/>
      <c r="E13" s="272"/>
      <c r="F13" s="272"/>
      <c r="G13" s="272"/>
      <c r="H13" s="272"/>
      <c r="I13" s="274"/>
      <c r="J13" s="274"/>
      <c r="K13" s="266"/>
    </row>
    <row r="14" spans="1:20" hidden="1" x14ac:dyDescent="0.25">
      <c r="A14" s="269" t="s">
        <v>62</v>
      </c>
      <c r="B14" s="269"/>
      <c r="C14" s="269"/>
      <c r="D14" s="272"/>
      <c r="E14" s="272"/>
      <c r="F14" s="272"/>
      <c r="G14" s="272"/>
      <c r="H14" s="272"/>
      <c r="I14" s="272"/>
      <c r="J14" s="272"/>
      <c r="K14" s="266"/>
    </row>
    <row r="15" spans="1:20" hidden="1" x14ac:dyDescent="0.25">
      <c r="A15" s="269" t="s">
        <v>10</v>
      </c>
      <c r="B15" s="269"/>
      <c r="C15" s="269"/>
      <c r="D15" s="269"/>
      <c r="E15" s="269"/>
      <c r="F15" s="269"/>
      <c r="G15" s="269"/>
      <c r="H15" s="269"/>
      <c r="I15" s="269"/>
      <c r="J15" s="269"/>
      <c r="K15" s="266"/>
    </row>
    <row r="16" spans="1:20" hidden="1" x14ac:dyDescent="0.25">
      <c r="A16" s="269" t="s">
        <v>11</v>
      </c>
      <c r="B16" s="269"/>
      <c r="C16" s="269"/>
      <c r="D16" s="269"/>
      <c r="E16" s="269"/>
      <c r="F16" s="269"/>
      <c r="G16" s="269"/>
      <c r="H16" s="269"/>
      <c r="I16" s="269"/>
      <c r="J16" s="269"/>
      <c r="K16" s="266"/>
    </row>
    <row r="17" spans="1:15" hidden="1" x14ac:dyDescent="0.25">
      <c r="A17" s="269" t="s">
        <v>192</v>
      </c>
      <c r="B17" s="269"/>
      <c r="C17" s="269"/>
      <c r="D17" s="269"/>
      <c r="E17" s="269"/>
      <c r="F17" s="269"/>
      <c r="G17" s="269"/>
      <c r="H17" s="269"/>
      <c r="I17" s="269"/>
      <c r="J17" s="269"/>
      <c r="K17" s="266"/>
    </row>
    <row r="18" spans="1:15" s="8" customFormat="1" hidden="1" x14ac:dyDescent="0.25">
      <c r="A18" s="269"/>
      <c r="B18" s="269"/>
      <c r="C18" s="269"/>
      <c r="D18" s="269"/>
      <c r="E18" s="269"/>
      <c r="F18" s="269"/>
      <c r="G18" s="269"/>
      <c r="H18" s="269"/>
      <c r="I18" s="269"/>
      <c r="J18" s="269"/>
      <c r="K18" s="266"/>
    </row>
    <row r="19" spans="1:15" hidden="1" x14ac:dyDescent="0.25">
      <c r="A19" s="269"/>
      <c r="B19" s="268"/>
      <c r="C19" s="268"/>
      <c r="D19" s="269"/>
      <c r="E19" s="269"/>
      <c r="F19" s="269"/>
      <c r="G19" s="269"/>
      <c r="H19" s="269"/>
      <c r="I19" s="268"/>
      <c r="J19" s="268"/>
      <c r="K19" s="266"/>
    </row>
    <row r="20" spans="1:15" s="6" customFormat="1" x14ac:dyDescent="0.25">
      <c r="A20" s="275" t="s">
        <v>155</v>
      </c>
      <c r="B20" s="276"/>
      <c r="C20" s="276"/>
      <c r="D20" s="277">
        <f t="shared" ref="D20:K20" si="2">SUM(D4:D18)</f>
        <v>8803.5294117647063</v>
      </c>
      <c r="E20" s="277">
        <f t="shared" si="2"/>
        <v>8803.5294117647063</v>
      </c>
      <c r="F20" s="277">
        <f t="shared" si="2"/>
        <v>44898</v>
      </c>
      <c r="G20" s="277">
        <f t="shared" si="2"/>
        <v>44898</v>
      </c>
      <c r="H20" s="277">
        <f t="shared" si="2"/>
        <v>49387.80000000001</v>
      </c>
      <c r="I20" s="277">
        <f t="shared" si="2"/>
        <v>49387.80000000001</v>
      </c>
      <c r="J20" s="277">
        <f t="shared" si="2"/>
        <v>49387.80000000001</v>
      </c>
      <c r="K20" s="278">
        <f t="shared" si="2"/>
        <v>36509.494117647067</v>
      </c>
      <c r="L20" s="38">
        <f>AVERAGE(D20:J20)</f>
        <v>36509.494117647067</v>
      </c>
    </row>
    <row r="21" spans="1:15" x14ac:dyDescent="0.25">
      <c r="A21" s="268"/>
      <c r="B21" s="268"/>
      <c r="C21" s="268"/>
      <c r="D21" s="268"/>
      <c r="E21" s="268"/>
      <c r="F21" s="268"/>
      <c r="G21" s="268"/>
      <c r="H21" s="268"/>
      <c r="I21" s="268"/>
      <c r="J21" s="268"/>
      <c r="K21" s="266"/>
    </row>
    <row r="22" spans="1:15" x14ac:dyDescent="0.25">
      <c r="A22" s="279" t="s">
        <v>276</v>
      </c>
      <c r="B22" s="268"/>
      <c r="C22" s="268"/>
      <c r="D22" s="268"/>
      <c r="E22" s="268"/>
      <c r="F22" s="268"/>
      <c r="G22" s="268"/>
      <c r="H22" s="268"/>
      <c r="I22" s="268"/>
      <c r="J22" s="268"/>
      <c r="K22" s="266"/>
    </row>
    <row r="23" spans="1:15" ht="31.5" x14ac:dyDescent="0.25">
      <c r="A23" s="280" t="s">
        <v>280</v>
      </c>
      <c r="B23" s="281">
        <f>Budget_Supuestos!D80</f>
        <v>0</v>
      </c>
      <c r="C23" s="281">
        <f>Budget_Supuestos!D81</f>
        <v>0</v>
      </c>
      <c r="D23" s="281">
        <f>Budget_Supuestos!D82</f>
        <v>0</v>
      </c>
      <c r="E23" s="281">
        <f>Budget_Supuestos!D83</f>
        <v>8255</v>
      </c>
      <c r="F23" s="281">
        <f>Budget_Supuestos!D84</f>
        <v>0</v>
      </c>
      <c r="G23" s="281">
        <f>Budget_Supuestos!D85</f>
        <v>0</v>
      </c>
      <c r="H23" s="281">
        <f>Budget_Supuestos!D86</f>
        <v>0</v>
      </c>
      <c r="I23" s="281">
        <f>Budget_Supuestos!D87</f>
        <v>0</v>
      </c>
      <c r="J23" s="281">
        <f>Budget_Supuestos!D88</f>
        <v>0</v>
      </c>
      <c r="K23" s="266">
        <f>AVERAGE(D23:J23)</f>
        <v>1179.2857142857142</v>
      </c>
    </row>
    <row r="24" spans="1:15" x14ac:dyDescent="0.25">
      <c r="A24" s="272" t="s">
        <v>277</v>
      </c>
      <c r="B24" s="482">
        <f>Budget_Supuestos!D96</f>
        <v>0</v>
      </c>
      <c r="C24" s="270">
        <f>Budget_Supuestos!D97</f>
        <v>0</v>
      </c>
      <c r="D24" s="270">
        <f>Budget_Supuestos!D98</f>
        <v>0</v>
      </c>
      <c r="E24" s="482">
        <f>Budget_Supuestos!D99</f>
        <v>251.36999999999998</v>
      </c>
      <c r="F24" s="270">
        <f>Budget_Supuestos!D100</f>
        <v>0</v>
      </c>
      <c r="G24" s="270">
        <f>Budget_Supuestos!D101</f>
        <v>251.36999999999998</v>
      </c>
      <c r="H24" s="482">
        <f>Budget_Supuestos!D102</f>
        <v>0</v>
      </c>
      <c r="I24" s="270">
        <f>Budget_Supuestos!D103</f>
        <v>0</v>
      </c>
      <c r="J24" s="270">
        <f>Budget_Supuestos!D104</f>
        <v>0</v>
      </c>
      <c r="K24" s="266">
        <f>AVERAGE(D24:J24)</f>
        <v>71.819999999999993</v>
      </c>
    </row>
    <row r="25" spans="1:15" x14ac:dyDescent="0.25">
      <c r="A25" s="282" t="s">
        <v>278</v>
      </c>
      <c r="B25" s="281"/>
      <c r="C25" s="281"/>
      <c r="D25" s="281"/>
      <c r="E25" s="281"/>
      <c r="F25" s="281"/>
      <c r="G25" s="281"/>
      <c r="H25" s="281"/>
      <c r="I25" s="281"/>
      <c r="J25" s="281"/>
      <c r="K25" s="266"/>
    </row>
    <row r="26" spans="1:15" x14ac:dyDescent="0.25">
      <c r="A26" s="272" t="s">
        <v>156</v>
      </c>
      <c r="B26" s="281">
        <f>Budget_Supuestos!$F$110/9</f>
        <v>1555.5555555555557</v>
      </c>
      <c r="C26" s="281">
        <f>Budget_Supuestos!$F$110/9</f>
        <v>1555.5555555555557</v>
      </c>
      <c r="D26" s="281">
        <f>Budget_Supuestos!$F$110/9</f>
        <v>1555.5555555555557</v>
      </c>
      <c r="E26" s="281">
        <f>Budget_Supuestos!$F$110/9</f>
        <v>1555.5555555555557</v>
      </c>
      <c r="F26" s="281">
        <f>Budget_Supuestos!$F$110/9</f>
        <v>1555.5555555555557</v>
      </c>
      <c r="G26" s="281">
        <f>Budget_Supuestos!$F$110/9</f>
        <v>1555.5555555555557</v>
      </c>
      <c r="H26" s="281">
        <f>Budget_Supuestos!$F$110/9</f>
        <v>1555.5555555555557</v>
      </c>
      <c r="I26" s="281">
        <f>Budget_Supuestos!$F$110/9</f>
        <v>1555.5555555555557</v>
      </c>
      <c r="J26" s="281">
        <f>Budget_Supuestos!$F$110/9</f>
        <v>1555.5555555555557</v>
      </c>
      <c r="K26" s="266">
        <f>AVERAGE(D26:J26)</f>
        <v>1555.5555555555559</v>
      </c>
    </row>
    <row r="27" spans="1:15" x14ac:dyDescent="0.25">
      <c r="A27" s="272" t="s">
        <v>169</v>
      </c>
      <c r="B27" s="281">
        <f>Budget_Supuestos!$F$126/9</f>
        <v>584.44444444444446</v>
      </c>
      <c r="C27" s="281">
        <f>Budget_Supuestos!$F$126/9</f>
        <v>584.44444444444446</v>
      </c>
      <c r="D27" s="281">
        <f>Budget_Supuestos!$F$126/9</f>
        <v>584.44444444444446</v>
      </c>
      <c r="E27" s="281">
        <f>Budget_Supuestos!$F$126/9</f>
        <v>584.44444444444446</v>
      </c>
      <c r="F27" s="281">
        <f>Budget_Supuestos!$F$126/9</f>
        <v>584.44444444444446</v>
      </c>
      <c r="G27" s="281">
        <f>Budget_Supuestos!$F$126/9</f>
        <v>584.44444444444446</v>
      </c>
      <c r="H27" s="281">
        <f>Budget_Supuestos!$F$126/9</f>
        <v>584.44444444444446</v>
      </c>
      <c r="I27" s="281">
        <f>Budget_Supuestos!$F$126/9</f>
        <v>584.44444444444446</v>
      </c>
      <c r="J27" s="281">
        <f>Budget_Supuestos!$F$126/9</f>
        <v>584.44444444444446</v>
      </c>
      <c r="K27" s="266">
        <f>AVERAGE(D27:J27)</f>
        <v>584.44444444444446</v>
      </c>
    </row>
    <row r="28" spans="1:15" x14ac:dyDescent="0.25">
      <c r="A28" s="272"/>
      <c r="B28" s="274"/>
      <c r="C28" s="274"/>
      <c r="D28" s="274"/>
      <c r="E28" s="274"/>
      <c r="F28" s="274"/>
      <c r="G28" s="274"/>
      <c r="H28" s="274"/>
      <c r="I28" s="274"/>
      <c r="J28" s="274"/>
      <c r="K28" s="266"/>
    </row>
    <row r="29" spans="1:15" s="1" customFormat="1" x14ac:dyDescent="0.25">
      <c r="A29" s="283" t="s">
        <v>168</v>
      </c>
      <c r="B29" s="277">
        <f t="shared" ref="B29:J29" si="3">SUM(B23:B27)</f>
        <v>2140</v>
      </c>
      <c r="C29" s="277">
        <f t="shared" si="3"/>
        <v>2140</v>
      </c>
      <c r="D29" s="277">
        <f t="shared" si="3"/>
        <v>2140</v>
      </c>
      <c r="E29" s="277">
        <f t="shared" si="3"/>
        <v>10646.370000000003</v>
      </c>
      <c r="F29" s="277">
        <f t="shared" si="3"/>
        <v>2140</v>
      </c>
      <c r="G29" s="277">
        <f t="shared" si="3"/>
        <v>2391.37</v>
      </c>
      <c r="H29" s="277">
        <f t="shared" si="3"/>
        <v>2140</v>
      </c>
      <c r="I29" s="277">
        <f t="shared" si="3"/>
        <v>2140</v>
      </c>
      <c r="J29" s="277">
        <f t="shared" si="3"/>
        <v>2140</v>
      </c>
      <c r="K29" s="278">
        <f>SUM(K23:K27)</f>
        <v>3391.1057142857144</v>
      </c>
      <c r="L29" s="38">
        <f>AVERAGE(D29:J29)</f>
        <v>3391.1057142857144</v>
      </c>
      <c r="O29" s="41">
        <f>(K56+K57)-(K26+K27)</f>
        <v>66.411244444443582</v>
      </c>
    </row>
    <row r="30" spans="1:15" x14ac:dyDescent="0.25">
      <c r="A30" s="284"/>
      <c r="B30" s="274"/>
      <c r="C30" s="274"/>
      <c r="D30" s="274"/>
      <c r="E30" s="274"/>
      <c r="F30" s="274"/>
      <c r="G30" s="274"/>
      <c r="H30" s="274"/>
      <c r="I30" s="274"/>
      <c r="J30" s="274"/>
      <c r="K30" s="266"/>
    </row>
    <row r="31" spans="1:15" s="35" customFormat="1" x14ac:dyDescent="0.25">
      <c r="A31" s="283" t="s">
        <v>167</v>
      </c>
      <c r="B31" s="277">
        <f>B20+B29</f>
        <v>2140</v>
      </c>
      <c r="C31" s="277">
        <f t="shared" ref="C31:K31" si="4">C20+C29</f>
        <v>2140</v>
      </c>
      <c r="D31" s="277">
        <f t="shared" si="4"/>
        <v>10943.529411764706</v>
      </c>
      <c r="E31" s="277">
        <f>E20+E29</f>
        <v>19449.899411764709</v>
      </c>
      <c r="F31" s="277">
        <f t="shared" si="4"/>
        <v>47038</v>
      </c>
      <c r="G31" s="277">
        <f t="shared" si="4"/>
        <v>47289.37</v>
      </c>
      <c r="H31" s="277">
        <f t="shared" si="4"/>
        <v>51527.80000000001</v>
      </c>
      <c r="I31" s="277">
        <f t="shared" si="4"/>
        <v>51527.80000000001</v>
      </c>
      <c r="J31" s="277">
        <f t="shared" si="4"/>
        <v>51527.80000000001</v>
      </c>
      <c r="K31" s="278">
        <f t="shared" si="4"/>
        <v>39900.599831932785</v>
      </c>
      <c r="L31" s="38">
        <f>AVERAGE(D31:J31)</f>
        <v>39900.599831932785</v>
      </c>
    </row>
    <row r="32" spans="1:15" x14ac:dyDescent="0.25">
      <c r="A32" s="87"/>
      <c r="K32" s="236"/>
    </row>
    <row r="33" spans="1:14" x14ac:dyDescent="0.25">
      <c r="E33" s="345">
        <f>E31/Conversiones!F24</f>
        <v>1068.0889298058598</v>
      </c>
      <c r="K33" s="236"/>
    </row>
    <row r="34" spans="1:14" x14ac:dyDescent="0.25">
      <c r="A34" s="346" t="s">
        <v>647</v>
      </c>
      <c r="B34" s="264"/>
      <c r="C34" s="268"/>
      <c r="D34" s="268"/>
      <c r="E34" s="268"/>
      <c r="F34" s="268"/>
      <c r="G34" s="268"/>
      <c r="H34" s="268"/>
      <c r="I34" s="268"/>
      <c r="J34" s="268"/>
      <c r="K34" s="266"/>
    </row>
    <row r="35" spans="1:14" x14ac:dyDescent="0.25">
      <c r="A35" s="113" t="s">
        <v>337</v>
      </c>
      <c r="B35" s="285">
        <f>Budget_Establecimiento!$B$15</f>
        <v>5152.8666544444432</v>
      </c>
      <c r="C35" s="268"/>
      <c r="D35" s="268"/>
      <c r="E35" s="268"/>
      <c r="F35" s="268"/>
      <c r="G35" s="268"/>
      <c r="H35" s="268"/>
      <c r="I35" s="268"/>
      <c r="J35" s="268"/>
      <c r="K35" s="266"/>
    </row>
    <row r="36" spans="1:14" x14ac:dyDescent="0.25">
      <c r="A36" s="349" t="s">
        <v>338</v>
      </c>
      <c r="B36" s="270">
        <f>Budget_Establecimiento!B34</f>
        <v>20756.932057777776</v>
      </c>
      <c r="C36" s="286"/>
      <c r="D36" s="269"/>
      <c r="E36" s="268"/>
      <c r="F36" s="268"/>
      <c r="G36" s="268"/>
      <c r="H36" s="268"/>
      <c r="I36" s="268"/>
      <c r="J36" s="268"/>
      <c r="K36" s="266"/>
    </row>
    <row r="37" spans="1:14" x14ac:dyDescent="0.25">
      <c r="A37" s="25" t="s">
        <v>53</v>
      </c>
      <c r="B37" s="270">
        <f>Budget_Establecimiento!B51</f>
        <v>21882.839176074598</v>
      </c>
      <c r="C37" s="269"/>
      <c r="D37" s="269"/>
      <c r="E37" s="268"/>
      <c r="F37" s="268"/>
      <c r="G37" s="268"/>
      <c r="H37" s="268"/>
      <c r="I37" s="268"/>
      <c r="J37" s="268"/>
      <c r="K37" s="266"/>
    </row>
    <row r="38" spans="1:14" x14ac:dyDescent="0.25">
      <c r="A38" s="25" t="s">
        <v>396</v>
      </c>
      <c r="B38" s="270"/>
      <c r="C38" s="287">
        <f>Budget_Establecimiento!B69</f>
        <v>10145.623127519459</v>
      </c>
      <c r="D38" s="269"/>
      <c r="E38" s="268"/>
      <c r="F38" s="268"/>
      <c r="G38" s="268"/>
      <c r="H38" s="268"/>
      <c r="I38" s="268"/>
      <c r="J38" s="268"/>
      <c r="K38" s="266"/>
    </row>
    <row r="39" spans="1:14" x14ac:dyDescent="0.25">
      <c r="A39" s="107" t="str">
        <f>Budget_Sostenemiento!$A$3</f>
        <v>Mantenimiento, fertilización y control de plagas</v>
      </c>
      <c r="B39" s="270"/>
      <c r="C39" s="269"/>
      <c r="D39" s="287">
        <f>Budget_Sostenemiento!D27</f>
        <v>13792.858040250441</v>
      </c>
      <c r="E39" s="285">
        <f>Budget_Sostenemiento!E27</f>
        <v>13792.858040250441</v>
      </c>
      <c r="F39" s="285">
        <f>Budget_Sostenemiento!F27</f>
        <v>12135.678040250441</v>
      </c>
      <c r="G39" s="285">
        <f>Budget_Sostenemiento!G27</f>
        <v>12135.678040250441</v>
      </c>
      <c r="H39" s="285">
        <f>Budget_Sostenemiento!H27</f>
        <v>12135.678040250441</v>
      </c>
      <c r="I39" s="285">
        <f>Budget_Sostenemiento!I27</f>
        <v>12039.785040250441</v>
      </c>
      <c r="J39" s="285">
        <f>Budget_Sostenemiento!J27</f>
        <v>12039.785040250441</v>
      </c>
      <c r="K39" s="266">
        <f>(Proportions!$E$5*((Budget_Presupuesto!D39+Budget_Presupuesto!E39)/2))+(Proportions!$E$6*((Budget_Presupuesto!F39+Budget_Presupuesto!G39+Budget_Presupuesto!H39)/3)+(Proportions!$E$7*((Budget_Presupuesto!I39+Budget_Presupuesto!J39)/2)))</f>
        <v>12442.962694096595</v>
      </c>
    </row>
    <row r="40" spans="1:14" x14ac:dyDescent="0.25">
      <c r="A40" s="107" t="s">
        <v>42</v>
      </c>
      <c r="B40" s="270"/>
      <c r="C40" s="269"/>
      <c r="D40" s="287">
        <f>Budget_Sostenemiento!D35</f>
        <v>2407.5094729590078</v>
      </c>
      <c r="E40" s="285">
        <f>Budget_Sostenemiento!E35</f>
        <v>2407.5094729590078</v>
      </c>
      <c r="F40" s="285">
        <f>Budget_Sostenemiento!F35</f>
        <v>7278.2983120909403</v>
      </c>
      <c r="G40" s="285">
        <f>Budget_Sostenemiento!G35</f>
        <v>7278.2983120909403</v>
      </c>
      <c r="H40" s="285">
        <f>Budget_Sostenemiento!H35</f>
        <v>7486.1281433000349</v>
      </c>
      <c r="I40" s="285">
        <f>Budget_Sostenemiento!I35</f>
        <v>6526.1281433000349</v>
      </c>
      <c r="J40" s="285">
        <f>Budget_Sostenemiento!J35</f>
        <v>6526.1281433000349</v>
      </c>
      <c r="K40" s="266">
        <f>(Proportions!$E$5*((Budget_Presupuesto!D40+Budget_Presupuesto!E40)/2))+(Proportions!$E$6*((Budget_Presupuesto!F40+Budget_Presupuesto!G40+Budget_Presupuesto!H40)/3)+(Proportions!$E$7*((Budget_Presupuesto!I40+Budget_Presupuesto!J40)/2)))</f>
        <v>5989.9802730945648</v>
      </c>
    </row>
    <row r="41" spans="1:14" x14ac:dyDescent="0.25">
      <c r="A41" s="107" t="s">
        <v>429</v>
      </c>
      <c r="B41" s="270"/>
      <c r="C41" s="269"/>
      <c r="D41" s="287">
        <f>Budget_Sostenemiento!D40</f>
        <v>1470.1195328970027</v>
      </c>
      <c r="E41" s="285">
        <f>Budget_Sostenemiento!E40</f>
        <v>1470.1195328970027</v>
      </c>
      <c r="F41" s="285">
        <f>Budget_Sostenemiento!F40</f>
        <v>4018.6488177747151</v>
      </c>
      <c r="G41" s="285">
        <f>Budget_Sostenemiento!G40</f>
        <v>4018.6488177747151</v>
      </c>
      <c r="H41" s="285">
        <f>Budget_Sostenemiento!H40</f>
        <v>4185.3430995521867</v>
      </c>
      <c r="I41" s="285">
        <f>Budget_Sostenemiento!I40</f>
        <v>2777.6710995521876</v>
      </c>
      <c r="J41" s="285">
        <f>Budget_Sostenemiento!J40</f>
        <v>2777.6710995521876</v>
      </c>
      <c r="K41" s="266">
        <f>(Proportions!$E$5*((Budget_Presupuesto!D41+Budget_Presupuesto!E41)/2))+(Proportions!$E$6*((Budget_Presupuesto!F41+Budget_Presupuesto!G41+Budget_Presupuesto!H41)/3)+(Proportions!$E$7*((Budget_Presupuesto!I41+Budget_Presupuesto!J41)/2)))</f>
        <v>3014.2124548652032</v>
      </c>
    </row>
    <row r="42" spans="1:14" x14ac:dyDescent="0.25">
      <c r="A42" s="107"/>
      <c r="B42" s="270"/>
      <c r="C42" s="269"/>
      <c r="D42" s="287"/>
      <c r="E42" s="285"/>
      <c r="F42" s="285"/>
      <c r="G42" s="285"/>
      <c r="H42" s="285"/>
      <c r="I42" s="285"/>
      <c r="J42" s="285"/>
      <c r="K42" s="266"/>
    </row>
    <row r="43" spans="1:14" x14ac:dyDescent="0.25">
      <c r="A43" s="33" t="s">
        <v>77</v>
      </c>
      <c r="B43" s="288">
        <f>SUM(B35:B42)*0.05</f>
        <v>2389.6318944148406</v>
      </c>
      <c r="C43" s="288">
        <f t="shared" ref="C43:J43" si="5">SUM(C35:C42)*0.05</f>
        <v>507.28115637597296</v>
      </c>
      <c r="D43" s="288">
        <f>SUM(D36:D42)*0.05</f>
        <v>883.52435230532274</v>
      </c>
      <c r="E43" s="288">
        <f t="shared" si="5"/>
        <v>883.52435230532274</v>
      </c>
      <c r="F43" s="288">
        <f>SUM(F35:F42)*0.05</f>
        <v>1171.6312585058049</v>
      </c>
      <c r="G43" s="288">
        <f t="shared" si="5"/>
        <v>1171.6312585058049</v>
      </c>
      <c r="H43" s="288">
        <f t="shared" si="5"/>
        <v>1190.3574641551331</v>
      </c>
      <c r="I43" s="288">
        <f t="shared" si="5"/>
        <v>1067.179214155133</v>
      </c>
      <c r="J43" s="288">
        <f t="shared" si="5"/>
        <v>1067.179214155133</v>
      </c>
      <c r="K43" s="266">
        <f>(Proportions!$E$5*((Budget_Presupuesto!D43+Budget_Presupuesto!E43)/2))+(Proportions!$E$6*((Budget_Presupuesto!F43+Budget_Presupuesto!G43+Budget_Presupuesto!H43)/3)+(Proportions!$E$7*((Budget_Presupuesto!I43+Budget_Presupuesto!J43)/2)))</f>
        <v>1072.3577711028181</v>
      </c>
      <c r="N43" s="322" t="s">
        <v>214</v>
      </c>
    </row>
    <row r="44" spans="1:14" x14ac:dyDescent="0.25">
      <c r="A44" s="33" t="s">
        <v>78</v>
      </c>
      <c r="B44" s="288">
        <f>SUM(B36:B43)*0.05</f>
        <v>2251.4701564133607</v>
      </c>
      <c r="C44" s="288">
        <f t="shared" ref="C44:J44" si="6">SUM(C36:C43)*0.05</f>
        <v>532.6452141947716</v>
      </c>
      <c r="D44" s="288">
        <f t="shared" si="6"/>
        <v>927.7005699205888</v>
      </c>
      <c r="E44" s="288">
        <f t="shared" si="6"/>
        <v>927.7005699205888</v>
      </c>
      <c r="F44" s="288">
        <f t="shared" si="6"/>
        <v>1230.2128214310951</v>
      </c>
      <c r="G44" s="288">
        <f t="shared" si="6"/>
        <v>1230.2128214310951</v>
      </c>
      <c r="H44" s="288">
        <f t="shared" si="6"/>
        <v>1249.8753373628897</v>
      </c>
      <c r="I44" s="288">
        <f t="shared" si="6"/>
        <v>1120.5381748628897</v>
      </c>
      <c r="J44" s="288">
        <f t="shared" si="6"/>
        <v>1120.5381748628897</v>
      </c>
      <c r="K44" s="266">
        <f>(Proportions!$E$5*((Budget_Presupuesto!D44+Budget_Presupuesto!E44)/2))+(Proportions!$E$6*((Budget_Presupuesto!F44+Budget_Presupuesto!G44+Budget_Presupuesto!H44)/3)+(Proportions!$E$7*((Budget_Presupuesto!I44+Budget_Presupuesto!J44)/2)))</f>
        <v>1125.9756596579591</v>
      </c>
      <c r="L44" s="268">
        <f>K43+K44</f>
        <v>2198.3334307607774</v>
      </c>
    </row>
    <row r="45" spans="1:14" x14ac:dyDescent="0.25">
      <c r="A45" s="33"/>
      <c r="B45" s="269"/>
      <c r="C45" s="268"/>
      <c r="D45" s="268"/>
      <c r="E45" s="268"/>
      <c r="F45" s="268"/>
      <c r="G45" s="268"/>
      <c r="H45" s="268"/>
      <c r="I45" s="268"/>
      <c r="J45" s="268"/>
      <c r="K45" s="266"/>
    </row>
    <row r="46" spans="1:14" s="6" customFormat="1" x14ac:dyDescent="0.25">
      <c r="A46" s="39" t="s">
        <v>535</v>
      </c>
      <c r="B46" s="289">
        <f>SUM(B36:B44)</f>
        <v>47280.873284680565</v>
      </c>
      <c r="C46" s="289">
        <f t="shared" ref="C46:J46" si="7">SUM(C36:C44)</f>
        <v>11185.549498090204</v>
      </c>
      <c r="D46" s="289">
        <f t="shared" si="7"/>
        <v>19481.711968332362</v>
      </c>
      <c r="E46" s="289">
        <f t="shared" si="7"/>
        <v>19481.711968332362</v>
      </c>
      <c r="F46" s="289">
        <f t="shared" si="7"/>
        <v>25834.469250052996</v>
      </c>
      <c r="G46" s="289">
        <f t="shared" si="7"/>
        <v>25834.469250052996</v>
      </c>
      <c r="H46" s="289">
        <f t="shared" si="7"/>
        <v>26247.382084620684</v>
      </c>
      <c r="I46" s="289">
        <f t="shared" si="7"/>
        <v>23531.301672120684</v>
      </c>
      <c r="J46" s="289">
        <f t="shared" si="7"/>
        <v>23531.301672120684</v>
      </c>
      <c r="K46" s="483">
        <f>SUM(K36:K44)</f>
        <v>23645.488852817143</v>
      </c>
      <c r="L46" s="38">
        <f>AVERAGE(D46:J46)</f>
        <v>23420.335409376108</v>
      </c>
    </row>
    <row r="47" spans="1:14" x14ac:dyDescent="0.25">
      <c r="B47" s="264"/>
      <c r="C47" s="269"/>
      <c r="D47" s="269"/>
      <c r="E47" s="268"/>
      <c r="F47" s="268"/>
      <c r="G47" s="268"/>
      <c r="H47" s="268"/>
      <c r="I47" s="268"/>
      <c r="J47" s="268"/>
      <c r="K47" s="266"/>
    </row>
    <row r="48" spans="1:14" s="6" customFormat="1" x14ac:dyDescent="0.25">
      <c r="A48" s="6" t="s">
        <v>1</v>
      </c>
      <c r="B48" s="290"/>
      <c r="C48" s="268"/>
      <c r="D48" s="268"/>
      <c r="E48" s="268"/>
      <c r="F48" s="268"/>
      <c r="G48" s="268"/>
      <c r="H48" s="268"/>
      <c r="I48" s="268"/>
      <c r="J48" s="268"/>
      <c r="K48" s="266"/>
    </row>
    <row r="49" spans="1:12" x14ac:dyDescent="0.25">
      <c r="A49" s="6"/>
      <c r="B49" s="268"/>
      <c r="C49" s="268"/>
      <c r="D49" s="268"/>
      <c r="E49" s="268"/>
      <c r="F49" s="268"/>
      <c r="G49" s="268"/>
      <c r="H49" s="268"/>
      <c r="I49" s="268"/>
      <c r="J49" s="268"/>
      <c r="K49" s="266"/>
    </row>
    <row r="50" spans="1:12" x14ac:dyDescent="0.25">
      <c r="A50" s="9" t="s">
        <v>538</v>
      </c>
      <c r="B50" s="268"/>
      <c r="C50" s="268"/>
      <c r="D50" s="268"/>
      <c r="E50" s="268"/>
      <c r="F50" s="268"/>
      <c r="G50" s="268"/>
      <c r="H50" s="268"/>
      <c r="I50" s="268"/>
      <c r="J50" s="268"/>
      <c r="K50" s="266"/>
    </row>
    <row r="51" spans="1:12" x14ac:dyDescent="0.25">
      <c r="A51" s="322" t="s">
        <v>9</v>
      </c>
      <c r="B51" s="287">
        <f>Budget_Supuestos!$B$380</f>
        <v>2236</v>
      </c>
      <c r="C51" s="287"/>
      <c r="D51" s="287"/>
      <c r="E51" s="287"/>
      <c r="F51" s="287"/>
      <c r="G51" s="287"/>
      <c r="H51" s="287"/>
      <c r="I51" s="287"/>
      <c r="J51" s="287"/>
      <c r="K51" s="266"/>
    </row>
    <row r="52" spans="1:12" x14ac:dyDescent="0.25">
      <c r="A52" s="322" t="s">
        <v>207</v>
      </c>
      <c r="B52" s="291"/>
      <c r="C52" s="287">
        <f>Budget_Supuestos!$C$381</f>
        <v>0</v>
      </c>
      <c r="D52" s="287">
        <f>Budget_Supuestos!$C$381</f>
        <v>0</v>
      </c>
      <c r="E52" s="287">
        <f>Budget_Supuestos!$C$381</f>
        <v>0</v>
      </c>
      <c r="F52" s="287">
        <f>Budget_Supuestos!$C$381</f>
        <v>0</v>
      </c>
      <c r="G52" s="287">
        <f>Budget_Supuestos!$C$381</f>
        <v>0</v>
      </c>
      <c r="H52" s="287">
        <f>Budget_Supuestos!$C$381</f>
        <v>0</v>
      </c>
      <c r="I52" s="287">
        <f>Budget_Supuestos!$C$381</f>
        <v>0</v>
      </c>
      <c r="J52" s="287">
        <f>Budget_Supuestos!$C$381</f>
        <v>0</v>
      </c>
      <c r="K52" s="266">
        <f>(Proportions!$E$5*((Budget_Presupuesto!D52+Budget_Presupuesto!E52)/2))+(Proportions!$E$6*((Budget_Presupuesto!F52+Budget_Presupuesto!G52+Budget_Presupuesto!H52)/3)+(Proportions!$E$7*((Budget_Presupuesto!I52+Budget_Presupuesto!J52)/2)))</f>
        <v>0</v>
      </c>
    </row>
    <row r="53" spans="1:12" x14ac:dyDescent="0.25">
      <c r="A53" s="8" t="s">
        <v>208</v>
      </c>
      <c r="B53" s="292"/>
      <c r="C53" s="287">
        <f>Budget_Supuestos!$C$382</f>
        <v>0</v>
      </c>
      <c r="D53" s="287">
        <f>Budget_Supuestos!$C$382</f>
        <v>0</v>
      </c>
      <c r="E53" s="287">
        <f>Budget_Supuestos!$C$382</f>
        <v>0</v>
      </c>
      <c r="F53" s="287">
        <f>Budget_Supuestos!$C$382</f>
        <v>0</v>
      </c>
      <c r="G53" s="287">
        <f>Budget_Supuestos!$C$382</f>
        <v>0</v>
      </c>
      <c r="H53" s="287">
        <f>Budget_Supuestos!$C$382</f>
        <v>0</v>
      </c>
      <c r="I53" s="287">
        <f>Budget_Supuestos!$C$382</f>
        <v>0</v>
      </c>
      <c r="J53" s="287">
        <f>Budget_Supuestos!$C$382</f>
        <v>0</v>
      </c>
      <c r="K53" s="266">
        <f>(Proportions!$E$5*((Budget_Presupuesto!D53+Budget_Presupuesto!E53)/2))+(Proportions!$E$6*((Budget_Presupuesto!F53+Budget_Presupuesto!G53+Budget_Presupuesto!H53)/3)+(Proportions!$E$7*((Budget_Presupuesto!I53+Budget_Presupuesto!J53)/2)))</f>
        <v>0</v>
      </c>
    </row>
    <row r="54" spans="1:12" x14ac:dyDescent="0.25">
      <c r="A54" s="8" t="s">
        <v>80</v>
      </c>
      <c r="B54" s="292"/>
      <c r="C54" s="287">
        <f>Budget_Supuestos!$C$383</f>
        <v>0</v>
      </c>
      <c r="D54" s="287">
        <f>Budget_Supuestos!$C$383</f>
        <v>0</v>
      </c>
      <c r="E54" s="287">
        <f>Budget_Supuestos!$C$383</f>
        <v>0</v>
      </c>
      <c r="F54" s="287">
        <f>Budget_Supuestos!$C$383</f>
        <v>0</v>
      </c>
      <c r="G54" s="287">
        <f>Budget_Supuestos!$C$383</f>
        <v>0</v>
      </c>
      <c r="H54" s="287">
        <f>Budget_Supuestos!$C$383</f>
        <v>0</v>
      </c>
      <c r="I54" s="287">
        <f>Budget_Supuestos!$C$383</f>
        <v>0</v>
      </c>
      <c r="J54" s="287">
        <f>Budget_Supuestos!$C$383</f>
        <v>0</v>
      </c>
      <c r="K54" s="266">
        <f>(Proportions!$E$5*((Budget_Presupuesto!D54+Budget_Presupuesto!E54)/2))+(Proportions!$E$6*((Budget_Presupuesto!F54+Budget_Presupuesto!G54+Budget_Presupuesto!H54)/3)+(Proportions!$E$7*((Budget_Presupuesto!I54+Budget_Presupuesto!J54)/2)))</f>
        <v>0</v>
      </c>
    </row>
    <row r="55" spans="1:12" x14ac:dyDescent="0.25">
      <c r="A55" s="8" t="s">
        <v>81</v>
      </c>
      <c r="B55" s="292"/>
      <c r="C55" s="287">
        <f>Budget_Supuestos!$C$384</f>
        <v>0</v>
      </c>
      <c r="D55" s="287">
        <f>Budget_Supuestos!$C$384</f>
        <v>0</v>
      </c>
      <c r="E55" s="287">
        <f>Budget_Supuestos!$C$384</f>
        <v>0</v>
      </c>
      <c r="F55" s="287">
        <f>Budget_Supuestos!$C$384</f>
        <v>0</v>
      </c>
      <c r="G55" s="287">
        <f>Budget_Supuestos!$C$384</f>
        <v>0</v>
      </c>
      <c r="H55" s="287">
        <f>Budget_Supuestos!$C$384</f>
        <v>0</v>
      </c>
      <c r="I55" s="287">
        <f>Budget_Supuestos!$C$384</f>
        <v>0</v>
      </c>
      <c r="J55" s="287">
        <f>Budget_Supuestos!$C$384</f>
        <v>0</v>
      </c>
      <c r="K55" s="266">
        <f>(Proportions!$E$5*((Budget_Presupuesto!D55+Budget_Presupuesto!E55)/2))+(Proportions!$E$6*((Budget_Presupuesto!F55+Budget_Presupuesto!G55+Budget_Presupuesto!H55)/3)+(Proportions!$E$7*((Budget_Presupuesto!I55+Budget_Presupuesto!J55)/2)))</f>
        <v>0</v>
      </c>
    </row>
    <row r="56" spans="1:12" x14ac:dyDescent="0.25">
      <c r="A56" s="107" t="s">
        <v>157</v>
      </c>
      <c r="B56" s="285">
        <f>Budget_Supuestos!N119</f>
        <v>1580.6933333333318</v>
      </c>
      <c r="C56" s="285">
        <f>Budget_Supuestos!O119</f>
        <v>1580.6933333333318</v>
      </c>
      <c r="D56" s="285">
        <f>Budget_Supuestos!P119</f>
        <v>1580.6933333333318</v>
      </c>
      <c r="E56" s="285">
        <f>Budget_Supuestos!Q119</f>
        <v>1580.6933333333318</v>
      </c>
      <c r="F56" s="285">
        <f>Budget_Supuestos!R119</f>
        <v>1580.6933333333318</v>
      </c>
      <c r="G56" s="285">
        <f>Budget_Supuestos!S119</f>
        <v>1580.6933333333318</v>
      </c>
      <c r="H56" s="285">
        <f>Budget_Supuestos!T119</f>
        <v>1580.6933333333318</v>
      </c>
      <c r="I56" s="285">
        <f>Budget_Supuestos!U119</f>
        <v>1580.6933333333318</v>
      </c>
      <c r="J56" s="285">
        <f>Budget_Supuestos!V119</f>
        <v>1580.6933333333318</v>
      </c>
      <c r="K56" s="266">
        <f>(Proportions!$E$5*((Budget_Presupuesto!D56+Budget_Presupuesto!E56)/2))+(Proportions!$E$6*((Budget_Presupuesto!F56+Budget_Presupuesto!G56+Budget_Presupuesto!H56)/3)+(Proportions!$E$7*((Budget_Presupuesto!I56+Budget_Presupuesto!J56)/2)))</f>
        <v>1580.6933333333318</v>
      </c>
    </row>
    <row r="57" spans="1:12" x14ac:dyDescent="0.25">
      <c r="A57" s="107" t="s">
        <v>181</v>
      </c>
      <c r="B57" s="285">
        <f>Budget_Supuestos!N135</f>
        <v>625.71791111111202</v>
      </c>
      <c r="C57" s="285">
        <f>Budget_Supuestos!O135</f>
        <v>625.71791111111202</v>
      </c>
      <c r="D57" s="285">
        <f>Budget_Supuestos!P135</f>
        <v>625.71791111111202</v>
      </c>
      <c r="E57" s="285">
        <f>Budget_Supuestos!Q135</f>
        <v>625.71791111111202</v>
      </c>
      <c r="F57" s="285">
        <f>Budget_Supuestos!R135</f>
        <v>625.71791111111202</v>
      </c>
      <c r="G57" s="285">
        <f>Budget_Supuestos!S135</f>
        <v>625.71791111111202</v>
      </c>
      <c r="H57" s="285">
        <f>Budget_Supuestos!T135</f>
        <v>625.71791111111202</v>
      </c>
      <c r="I57" s="285">
        <f>Budget_Supuestos!U135</f>
        <v>625.71791111111202</v>
      </c>
      <c r="J57" s="285">
        <f>Budget_Supuestos!V135</f>
        <v>625.71791111111202</v>
      </c>
      <c r="K57" s="266">
        <f>(Proportions!$E$5*((Budget_Presupuesto!D57+Budget_Presupuesto!E57)/2))+(Proportions!$E$6*((Budget_Presupuesto!F57+Budget_Presupuesto!G57+Budget_Presupuesto!H57)/3)+(Proportions!$E$7*((Budget_Presupuesto!I57+Budget_Presupuesto!J57)/2)))</f>
        <v>625.71791111111213</v>
      </c>
    </row>
    <row r="58" spans="1:12" x14ac:dyDescent="0.25">
      <c r="A58" s="32" t="s">
        <v>539</v>
      </c>
      <c r="B58" s="279">
        <f>SUM(B51:B57)</f>
        <v>4442.4112444444436</v>
      </c>
      <c r="C58" s="279">
        <f t="shared" ref="C58:K58" si="8">SUM(C51:C57)</f>
        <v>2206.4112444444436</v>
      </c>
      <c r="D58" s="279">
        <f t="shared" si="8"/>
        <v>2206.4112444444436</v>
      </c>
      <c r="E58" s="279">
        <f>SUM(E51:E57)</f>
        <v>2206.4112444444436</v>
      </c>
      <c r="F58" s="279">
        <f t="shared" si="8"/>
        <v>2206.4112444444436</v>
      </c>
      <c r="G58" s="279">
        <f t="shared" si="8"/>
        <v>2206.4112444444436</v>
      </c>
      <c r="H58" s="279">
        <f t="shared" si="8"/>
        <v>2206.4112444444436</v>
      </c>
      <c r="I58" s="279">
        <f t="shared" si="8"/>
        <v>2206.4112444444436</v>
      </c>
      <c r="J58" s="279">
        <f t="shared" si="8"/>
        <v>2206.4112444444436</v>
      </c>
      <c r="K58" s="293">
        <f t="shared" si="8"/>
        <v>2206.411244444444</v>
      </c>
      <c r="L58" s="38">
        <f>AVERAGE(D58:J58)</f>
        <v>2206.4112444444436</v>
      </c>
    </row>
    <row r="59" spans="1:12" x14ac:dyDescent="0.25">
      <c r="B59" s="264"/>
      <c r="C59" s="264"/>
      <c r="D59" s="264"/>
      <c r="E59" s="264"/>
      <c r="F59" s="264"/>
      <c r="G59" s="264"/>
      <c r="H59" s="264"/>
      <c r="I59" s="264"/>
      <c r="J59" s="264"/>
      <c r="K59" s="266"/>
    </row>
    <row r="60" spans="1:12" x14ac:dyDescent="0.25">
      <c r="A60" s="11" t="s">
        <v>459</v>
      </c>
      <c r="B60" s="268"/>
      <c r="C60" s="268"/>
      <c r="D60" s="268"/>
      <c r="E60" s="268"/>
      <c r="F60" s="268"/>
      <c r="G60" s="268"/>
      <c r="H60" s="268"/>
      <c r="I60" s="268"/>
      <c r="J60" s="268"/>
      <c r="K60" s="266"/>
    </row>
    <row r="61" spans="1:12" x14ac:dyDescent="0.25">
      <c r="A61" s="402" t="s">
        <v>461</v>
      </c>
      <c r="B61" s="484">
        <f>Budget_Equipo!$I$20</f>
        <v>3936.2137881155859</v>
      </c>
      <c r="C61" s="484">
        <f>Budget_Equipo!$I$20</f>
        <v>3936.2137881155859</v>
      </c>
      <c r="D61" s="485">
        <f>Budget_Equipo!$I$20</f>
        <v>3936.2137881155859</v>
      </c>
      <c r="E61" s="608">
        <f>Budget_Equipo!$I$20</f>
        <v>3936.2137881155859</v>
      </c>
      <c r="F61" s="608">
        <f>Budget_Equipo!$I$20</f>
        <v>3936.2137881155859</v>
      </c>
      <c r="G61" s="608">
        <f>Budget_Equipo!$I$20</f>
        <v>3936.2137881155859</v>
      </c>
      <c r="H61" s="608">
        <f>Budget_Equipo!$I$20</f>
        <v>3936.2137881155859</v>
      </c>
      <c r="I61" s="608">
        <f>Budget_Equipo!$I$20</f>
        <v>3936.2137881155859</v>
      </c>
      <c r="J61" s="608">
        <f>Budget_Equipo!$I$20</f>
        <v>3936.2137881155859</v>
      </c>
      <c r="K61" s="266">
        <f>(Proportions!$E$5*((Budget_Presupuesto!D61+Budget_Presupuesto!E61)/2))+(Proportions!$E$6*((Budget_Presupuesto!F61+Budget_Presupuesto!G61+Budget_Presupuesto!H61)/3)+(Proportions!$E$7*((Budget_Presupuesto!I61+Budget_Presupuesto!J61)/2)))</f>
        <v>3936.2137881155863</v>
      </c>
    </row>
    <row r="62" spans="1:12" x14ac:dyDescent="0.25">
      <c r="A62" s="486" t="s">
        <v>462</v>
      </c>
      <c r="B62" s="487"/>
      <c r="C62" s="487"/>
      <c r="D62" s="488">
        <f>Budget_Equipo!$I$42</f>
        <v>7228.3924441709432</v>
      </c>
      <c r="E62" s="609">
        <f>Budget_Equipo!$I$42</f>
        <v>7228.3924441709432</v>
      </c>
      <c r="F62" s="609">
        <f>Budget_Equipo!$I$42</f>
        <v>7228.3924441709432</v>
      </c>
      <c r="G62" s="609">
        <f>Budget_Equipo!$I$42</f>
        <v>7228.3924441709432</v>
      </c>
      <c r="H62" s="609">
        <f>Budget_Equipo!$I$42</f>
        <v>7228.3924441709432</v>
      </c>
      <c r="I62" s="609">
        <f>Budget_Equipo!$I$42</f>
        <v>7228.3924441709432</v>
      </c>
      <c r="J62" s="609">
        <f>Budget_Equipo!$I$42</f>
        <v>7228.3924441709432</v>
      </c>
      <c r="K62" s="266">
        <f>(Proportions!$E$5*((Budget_Presupuesto!D62+Budget_Presupuesto!E62)/2))+(Proportions!$E$6*((Budget_Presupuesto!F62+Budget_Presupuesto!G62+Budget_Presupuesto!H62)/3)+(Proportions!$E$7*((Budget_Presupuesto!I62+Budget_Presupuesto!J62)/2)))</f>
        <v>7228.3924441709441</v>
      </c>
    </row>
    <row r="63" spans="1:12" x14ac:dyDescent="0.25">
      <c r="A63" s="486" t="s">
        <v>463</v>
      </c>
      <c r="B63" s="487"/>
      <c r="C63" s="487"/>
      <c r="D63" s="488">
        <f>Budget_Equipo!$I$53</f>
        <v>5921.1106870712138</v>
      </c>
      <c r="E63" s="609">
        <f>Budget_Equipo!$I$53</f>
        <v>5921.1106870712138</v>
      </c>
      <c r="F63" s="609">
        <f>Budget_Equipo!$I$53</f>
        <v>5921.1106870712138</v>
      </c>
      <c r="G63" s="609">
        <f>Budget_Equipo!$I$53</f>
        <v>5921.1106870712138</v>
      </c>
      <c r="H63" s="609">
        <f>Budget_Equipo!$I$53</f>
        <v>5921.1106870712138</v>
      </c>
      <c r="I63" s="609">
        <f>Budget_Equipo!$I$53</f>
        <v>5921.1106870712138</v>
      </c>
      <c r="J63" s="609">
        <f>Budget_Equipo!$I$53</f>
        <v>5921.1106870712138</v>
      </c>
      <c r="K63" s="266">
        <f>(Proportions!$E$5*((Budget_Presupuesto!D63+Budget_Presupuesto!E63)/2))+(Proportions!$E$6*((Budget_Presupuesto!F63+Budget_Presupuesto!G63+Budget_Presupuesto!H63)/3)+(Proportions!$E$7*((Budget_Presupuesto!I63+Budget_Presupuesto!J63)/2)))</f>
        <v>5921.1106870712147</v>
      </c>
    </row>
    <row r="64" spans="1:12" x14ac:dyDescent="0.25">
      <c r="A64" s="6" t="s">
        <v>528</v>
      </c>
      <c r="B64" s="264">
        <f>SUM(B61:B63)</f>
        <v>3936.2137881155859</v>
      </c>
      <c r="C64" s="264">
        <f t="shared" ref="C64:K64" si="9">SUM(C61:C63)</f>
        <v>3936.2137881155859</v>
      </c>
      <c r="D64" s="264">
        <f>SUM(D61:D63)</f>
        <v>17085.716919357743</v>
      </c>
      <c r="E64" s="264">
        <f t="shared" si="9"/>
        <v>17085.716919357743</v>
      </c>
      <c r="F64" s="264">
        <f t="shared" si="9"/>
        <v>17085.716919357743</v>
      </c>
      <c r="G64" s="264">
        <f t="shared" si="9"/>
        <v>17085.716919357743</v>
      </c>
      <c r="H64" s="264">
        <f t="shared" si="9"/>
        <v>17085.716919357743</v>
      </c>
      <c r="I64" s="264">
        <f t="shared" si="9"/>
        <v>17085.716919357743</v>
      </c>
      <c r="J64" s="264">
        <f t="shared" si="9"/>
        <v>17085.716919357743</v>
      </c>
      <c r="K64" s="293">
        <f t="shared" si="9"/>
        <v>17085.716919357747</v>
      </c>
      <c r="L64" s="38">
        <f>AVERAGE(D64:J64)</f>
        <v>17085.716919357743</v>
      </c>
    </row>
    <row r="65" spans="1:12" x14ac:dyDescent="0.25">
      <c r="B65" s="268"/>
      <c r="C65" s="268"/>
      <c r="D65" s="268"/>
      <c r="E65" s="268"/>
      <c r="F65" s="268"/>
      <c r="G65" s="268"/>
      <c r="H65" s="268"/>
      <c r="I65" s="268"/>
      <c r="J65" s="268"/>
      <c r="K65" s="266"/>
    </row>
    <row r="66" spans="1:12" x14ac:dyDescent="0.25">
      <c r="A66" s="9" t="s">
        <v>233</v>
      </c>
      <c r="B66" s="268"/>
      <c r="C66" s="268"/>
      <c r="D66" s="268"/>
      <c r="E66" s="268"/>
      <c r="F66" s="268"/>
      <c r="G66" s="268"/>
      <c r="H66" s="268"/>
      <c r="I66" s="268"/>
      <c r="J66" s="268"/>
      <c r="K66" s="266"/>
    </row>
    <row r="67" spans="1:12" x14ac:dyDescent="0.25">
      <c r="A67" s="322" t="s">
        <v>65</v>
      </c>
      <c r="B67" s="268"/>
      <c r="C67" s="294">
        <f>Budget_Supuestos!$C$389</f>
        <v>1448.68</v>
      </c>
      <c r="D67" s="294">
        <f>Budget_Supuestos!$C$389</f>
        <v>1448.68</v>
      </c>
      <c r="E67" s="294">
        <f>Budget_Supuestos!$C$389</f>
        <v>1448.68</v>
      </c>
      <c r="F67" s="294">
        <f>Budget_Supuestos!$C$389</f>
        <v>1448.68</v>
      </c>
      <c r="G67" s="294">
        <f>Budget_Supuestos!$C$389</f>
        <v>1448.68</v>
      </c>
      <c r="H67" s="294">
        <f>Budget_Supuestos!$C$389</f>
        <v>1448.68</v>
      </c>
      <c r="I67" s="294">
        <f>Budget_Supuestos!$C$389</f>
        <v>1448.68</v>
      </c>
      <c r="J67" s="294">
        <f>Budget_Supuestos!$C$389</f>
        <v>1448.68</v>
      </c>
      <c r="K67" s="266">
        <f>(Proportions!$E$5*((Budget_Presupuesto!D67+Budget_Presupuesto!E67)/2))+(Proportions!$E$6*((Budget_Presupuesto!F67+Budget_Presupuesto!G67+Budget_Presupuesto!H67)/3)+(Proportions!$E$7*((Budget_Presupuesto!I67+Budget_Presupuesto!J67)/2)))</f>
        <v>1448.6800000000003</v>
      </c>
    </row>
    <row r="68" spans="1:12" x14ac:dyDescent="0.25">
      <c r="A68" s="322" t="s">
        <v>76</v>
      </c>
      <c r="B68" s="268"/>
      <c r="C68" s="294">
        <f>Budget_Equipo!$H$57</f>
        <v>6641.68</v>
      </c>
      <c r="D68" s="294">
        <f>Budget_Equipo!$H$57</f>
        <v>6641.68</v>
      </c>
      <c r="E68" s="294">
        <f>Budget_Equipo!$H$57</f>
        <v>6641.68</v>
      </c>
      <c r="F68" s="294">
        <f>Budget_Equipo!$H$57</f>
        <v>6641.68</v>
      </c>
      <c r="G68" s="294">
        <f>Budget_Equipo!$H$57</f>
        <v>6641.68</v>
      </c>
      <c r="H68" s="294">
        <f>Budget_Equipo!$H$57</f>
        <v>6641.68</v>
      </c>
      <c r="I68" s="294">
        <f>Budget_Equipo!$H$57</f>
        <v>6641.68</v>
      </c>
      <c r="J68" s="294">
        <f>Budget_Equipo!$H$57</f>
        <v>6641.68</v>
      </c>
      <c r="K68" s="266">
        <f>(Proportions!$E$5*((Budget_Presupuesto!D68+Budget_Presupuesto!E68)/2))+(Proportions!$E$6*((Budget_Presupuesto!F68+Budget_Presupuesto!G68+Budget_Presupuesto!H68)/3)+(Proportions!$E$7*((Budget_Presupuesto!I68+Budget_Presupuesto!J68)/2)))</f>
        <v>6641.6800000000012</v>
      </c>
    </row>
    <row r="69" spans="1:12" x14ac:dyDescent="0.25">
      <c r="A69" s="234" t="s">
        <v>529</v>
      </c>
      <c r="B69" s="264">
        <f>SUM(B67:B68)</f>
        <v>0</v>
      </c>
      <c r="C69" s="264">
        <f t="shared" ref="C69:K69" si="10">SUM(C67:C68)</f>
        <v>8090.3600000000006</v>
      </c>
      <c r="D69" s="264">
        <f t="shared" si="10"/>
        <v>8090.3600000000006</v>
      </c>
      <c r="E69" s="264">
        <f t="shared" si="10"/>
        <v>8090.3600000000006</v>
      </c>
      <c r="F69" s="264">
        <f t="shared" si="10"/>
        <v>8090.3600000000006</v>
      </c>
      <c r="G69" s="264">
        <f t="shared" si="10"/>
        <v>8090.3600000000006</v>
      </c>
      <c r="H69" s="264">
        <f t="shared" si="10"/>
        <v>8090.3600000000006</v>
      </c>
      <c r="I69" s="264">
        <f t="shared" si="10"/>
        <v>8090.3600000000006</v>
      </c>
      <c r="J69" s="264">
        <f t="shared" si="10"/>
        <v>8090.3600000000006</v>
      </c>
      <c r="K69" s="293">
        <f t="shared" si="10"/>
        <v>8090.3600000000015</v>
      </c>
      <c r="L69" s="38">
        <f>AVERAGE(D69:J69)</f>
        <v>8090.3600000000006</v>
      </c>
    </row>
    <row r="70" spans="1:12" x14ac:dyDescent="0.25">
      <c r="B70" s="268"/>
      <c r="C70" s="268"/>
      <c r="D70" s="268"/>
      <c r="E70" s="268"/>
      <c r="F70" s="268"/>
      <c r="G70" s="268"/>
      <c r="H70" s="268"/>
      <c r="I70" s="268"/>
      <c r="J70" s="268"/>
      <c r="K70" s="266"/>
    </row>
    <row r="71" spans="1:12" x14ac:dyDescent="0.25">
      <c r="A71" s="9" t="s">
        <v>2</v>
      </c>
      <c r="B71" s="264"/>
      <c r="C71" s="268"/>
      <c r="D71" s="268"/>
      <c r="E71" s="268"/>
      <c r="F71" s="268"/>
      <c r="G71" s="268"/>
      <c r="H71" s="268"/>
      <c r="I71" s="268"/>
      <c r="J71" s="268"/>
      <c r="K71" s="266"/>
    </row>
    <row r="72" spans="1:12" x14ac:dyDescent="0.25">
      <c r="A72" s="12" t="s">
        <v>82</v>
      </c>
      <c r="B72" s="264"/>
      <c r="C72" s="288">
        <f>0.1*C46</f>
        <v>1118.5549498090204</v>
      </c>
      <c r="D72" s="288">
        <f t="shared" ref="D72:J72" si="11">0.1*D46</f>
        <v>1948.1711968332363</v>
      </c>
      <c r="E72" s="288">
        <f>0.1*E46</f>
        <v>1948.1711968332363</v>
      </c>
      <c r="F72" s="288">
        <f t="shared" si="11"/>
        <v>2583.4469250052998</v>
      </c>
      <c r="G72" s="288">
        <f t="shared" si="11"/>
        <v>2583.4469250052998</v>
      </c>
      <c r="H72" s="288">
        <f t="shared" si="11"/>
        <v>2624.7382084620685</v>
      </c>
      <c r="I72" s="288">
        <f t="shared" si="11"/>
        <v>2353.1301672120685</v>
      </c>
      <c r="J72" s="288">
        <f t="shared" si="11"/>
        <v>2353.1301672120685</v>
      </c>
      <c r="K72" s="266">
        <f>(Proportions!$E$5*((Budget_Presupuesto!D72+Budget_Presupuesto!E72)/2))+(Proportions!$E$6*((Budget_Presupuesto!F72+Budget_Presupuesto!G72+Budget_Presupuesto!H72)/3)+(Proportions!$E$7*((Budget_Presupuesto!I72+Budget_Presupuesto!J72)/2)))</f>
        <v>2364.5488852817143</v>
      </c>
      <c r="L72" s="38"/>
    </row>
    <row r="73" spans="1:12" x14ac:dyDescent="0.25">
      <c r="A73" s="322" t="s">
        <v>74</v>
      </c>
      <c r="B73" s="264"/>
      <c r="C73" s="287">
        <f>Budget_Supuestos!$B$393</f>
        <v>147.28</v>
      </c>
      <c r="D73" s="287">
        <f>Budget_Supuestos!$B$393</f>
        <v>147.28</v>
      </c>
      <c r="E73" s="287">
        <f>Budget_Supuestos!$B$393</f>
        <v>147.28</v>
      </c>
      <c r="F73" s="287">
        <f>Budget_Supuestos!$B$393</f>
        <v>147.28</v>
      </c>
      <c r="G73" s="287">
        <f>Budget_Supuestos!$B$393</f>
        <v>147.28</v>
      </c>
      <c r="H73" s="287">
        <f>Budget_Supuestos!$B$393</f>
        <v>147.28</v>
      </c>
      <c r="I73" s="287">
        <f>Budget_Supuestos!$B$393</f>
        <v>147.28</v>
      </c>
      <c r="J73" s="287">
        <f>Budget_Supuestos!$B$393</f>
        <v>147.28</v>
      </c>
      <c r="K73" s="266">
        <f>(Proportions!$E$5*((Budget_Presupuesto!D73+Budget_Presupuesto!E73)/2))+(Proportions!$E$6*((Budget_Presupuesto!F73+Budget_Presupuesto!G73+Budget_Presupuesto!H73)/3)+(Proportions!$E$7*((Budget_Presupuesto!I73+Budget_Presupuesto!J73)/2)))</f>
        <v>147.28000000000003</v>
      </c>
    </row>
    <row r="74" spans="1:12" x14ac:dyDescent="0.25">
      <c r="A74" s="138" t="s">
        <v>129</v>
      </c>
      <c r="B74" s="295">
        <f>'Budget_Valor de M Obra'!B89</f>
        <v>2832.6869999999994</v>
      </c>
      <c r="C74" s="295">
        <f>'Budget_Valor de M Obra'!C89</f>
        <v>2832.6869999999994</v>
      </c>
      <c r="D74" s="295">
        <f>'Budget_Valor de M Obra'!D89</f>
        <v>2832.6869999999994</v>
      </c>
      <c r="E74" s="295">
        <f>'Budget_Valor de M Obra'!E89</f>
        <v>2832.6869999999994</v>
      </c>
      <c r="F74" s="295">
        <f>'Budget_Valor de M Obra'!F89</f>
        <v>2832.6869999999994</v>
      </c>
      <c r="G74" s="295">
        <f>'Budget_Valor de M Obra'!G89</f>
        <v>2832.6869999999994</v>
      </c>
      <c r="H74" s="295">
        <f>'Budget_Valor de M Obra'!H89</f>
        <v>2832.6869999999994</v>
      </c>
      <c r="I74" s="295">
        <f>'Budget_Valor de M Obra'!I89</f>
        <v>2832.6869999999994</v>
      </c>
      <c r="J74" s="295">
        <f>'Budget_Valor de M Obra'!J89</f>
        <v>2832.6869999999994</v>
      </c>
      <c r="K74" s="266">
        <f>(Proportions!$E$5*((Budget_Presupuesto!D74+Budget_Presupuesto!E74)/2))+(Proportions!$E$6*((Budget_Presupuesto!F74+Budget_Presupuesto!G74+Budget_Presupuesto!H74)/3)+(Proportions!$E$7*((Budget_Presupuesto!I74+Budget_Presupuesto!J74)/2)))</f>
        <v>2832.6869999999999</v>
      </c>
    </row>
    <row r="75" spans="1:12" x14ac:dyDescent="0.25">
      <c r="A75" s="234" t="s">
        <v>530</v>
      </c>
      <c r="B75" s="296">
        <f>SUM(B72:B74)</f>
        <v>2832.6869999999994</v>
      </c>
      <c r="C75" s="296">
        <f t="shared" ref="C75:J75" si="12">SUM(C72:C74)</f>
        <v>4098.52194980902</v>
      </c>
      <c r="D75" s="296">
        <f t="shared" si="12"/>
        <v>4928.1381968332353</v>
      </c>
      <c r="E75" s="296">
        <f t="shared" si="12"/>
        <v>4928.1381968332353</v>
      </c>
      <c r="F75" s="296">
        <f t="shared" si="12"/>
        <v>5563.4139250052995</v>
      </c>
      <c r="G75" s="296">
        <f t="shared" si="12"/>
        <v>5563.4139250052995</v>
      </c>
      <c r="H75" s="296">
        <f t="shared" si="12"/>
        <v>5604.7052084620682</v>
      </c>
      <c r="I75" s="296">
        <f t="shared" si="12"/>
        <v>5333.0971672120686</v>
      </c>
      <c r="J75" s="296">
        <f t="shared" si="12"/>
        <v>5333.0971672120686</v>
      </c>
      <c r="K75" s="297">
        <f>SUM(K72:K74)</f>
        <v>5344.5158852817149</v>
      </c>
      <c r="L75" s="38">
        <f>AVERAGE(D75:J75)</f>
        <v>5322.0005409376108</v>
      </c>
    </row>
    <row r="76" spans="1:12" x14ac:dyDescent="0.25">
      <c r="B76" s="268"/>
      <c r="C76" s="268"/>
      <c r="D76" s="268"/>
      <c r="E76" s="268"/>
      <c r="F76" s="268"/>
      <c r="G76" s="268"/>
      <c r="H76" s="268"/>
      <c r="I76" s="268"/>
      <c r="J76" s="268"/>
      <c r="K76" s="266"/>
    </row>
    <row r="77" spans="1:12" x14ac:dyDescent="0.25">
      <c r="A77" s="15" t="s">
        <v>3</v>
      </c>
      <c r="B77" s="298">
        <f>B58+B64+B69+B75</f>
        <v>11211.31203256003</v>
      </c>
      <c r="C77" s="298">
        <f t="shared" ref="C77:J77" si="13">C58+C64+C69+C75</f>
        <v>18331.50698236905</v>
      </c>
      <c r="D77" s="298">
        <f t="shared" si="13"/>
        <v>32310.626360635422</v>
      </c>
      <c r="E77" s="298">
        <f t="shared" si="13"/>
        <v>32310.626360635422</v>
      </c>
      <c r="F77" s="298">
        <f t="shared" si="13"/>
        <v>32945.902088807488</v>
      </c>
      <c r="G77" s="298">
        <f>G58+G64+G69+G75</f>
        <v>32945.902088807488</v>
      </c>
      <c r="H77" s="298">
        <f t="shared" si="13"/>
        <v>32987.193372264257</v>
      </c>
      <c r="I77" s="298">
        <f t="shared" si="13"/>
        <v>32715.585331014256</v>
      </c>
      <c r="J77" s="298">
        <f t="shared" si="13"/>
        <v>32715.585331014256</v>
      </c>
      <c r="K77" s="299">
        <f>K58+K64+K69+K75</f>
        <v>32727.004049083906</v>
      </c>
      <c r="L77" s="38">
        <f>AVERAGE(D77:J77)</f>
        <v>32704.488704739797</v>
      </c>
    </row>
    <row r="78" spans="1:12" x14ac:dyDescent="0.25">
      <c r="B78" s="268"/>
      <c r="C78" s="268"/>
      <c r="D78" s="268"/>
      <c r="E78" s="268"/>
      <c r="F78" s="268"/>
      <c r="G78" s="268"/>
      <c r="H78" s="268"/>
      <c r="I78" s="268"/>
      <c r="J78" s="268"/>
      <c r="K78" s="266"/>
    </row>
    <row r="79" spans="1:12" x14ac:dyDescent="0.25">
      <c r="A79" s="6" t="s">
        <v>4</v>
      </c>
      <c r="B79" s="268">
        <f>B46+B77</f>
        <v>58492.185317240597</v>
      </c>
      <c r="C79" s="268">
        <f t="shared" ref="C79:K79" si="14">C46+C77</f>
        <v>29517.056480459254</v>
      </c>
      <c r="D79" s="268">
        <f t="shared" si="14"/>
        <v>51792.338328967788</v>
      </c>
      <c r="E79" s="268">
        <f t="shared" si="14"/>
        <v>51792.338328967788</v>
      </c>
      <c r="F79" s="268">
        <f t="shared" si="14"/>
        <v>58780.371338860481</v>
      </c>
      <c r="G79" s="268">
        <f t="shared" si="14"/>
        <v>58780.371338860481</v>
      </c>
      <c r="H79" s="268">
        <f t="shared" si="14"/>
        <v>59234.575456884937</v>
      </c>
      <c r="I79" s="268">
        <f t="shared" si="14"/>
        <v>56246.887003134936</v>
      </c>
      <c r="J79" s="268">
        <f t="shared" si="14"/>
        <v>56246.887003134936</v>
      </c>
      <c r="K79" s="266">
        <f t="shared" si="14"/>
        <v>56372.492901901045</v>
      </c>
      <c r="L79" s="38">
        <f>AVERAGE(D79:J79)</f>
        <v>56124.824114115909</v>
      </c>
    </row>
    <row r="80" spans="1:12" x14ac:dyDescent="0.25">
      <c r="B80" s="268"/>
      <c r="C80" s="268"/>
      <c r="D80" s="268"/>
      <c r="E80" s="268"/>
      <c r="F80" s="268"/>
      <c r="G80" s="268"/>
      <c r="H80" s="268"/>
      <c r="I80" s="268"/>
      <c r="J80" s="268"/>
      <c r="K80" s="266"/>
    </row>
    <row r="81" spans="1:12" x14ac:dyDescent="0.25">
      <c r="A81" s="6" t="s">
        <v>12</v>
      </c>
      <c r="B81" s="300">
        <f>B31-B79</f>
        <v>-56352.185317240597</v>
      </c>
      <c r="C81" s="300">
        <f t="shared" ref="C81:I81" si="15">C31-C79</f>
        <v>-27377.056480459254</v>
      </c>
      <c r="D81" s="300">
        <f t="shared" si="15"/>
        <v>-40848.808917203081</v>
      </c>
      <c r="E81" s="300">
        <f t="shared" si="15"/>
        <v>-32342.438917203079</v>
      </c>
      <c r="F81" s="300">
        <f t="shared" si="15"/>
        <v>-11742.371338860481</v>
      </c>
      <c r="G81" s="300">
        <f t="shared" si="15"/>
        <v>-11491.001338860478</v>
      </c>
      <c r="H81" s="300">
        <f t="shared" si="15"/>
        <v>-7706.7754568849268</v>
      </c>
      <c r="I81" s="300">
        <f t="shared" si="15"/>
        <v>-4719.0870031349259</v>
      </c>
      <c r="J81" s="300">
        <f>J31-J79</f>
        <v>-4719.0870031349259</v>
      </c>
      <c r="K81" s="301">
        <f>K31-K79</f>
        <v>-16471.893069968261</v>
      </c>
      <c r="L81" s="38">
        <f>AVERAGE(D81:J81)</f>
        <v>-16224.224282183128</v>
      </c>
    </row>
    <row r="82" spans="1:12" x14ac:dyDescent="0.25">
      <c r="A82" s="1"/>
      <c r="B82" s="302"/>
      <c r="C82" s="302"/>
      <c r="D82" s="302"/>
      <c r="E82" s="302"/>
      <c r="F82" s="302"/>
      <c r="G82" s="302"/>
      <c r="H82" s="302"/>
      <c r="I82" s="302"/>
      <c r="J82" s="302"/>
      <c r="K82" s="266"/>
    </row>
    <row r="83" spans="1:12" x14ac:dyDescent="0.25">
      <c r="B83" s="268"/>
      <c r="C83" s="268"/>
      <c r="D83" s="268"/>
      <c r="E83" s="268"/>
      <c r="F83" s="268"/>
      <c r="G83" s="268"/>
      <c r="H83" s="268"/>
      <c r="I83" s="268"/>
      <c r="J83" s="268"/>
      <c r="K83" s="269"/>
    </row>
    <row r="86" spans="1:12" x14ac:dyDescent="0.25">
      <c r="B86" s="44"/>
      <c r="G86" s="322"/>
    </row>
    <row r="87" spans="1:12" x14ac:dyDescent="0.25">
      <c r="G87" s="322"/>
    </row>
    <row r="88" spans="1:12" x14ac:dyDescent="0.25">
      <c r="B88" s="322"/>
      <c r="C88" s="322"/>
      <c r="D88" s="322"/>
      <c r="E88" s="322"/>
      <c r="F88" s="322"/>
      <c r="G88" s="322"/>
      <c r="H88" s="322"/>
      <c r="I88" s="322"/>
      <c r="J88" s="322"/>
    </row>
    <row r="89" spans="1:12" x14ac:dyDescent="0.25">
      <c r="B89" s="322"/>
      <c r="C89" s="322"/>
      <c r="D89" s="322"/>
      <c r="E89" s="322"/>
      <c r="F89" s="322"/>
      <c r="G89" s="322"/>
      <c r="H89" s="322"/>
      <c r="I89" s="322"/>
      <c r="J89" s="322"/>
    </row>
    <row r="90" spans="1:12" x14ac:dyDescent="0.25">
      <c r="B90" s="322"/>
      <c r="C90" s="322"/>
      <c r="D90" s="322"/>
      <c r="E90" s="322"/>
      <c r="F90" s="322"/>
      <c r="G90" s="322"/>
      <c r="H90" s="322"/>
      <c r="I90" s="322"/>
      <c r="J90" s="322"/>
    </row>
    <row r="91" spans="1:12" x14ac:dyDescent="0.25">
      <c r="B91" s="322"/>
      <c r="C91" s="322"/>
      <c r="D91" s="322"/>
      <c r="E91" s="322"/>
      <c r="F91" s="322"/>
      <c r="G91" s="322"/>
      <c r="H91" s="322"/>
      <c r="I91" s="322"/>
      <c r="J91" s="322"/>
    </row>
    <row r="92" spans="1:12" x14ac:dyDescent="0.25">
      <c r="B92" s="322"/>
      <c r="C92" s="322"/>
      <c r="D92" s="322"/>
      <c r="E92" s="322"/>
      <c r="F92" s="322"/>
      <c r="G92" s="322"/>
      <c r="H92" s="322"/>
      <c r="I92" s="322"/>
      <c r="J92" s="322"/>
    </row>
    <row r="93" spans="1:12" x14ac:dyDescent="0.25">
      <c r="B93" s="322"/>
      <c r="C93" s="322"/>
      <c r="D93" s="322"/>
      <c r="E93" s="322"/>
      <c r="F93" s="322"/>
      <c r="G93" s="322"/>
      <c r="H93" s="322"/>
      <c r="I93" s="322"/>
      <c r="J93" s="322"/>
    </row>
  </sheetData>
  <mergeCells count="1">
    <mergeCell ref="L1:T1"/>
  </mergeCells>
  <phoneticPr fontId="16" type="noConversion"/>
  <pageMargins left="0.75" right="0.75" top="1" bottom="1" header="0.5" footer="0.5"/>
  <pageSetup scale="67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2:K89"/>
  <sheetViews>
    <sheetView topLeftCell="C1" workbookViewId="0">
      <selection activeCell="L1" sqref="L1:XFD1048576"/>
    </sheetView>
  </sheetViews>
  <sheetFormatPr defaultColWidth="0" defaultRowHeight="15.75" x14ac:dyDescent="0.25"/>
  <cols>
    <col min="1" max="1" width="52.875" customWidth="1"/>
    <col min="2" max="10" width="11" customWidth="1"/>
    <col min="11" max="11" width="19.5" customWidth="1"/>
    <col min="12" max="16384" width="4.5" hidden="1"/>
  </cols>
  <sheetData>
    <row r="2" spans="1:11" x14ac:dyDescent="0.25">
      <c r="A2" s="3" t="s">
        <v>52</v>
      </c>
    </row>
    <row r="3" spans="1:11" x14ac:dyDescent="0.25">
      <c r="A3" s="3"/>
    </row>
    <row r="4" spans="1:11" x14ac:dyDescent="0.25">
      <c r="A4" s="176" t="s">
        <v>43</v>
      </c>
    </row>
    <row r="5" spans="1:11" x14ac:dyDescent="0.25">
      <c r="A5" s="24" t="s">
        <v>365</v>
      </c>
      <c r="B5" s="27" t="s">
        <v>43</v>
      </c>
      <c r="C5" s="28" t="s">
        <v>44</v>
      </c>
      <c r="D5" s="28" t="s">
        <v>45</v>
      </c>
      <c r="E5" s="28" t="s">
        <v>46</v>
      </c>
      <c r="F5" s="28" t="s">
        <v>47</v>
      </c>
      <c r="G5" s="28" t="s">
        <v>48</v>
      </c>
      <c r="H5" s="28" t="s">
        <v>49</v>
      </c>
      <c r="I5" s="28" t="s">
        <v>50</v>
      </c>
      <c r="J5" s="28" t="s">
        <v>51</v>
      </c>
    </row>
    <row r="6" spans="1:11" s="8" customFormat="1" x14ac:dyDescent="0.25">
      <c r="A6" s="317" t="s">
        <v>362</v>
      </c>
      <c r="B6" s="187">
        <f>'Budget_M Obra'!B6*Budget_Supuestos!$B$71</f>
        <v>159.82166666666663</v>
      </c>
      <c r="C6" s="337"/>
      <c r="D6" s="186"/>
      <c r="E6" s="186"/>
      <c r="F6" s="186"/>
      <c r="G6" s="186"/>
      <c r="H6" s="186"/>
      <c r="I6" s="186"/>
      <c r="J6" s="186"/>
      <c r="K6" s="186"/>
    </row>
    <row r="7" spans="1:11" s="8" customFormat="1" x14ac:dyDescent="0.25">
      <c r="A7" s="317" t="s">
        <v>363</v>
      </c>
      <c r="B7" s="187">
        <f>'Budget_M Obra'!B7*Budget_Supuestos!$B$71</f>
        <v>141.7385433333333</v>
      </c>
      <c r="C7" s="337"/>
      <c r="D7" s="186"/>
      <c r="E7" s="338"/>
      <c r="F7" s="186"/>
      <c r="G7" s="186"/>
      <c r="H7" s="186"/>
      <c r="I7" s="186"/>
      <c r="J7" s="186"/>
      <c r="K7" s="186"/>
    </row>
    <row r="8" spans="1:11" s="8" customFormat="1" x14ac:dyDescent="0.25">
      <c r="A8" s="318" t="s">
        <v>620</v>
      </c>
      <c r="B8" s="187">
        <f>'Budget_M Obra'!B8*Budget_Supuestos!$B$71</f>
        <v>374.98611111111103</v>
      </c>
      <c r="C8" s="337"/>
      <c r="D8" s="168"/>
      <c r="E8" s="168"/>
      <c r="F8" s="168"/>
      <c r="G8" s="168"/>
      <c r="H8" s="168"/>
      <c r="I8" s="168"/>
      <c r="J8" s="168"/>
      <c r="K8" s="168"/>
    </row>
    <row r="9" spans="1:11" s="8" customFormat="1" x14ac:dyDescent="0.25">
      <c r="A9" s="318" t="s">
        <v>364</v>
      </c>
      <c r="B9" s="187">
        <f>'Budget_M Obra'!B9*Budget_Supuestos!$B$71</f>
        <v>821.14199999999971</v>
      </c>
      <c r="C9" s="337"/>
      <c r="D9" s="168"/>
      <c r="E9" s="168"/>
      <c r="F9" s="168"/>
      <c r="G9" s="168"/>
      <c r="H9" s="168"/>
      <c r="I9" s="168"/>
      <c r="J9" s="168"/>
      <c r="K9" s="168"/>
    </row>
    <row r="10" spans="1:11" s="8" customFormat="1" x14ac:dyDescent="0.25">
      <c r="A10" s="318" t="s">
        <v>550</v>
      </c>
      <c r="B10" s="187">
        <f>'Budget_M Obra'!B10*Budget_Supuestos!$B$71</f>
        <v>82.23833333333333</v>
      </c>
      <c r="C10" s="337"/>
      <c r="D10" s="168"/>
      <c r="E10" s="168"/>
      <c r="F10" s="168"/>
      <c r="G10" s="168"/>
      <c r="H10" s="168"/>
      <c r="I10" s="168"/>
      <c r="J10" s="168"/>
      <c r="K10" s="168"/>
    </row>
    <row r="11" spans="1:11" s="8" customFormat="1" x14ac:dyDescent="0.25">
      <c r="A11" s="124" t="s">
        <v>366</v>
      </c>
      <c r="B11" s="246">
        <f>SUM(B6:B10)</f>
        <v>1579.926654444444</v>
      </c>
      <c r="C11" s="337"/>
      <c r="D11" s="168"/>
      <c r="E11" s="168"/>
      <c r="F11" s="168"/>
      <c r="G11" s="168"/>
      <c r="H11" s="168"/>
      <c r="I11" s="168"/>
      <c r="J11" s="168"/>
      <c r="K11" s="168"/>
    </row>
    <row r="12" spans="1:11" s="8" customFormat="1" x14ac:dyDescent="0.25">
      <c r="A12" s="24" t="s">
        <v>367</v>
      </c>
      <c r="B12" s="27" t="s">
        <v>43</v>
      </c>
      <c r="C12" s="28" t="s">
        <v>44</v>
      </c>
      <c r="D12" s="28" t="s">
        <v>45</v>
      </c>
      <c r="E12" s="28" t="s">
        <v>46</v>
      </c>
      <c r="F12" s="28" t="s">
        <v>47</v>
      </c>
      <c r="G12" s="28" t="s">
        <v>48</v>
      </c>
      <c r="H12" s="28" t="s">
        <v>49</v>
      </c>
      <c r="I12" s="28" t="s">
        <v>50</v>
      </c>
      <c r="J12" s="28" t="s">
        <v>51</v>
      </c>
      <c r="K12" s="168"/>
    </row>
    <row r="13" spans="1:11" s="8" customFormat="1" x14ac:dyDescent="0.25">
      <c r="A13" s="317" t="s">
        <v>368</v>
      </c>
      <c r="B13" s="187">
        <f>'Budget_M Obra'!B13*Budget_Supuestos!$B$71</f>
        <v>894.89999999999975</v>
      </c>
      <c r="C13" s="186"/>
      <c r="D13" s="186"/>
      <c r="E13" s="186"/>
      <c r="F13" s="186"/>
      <c r="G13" s="186"/>
      <c r="H13" s="186"/>
      <c r="I13" s="186"/>
      <c r="J13" s="186"/>
      <c r="K13" s="186"/>
    </row>
    <row r="14" spans="1:11" s="8" customFormat="1" x14ac:dyDescent="0.25">
      <c r="A14" s="317" t="s">
        <v>580</v>
      </c>
      <c r="B14" s="187">
        <f>'Budget_M Obra'!B14*Budget_Supuestos!$B$71</f>
        <v>830.45199999999977</v>
      </c>
      <c r="C14" s="168"/>
      <c r="D14" s="168"/>
      <c r="E14" s="168"/>
      <c r="F14" s="168"/>
      <c r="G14" s="168"/>
      <c r="H14" s="168"/>
      <c r="I14" s="168"/>
      <c r="J14" s="168"/>
      <c r="K14" s="168"/>
    </row>
    <row r="15" spans="1:11" s="8" customFormat="1" x14ac:dyDescent="0.25">
      <c r="A15" s="320" t="s">
        <v>596</v>
      </c>
      <c r="B15" s="187">
        <f>'Budget_M Obra'!B15*Budget_Supuestos!$B$71</f>
        <v>1581.1483333333331</v>
      </c>
      <c r="C15" s="168"/>
      <c r="D15" s="168"/>
      <c r="E15" s="168"/>
      <c r="F15" s="168"/>
      <c r="G15" s="168"/>
      <c r="H15" s="168"/>
      <c r="I15" s="168"/>
      <c r="J15" s="168"/>
      <c r="K15" s="168"/>
    </row>
    <row r="16" spans="1:11" s="8" customFormat="1" x14ac:dyDescent="0.25">
      <c r="A16" s="318" t="s">
        <v>41</v>
      </c>
      <c r="B16" s="187">
        <f>'Budget_M Obra'!B16*Budget_Supuestos!$B$71</f>
        <v>589.93745999999999</v>
      </c>
      <c r="C16" s="168"/>
      <c r="D16" s="168"/>
      <c r="E16" s="168"/>
      <c r="F16" s="168"/>
      <c r="G16" s="168"/>
      <c r="H16" s="168"/>
      <c r="I16" s="168"/>
      <c r="J16" s="168"/>
      <c r="K16" s="168"/>
    </row>
    <row r="17" spans="1:11" s="8" customFormat="1" x14ac:dyDescent="0.25">
      <c r="A17" s="318" t="s">
        <v>209</v>
      </c>
      <c r="B17" s="187">
        <f>'Budget_M Obra'!B17*Budget_Supuestos!$B$71</f>
        <v>1376.0179999999996</v>
      </c>
      <c r="C17" s="168"/>
      <c r="D17" s="168"/>
      <c r="E17" s="168"/>
      <c r="F17" s="168"/>
      <c r="G17" s="168"/>
      <c r="H17" s="168"/>
      <c r="I17" s="168"/>
      <c r="J17" s="168"/>
      <c r="K17" s="168"/>
    </row>
    <row r="18" spans="1:11" s="8" customFormat="1" x14ac:dyDescent="0.25">
      <c r="A18" s="318" t="s">
        <v>621</v>
      </c>
      <c r="B18" s="187">
        <f>'Budget_M Obra'!B18*Budget_Supuestos!$B$71</f>
        <v>507.39499999999992</v>
      </c>
      <c r="C18" s="168"/>
      <c r="D18" s="168"/>
      <c r="E18" s="168"/>
      <c r="F18" s="168"/>
      <c r="G18" s="168"/>
      <c r="H18" s="168"/>
      <c r="I18" s="168"/>
      <c r="J18" s="168"/>
      <c r="K18" s="168"/>
    </row>
    <row r="19" spans="1:11" s="8" customFormat="1" x14ac:dyDescent="0.25">
      <c r="A19" s="318" t="s">
        <v>37</v>
      </c>
      <c r="B19" s="187">
        <f>'Budget_M Obra'!B19*Budget_Supuestos!$B$71</f>
        <v>2283.4947333333325</v>
      </c>
      <c r="C19" s="168"/>
      <c r="D19" s="168"/>
      <c r="E19" s="168"/>
      <c r="F19" s="168"/>
      <c r="G19" s="168"/>
      <c r="H19" s="168"/>
      <c r="I19" s="168"/>
      <c r="J19" s="168"/>
      <c r="K19" s="168"/>
    </row>
    <row r="20" spans="1:11" s="8" customFormat="1" x14ac:dyDescent="0.25">
      <c r="A20" s="318" t="s">
        <v>622</v>
      </c>
      <c r="B20" s="187">
        <f>'Budget_M Obra'!B20*Budget_Supuestos!$B$71</f>
        <v>224.51375333333331</v>
      </c>
      <c r="C20" s="168"/>
      <c r="D20" s="168"/>
      <c r="E20" s="168"/>
      <c r="F20" s="168"/>
      <c r="G20" s="168"/>
      <c r="H20" s="168"/>
      <c r="I20" s="168"/>
      <c r="J20" s="168"/>
      <c r="K20" s="168"/>
    </row>
    <row r="21" spans="1:11" s="8" customFormat="1" x14ac:dyDescent="0.25">
      <c r="A21" s="318" t="s">
        <v>38</v>
      </c>
      <c r="B21" s="187">
        <f>'Budget_M Obra'!B21*Budget_Supuestos!$B$71</f>
        <v>134.47777777777779</v>
      </c>
      <c r="C21" s="168"/>
      <c r="D21" s="168"/>
      <c r="E21" s="168"/>
      <c r="F21" s="168"/>
      <c r="G21" s="168"/>
      <c r="H21" s="168"/>
      <c r="I21" s="168"/>
      <c r="J21" s="168"/>
      <c r="K21" s="168"/>
    </row>
    <row r="22" spans="1:11" s="8" customFormat="1" x14ac:dyDescent="0.25">
      <c r="A22" s="318" t="s">
        <v>210</v>
      </c>
      <c r="B22" s="187">
        <f>'Budget_M Obra'!B22*Budget_Supuestos!$B$71</f>
        <v>27.929999999999993</v>
      </c>
      <c r="C22" s="188"/>
      <c r="D22" s="188"/>
      <c r="E22" s="188"/>
      <c r="F22" s="188"/>
      <c r="G22" s="188"/>
      <c r="H22" s="188"/>
      <c r="I22" s="188"/>
      <c r="J22" s="188"/>
      <c r="K22" s="188"/>
    </row>
    <row r="23" spans="1:11" s="8" customFormat="1" x14ac:dyDescent="0.25">
      <c r="A23" s="124" t="s">
        <v>369</v>
      </c>
      <c r="B23" s="246">
        <f>SUM(B13:B22)</f>
        <v>8450.2670577777753</v>
      </c>
      <c r="C23" s="168"/>
      <c r="D23" s="168"/>
      <c r="E23" s="168"/>
      <c r="F23" s="168"/>
      <c r="G23" s="168"/>
      <c r="H23" s="168"/>
      <c r="I23" s="168"/>
      <c r="J23" s="168"/>
      <c r="K23" s="168"/>
    </row>
    <row r="24" spans="1:11" x14ac:dyDescent="0.25">
      <c r="A24" s="26" t="s">
        <v>401</v>
      </c>
      <c r="B24" s="27" t="s">
        <v>43</v>
      </c>
      <c r="C24" s="569" t="s">
        <v>44</v>
      </c>
      <c r="D24" s="572" t="s">
        <v>45</v>
      </c>
      <c r="E24" s="27" t="s">
        <v>46</v>
      </c>
      <c r="F24" s="569" t="s">
        <v>47</v>
      </c>
      <c r="G24" s="572" t="s">
        <v>48</v>
      </c>
      <c r="H24" s="27" t="s">
        <v>49</v>
      </c>
      <c r="I24" s="569" t="s">
        <v>50</v>
      </c>
      <c r="J24" s="572" t="s">
        <v>51</v>
      </c>
    </row>
    <row r="25" spans="1:11" x14ac:dyDescent="0.25">
      <c r="A25" s="317" t="s">
        <v>581</v>
      </c>
      <c r="B25" s="187">
        <f>'Budget_M Obra'!B25*Budget_Supuestos!$B$71</f>
        <v>1748.4179999999997</v>
      </c>
      <c r="C25" s="186"/>
      <c r="D25" s="186"/>
      <c r="E25" s="186"/>
      <c r="F25" s="186"/>
      <c r="G25" s="186"/>
      <c r="H25" s="186"/>
      <c r="I25" s="186"/>
      <c r="J25" s="186"/>
      <c r="K25" s="186"/>
    </row>
    <row r="26" spans="1:11" x14ac:dyDescent="0.25">
      <c r="A26" s="318" t="s">
        <v>582</v>
      </c>
      <c r="B26" s="481">
        <f>'Budget_M Obra'!B26*Budget_Supuestos!$B$71</f>
        <v>1254.9879999999998</v>
      </c>
      <c r="C26" s="168"/>
      <c r="D26" s="168"/>
      <c r="E26" s="168"/>
      <c r="F26" s="168"/>
      <c r="G26" s="168"/>
      <c r="H26" s="168"/>
      <c r="I26" s="168"/>
      <c r="J26" s="168"/>
      <c r="K26" s="168"/>
    </row>
    <row r="27" spans="1:11" x14ac:dyDescent="0.25">
      <c r="A27" s="318" t="s">
        <v>623</v>
      </c>
      <c r="B27" s="187">
        <f>'Budget_M Obra'!B27*Budget_Supuestos!$B$71</f>
        <v>325.84999999999991</v>
      </c>
      <c r="C27" s="168"/>
      <c r="D27" s="168"/>
      <c r="E27" s="168"/>
      <c r="F27" s="168"/>
      <c r="G27" s="168"/>
      <c r="H27" s="168"/>
      <c r="I27" s="168"/>
      <c r="J27" s="168"/>
      <c r="K27" s="168"/>
    </row>
    <row r="28" spans="1:11" x14ac:dyDescent="0.25">
      <c r="A28" s="318" t="s">
        <v>583</v>
      </c>
      <c r="B28" s="187">
        <f>'Budget_M Obra'!B28*Budget_Supuestos!$B$71</f>
        <v>569.77199999999993</v>
      </c>
      <c r="C28" s="168"/>
      <c r="D28" s="168"/>
      <c r="E28" s="168"/>
      <c r="F28" s="168"/>
      <c r="G28" s="168"/>
      <c r="H28" s="168"/>
      <c r="I28" s="168"/>
      <c r="J28" s="168"/>
      <c r="K28" s="168"/>
    </row>
    <row r="29" spans="1:11" x14ac:dyDescent="0.25">
      <c r="A29" s="318" t="s">
        <v>624</v>
      </c>
      <c r="B29" s="187">
        <f>'Budget_M Obra'!B29*Budget_Supuestos!$B$71</f>
        <v>1003.6179999999997</v>
      </c>
      <c r="C29" s="168"/>
      <c r="D29" s="168"/>
      <c r="E29" s="168"/>
      <c r="F29" s="168"/>
      <c r="G29" s="168"/>
      <c r="H29" s="168"/>
      <c r="I29" s="168"/>
      <c r="J29" s="168"/>
      <c r="K29" s="168"/>
    </row>
    <row r="30" spans="1:11" x14ac:dyDescent="0.25">
      <c r="A30" s="318" t="s">
        <v>584</v>
      </c>
      <c r="B30" s="187">
        <f>'Budget_M Obra'!B30*Budget_Supuestos!$B$71</f>
        <v>2549.0779999999995</v>
      </c>
      <c r="C30" s="168"/>
      <c r="D30" s="168"/>
      <c r="E30" s="168"/>
      <c r="F30" s="168"/>
      <c r="G30" s="168"/>
      <c r="H30" s="168"/>
      <c r="I30" s="168"/>
      <c r="J30" s="168"/>
      <c r="K30" s="168"/>
    </row>
    <row r="31" spans="1:11" x14ac:dyDescent="0.25">
      <c r="A31" s="318" t="s">
        <v>378</v>
      </c>
      <c r="B31" s="187">
        <f>'Budget_M Obra'!B31*Budget_Supuestos!$B$71</f>
        <v>1201.114133333333</v>
      </c>
      <c r="C31" s="168"/>
      <c r="D31" s="168"/>
      <c r="E31" s="168"/>
      <c r="F31" s="168"/>
      <c r="G31" s="168"/>
      <c r="H31" s="168"/>
      <c r="I31" s="168"/>
      <c r="J31" s="168"/>
      <c r="K31" s="168"/>
    </row>
    <row r="32" spans="1:11" x14ac:dyDescent="0.25">
      <c r="A32" s="318" t="s">
        <v>379</v>
      </c>
      <c r="B32" s="187">
        <f>'Budget_M Obra'!B32*Budget_Supuestos!$B$71</f>
        <v>2172.9539999999997</v>
      </c>
      <c r="C32" s="168"/>
      <c r="D32" s="168"/>
      <c r="E32" s="168"/>
      <c r="F32" s="168"/>
      <c r="G32" s="168"/>
      <c r="H32" s="168"/>
      <c r="I32" s="168"/>
      <c r="J32" s="168"/>
      <c r="K32" s="168"/>
    </row>
    <row r="33" spans="1:11" x14ac:dyDescent="0.25">
      <c r="A33" s="318" t="s">
        <v>380</v>
      </c>
      <c r="B33" s="187">
        <f>'Budget_M Obra'!B33*Budget_Supuestos!$B$71</f>
        <v>1240.0919999999999</v>
      </c>
      <c r="C33" s="187"/>
      <c r="D33" s="187"/>
      <c r="E33" s="187"/>
      <c r="F33" s="187"/>
      <c r="G33" s="187"/>
      <c r="H33" s="187"/>
      <c r="I33" s="187"/>
      <c r="J33" s="187"/>
      <c r="K33" s="187"/>
    </row>
    <row r="34" spans="1:11" x14ac:dyDescent="0.25">
      <c r="A34" s="318" t="s">
        <v>381</v>
      </c>
      <c r="B34" s="187">
        <f>'Budget_M Obra'!B34*Budget_Supuestos!$B$71</f>
        <v>433.84599999999995</v>
      </c>
      <c r="C34" s="168"/>
      <c r="D34" s="168"/>
      <c r="E34" s="168"/>
      <c r="F34" s="168"/>
      <c r="G34" s="168"/>
      <c r="H34" s="168"/>
      <c r="I34" s="168"/>
      <c r="J34" s="168"/>
      <c r="K34" s="168"/>
    </row>
    <row r="35" spans="1:11" x14ac:dyDescent="0.25">
      <c r="A35" s="318" t="s">
        <v>550</v>
      </c>
      <c r="B35" s="187">
        <f>'Budget_M Obra'!B35*Budget_Supuestos!$B$71</f>
        <v>121.01138</v>
      </c>
      <c r="C35" s="168"/>
      <c r="D35" s="168"/>
      <c r="E35" s="168"/>
      <c r="F35" s="168"/>
      <c r="G35" s="168"/>
      <c r="H35" s="168"/>
      <c r="I35" s="168"/>
      <c r="J35" s="168"/>
      <c r="K35" s="168"/>
    </row>
    <row r="36" spans="1:11" ht="18.75" x14ac:dyDescent="0.3">
      <c r="A36" s="247" t="s">
        <v>212</v>
      </c>
      <c r="B36" s="248">
        <f>SUM(B25:B35)</f>
        <v>12620.741513333331</v>
      </c>
      <c r="C36" s="8"/>
      <c r="D36" s="8"/>
      <c r="E36" s="8"/>
      <c r="F36" s="8"/>
      <c r="G36" s="8"/>
      <c r="H36" s="8"/>
      <c r="I36" s="8"/>
      <c r="J36" s="8"/>
    </row>
    <row r="37" spans="1:11" s="5" customFormat="1" x14ac:dyDescent="0.25">
      <c r="A37" s="125"/>
      <c r="B37" s="135"/>
      <c r="C37" s="8"/>
      <c r="D37" s="8"/>
      <c r="E37" s="8"/>
      <c r="F37" s="8"/>
      <c r="G37" s="8"/>
      <c r="H37" s="8"/>
      <c r="I37" s="8"/>
      <c r="J37" s="8"/>
    </row>
    <row r="38" spans="1:11" s="5" customFormat="1" x14ac:dyDescent="0.25">
      <c r="A38" s="176" t="s">
        <v>44</v>
      </c>
      <c r="B38" s="135"/>
      <c r="C38" s="8"/>
      <c r="D38" s="8"/>
      <c r="E38" s="8"/>
      <c r="F38" s="8"/>
      <c r="G38" s="8"/>
      <c r="H38" s="8"/>
      <c r="I38" s="8"/>
      <c r="J38" s="8"/>
    </row>
    <row r="39" spans="1:11" x14ac:dyDescent="0.25">
      <c r="A39" s="26" t="s">
        <v>400</v>
      </c>
      <c r="B39" s="27" t="s">
        <v>43</v>
      </c>
      <c r="C39" s="569" t="s">
        <v>44</v>
      </c>
      <c r="D39" s="572" t="s">
        <v>45</v>
      </c>
      <c r="E39" s="27" t="s">
        <v>46</v>
      </c>
      <c r="F39" s="569" t="s">
        <v>47</v>
      </c>
      <c r="G39" s="572" t="s">
        <v>48</v>
      </c>
      <c r="H39" s="27" t="s">
        <v>49</v>
      </c>
      <c r="I39" s="569" t="s">
        <v>50</v>
      </c>
      <c r="J39" s="572" t="s">
        <v>51</v>
      </c>
    </row>
    <row r="40" spans="1:11" s="5" customFormat="1" x14ac:dyDescent="0.25">
      <c r="A40" s="318" t="s">
        <v>383</v>
      </c>
      <c r="C40" s="107">
        <f>'Budget_M Obra'!C41*Budget_Supuestos!$B$71</f>
        <v>4415.5999999999995</v>
      </c>
      <c r="D40" s="87"/>
      <c r="E40" s="8"/>
      <c r="F40" s="8"/>
      <c r="G40" s="8"/>
      <c r="H40" s="8"/>
      <c r="I40" s="8"/>
      <c r="J40" s="8"/>
    </row>
    <row r="41" spans="1:11" s="5" customFormat="1" x14ac:dyDescent="0.25">
      <c r="A41" s="318" t="s">
        <v>384</v>
      </c>
      <c r="C41" s="107">
        <f>'Budget_M Obra'!C42*Budget_Supuestos!$B$71</f>
        <v>495.29199999999992</v>
      </c>
      <c r="D41" s="87"/>
      <c r="E41" s="338"/>
      <c r="F41" s="8"/>
      <c r="G41" s="8"/>
      <c r="H41" s="8"/>
      <c r="I41" s="8"/>
      <c r="J41" s="8"/>
    </row>
    <row r="42" spans="1:11" s="5" customFormat="1" x14ac:dyDescent="0.25">
      <c r="A42" s="318" t="s">
        <v>385</v>
      </c>
      <c r="C42" s="107">
        <v>0</v>
      </c>
      <c r="D42" s="87"/>
      <c r="E42" s="8"/>
      <c r="F42" s="8"/>
      <c r="G42" s="8"/>
      <c r="H42" s="8"/>
      <c r="I42" s="8"/>
      <c r="J42" s="8"/>
    </row>
    <row r="43" spans="1:11" s="5" customFormat="1" x14ac:dyDescent="0.25">
      <c r="A43" s="318" t="s">
        <v>386</v>
      </c>
      <c r="C43" s="107">
        <f>'Budget_M Obra'!C44*Budget_Supuestos!$B$71</f>
        <v>577.21999999999991</v>
      </c>
      <c r="D43" s="87"/>
      <c r="E43" s="8"/>
      <c r="F43" s="8"/>
      <c r="G43" s="8"/>
      <c r="H43" s="8"/>
      <c r="I43" s="8"/>
      <c r="J43" s="8"/>
    </row>
    <row r="44" spans="1:11" s="5" customFormat="1" x14ac:dyDescent="0.25">
      <c r="A44" s="318" t="s">
        <v>210</v>
      </c>
      <c r="C44" s="107">
        <f>'Budget_M Obra'!C45*Budget_Supuestos!$B$71</f>
        <v>195.50999999999996</v>
      </c>
      <c r="D44" s="87"/>
      <c r="E44" s="8"/>
      <c r="F44" s="8"/>
      <c r="G44" s="8"/>
      <c r="H44" s="8"/>
      <c r="I44" s="8"/>
      <c r="J44" s="8"/>
    </row>
    <row r="45" spans="1:11" s="5" customFormat="1" ht="18.75" x14ac:dyDescent="0.3">
      <c r="A45" s="247" t="s">
        <v>388</v>
      </c>
      <c r="B45" s="248"/>
      <c r="C45" s="247">
        <f>SUM(C40:C44)</f>
        <v>5683.6220000000003</v>
      </c>
      <c r="D45" s="87"/>
      <c r="E45" s="8"/>
      <c r="F45" s="8"/>
      <c r="G45" s="8"/>
      <c r="H45" s="8"/>
      <c r="I45" s="8"/>
      <c r="J45" s="8"/>
    </row>
    <row r="46" spans="1:11" s="5" customFormat="1" x14ac:dyDescent="0.25">
      <c r="A46" s="125"/>
      <c r="B46" s="135"/>
      <c r="C46" s="8"/>
      <c r="D46" s="8"/>
      <c r="E46" s="8"/>
      <c r="F46" s="8"/>
      <c r="G46" s="8"/>
      <c r="H46" s="8"/>
      <c r="I46" s="8"/>
      <c r="J46" s="8"/>
    </row>
    <row r="47" spans="1:11" s="5" customFormat="1" x14ac:dyDescent="0.25">
      <c r="A47" s="176" t="s">
        <v>399</v>
      </c>
      <c r="B47" s="135"/>
      <c r="C47" s="8"/>
      <c r="D47" s="8"/>
      <c r="E47" s="8"/>
      <c r="F47" s="8"/>
      <c r="G47" s="8"/>
      <c r="H47" s="8"/>
      <c r="I47" s="8"/>
      <c r="J47" s="8"/>
    </row>
    <row r="48" spans="1:11" s="5" customFormat="1" x14ac:dyDescent="0.25">
      <c r="A48" s="24" t="s">
        <v>402</v>
      </c>
      <c r="B48" s="27" t="s">
        <v>43</v>
      </c>
      <c r="C48" s="28" t="s">
        <v>44</v>
      </c>
      <c r="D48" s="572" t="s">
        <v>45</v>
      </c>
      <c r="E48" s="27" t="s">
        <v>46</v>
      </c>
      <c r="F48" s="569" t="s">
        <v>47</v>
      </c>
      <c r="G48" s="572" t="s">
        <v>48</v>
      </c>
      <c r="H48" s="27" t="s">
        <v>49</v>
      </c>
      <c r="I48" s="569" t="s">
        <v>50</v>
      </c>
      <c r="J48" s="572" t="s">
        <v>51</v>
      </c>
    </row>
    <row r="49" spans="1:10" s="5" customFormat="1" x14ac:dyDescent="0.25">
      <c r="A49" s="318" t="s">
        <v>405</v>
      </c>
      <c r="B49" s="118"/>
      <c r="C49" s="199"/>
      <c r="D49" s="570">
        <f>'Budget_M Obra'!D50*Budget_Supuestos!$B$71</f>
        <v>3755.6539999999995</v>
      </c>
      <c r="E49" s="570">
        <f>'Budget_M Obra'!E50*Budget_Supuestos!$B$71</f>
        <v>3755.6539999999995</v>
      </c>
      <c r="F49" s="570">
        <f>'Budget_M Obra'!F50*Budget_Supuestos!$B$71</f>
        <v>2886.0999999999995</v>
      </c>
      <c r="G49" s="570">
        <f>'Budget_M Obra'!G50*Budget_Supuestos!$B$71</f>
        <v>2886.0999999999995</v>
      </c>
      <c r="H49" s="570">
        <f>'Budget_M Obra'!H50*Budget_Supuestos!$B$71</f>
        <v>2886.0999999999995</v>
      </c>
      <c r="I49" s="570">
        <f>'Budget_M Obra'!I50*Budget_Supuestos!$B$71</f>
        <v>2606.7999999999993</v>
      </c>
      <c r="J49" s="570">
        <f>'Budget_M Obra'!J50*Budget_Supuestos!$B$71</f>
        <v>2606.7999999999993</v>
      </c>
    </row>
    <row r="50" spans="1:10" s="315" customFormat="1" x14ac:dyDescent="0.25">
      <c r="A50" s="318" t="s">
        <v>646</v>
      </c>
      <c r="B50" s="118"/>
      <c r="C50" s="199"/>
      <c r="D50" s="570">
        <f>'Budget_M Obra'!D51*Budget_Supuestos!$B$71</f>
        <v>3.7239999999999993</v>
      </c>
      <c r="E50" s="570">
        <f>'Budget_M Obra'!E51*Budget_Supuestos!$B$71</f>
        <v>3.7239999999999993</v>
      </c>
      <c r="F50" s="570">
        <f>'Budget_M Obra'!F51*Budget_Supuestos!$B$71</f>
        <v>3.7239999999999993</v>
      </c>
      <c r="G50" s="570">
        <f>'Budget_M Obra'!G51*Budget_Supuestos!$B$71</f>
        <v>3.7239999999999993</v>
      </c>
      <c r="H50" s="570">
        <f>'Budget_M Obra'!H51*Budget_Supuestos!$B$71</f>
        <v>3.7239999999999993</v>
      </c>
      <c r="I50" s="570">
        <f>'Budget_M Obra'!I51*Budget_Supuestos!$B$71</f>
        <v>3.7239999999999993</v>
      </c>
      <c r="J50" s="570">
        <f>'Budget_M Obra'!J51*Budget_Supuestos!$B$71</f>
        <v>3.7239999999999993</v>
      </c>
    </row>
    <row r="51" spans="1:10" s="5" customFormat="1" x14ac:dyDescent="0.25">
      <c r="A51" s="318" t="s">
        <v>406</v>
      </c>
      <c r="B51" s="118"/>
      <c r="C51" s="199"/>
      <c r="D51" s="570">
        <f>'Budget_M Obra'!D52*Budget_Supuestos!$B$71</f>
        <v>535.32499999999993</v>
      </c>
      <c r="E51" s="570">
        <f>'Budget_M Obra'!E52*Budget_Supuestos!$B$71</f>
        <v>535.32499999999993</v>
      </c>
      <c r="F51" s="570">
        <f>'Budget_M Obra'!F52*Budget_Supuestos!$B$71</f>
        <v>512.04999999999984</v>
      </c>
      <c r="G51" s="570">
        <f>'Budget_M Obra'!G52*Budget_Supuestos!$B$71</f>
        <v>512.04999999999984</v>
      </c>
      <c r="H51" s="570">
        <f>'Budget_M Obra'!H52*Budget_Supuestos!$B$71</f>
        <v>512.04999999999984</v>
      </c>
      <c r="I51" s="570">
        <f>'Budget_M Obra'!I52*Budget_Supuestos!$B$71</f>
        <v>538.11799999999994</v>
      </c>
      <c r="J51" s="570">
        <f>'Budget_M Obra'!J52*Budget_Supuestos!$B$71</f>
        <v>538.11799999999994</v>
      </c>
    </row>
    <row r="52" spans="1:10" s="5" customFormat="1" x14ac:dyDescent="0.25">
      <c r="A52" s="318" t="s">
        <v>407</v>
      </c>
      <c r="B52" s="118"/>
      <c r="C52" s="199"/>
      <c r="D52" s="570">
        <f>'Budget_M Obra'!D53*Budget_Supuestos!$B$71</f>
        <v>0</v>
      </c>
      <c r="E52" s="570">
        <f>'Budget_M Obra'!E53*Budget_Supuestos!$B$71</f>
        <v>0</v>
      </c>
      <c r="F52" s="570">
        <f>'Budget_M Obra'!F53*Budget_Supuestos!$B$71</f>
        <v>0</v>
      </c>
      <c r="G52" s="570">
        <f>'Budget_M Obra'!G53*Budget_Supuestos!$B$71</f>
        <v>0</v>
      </c>
      <c r="H52" s="570">
        <f>'Budget_M Obra'!H53*Budget_Supuestos!$B$71</f>
        <v>0</v>
      </c>
      <c r="I52" s="570">
        <f>'Budget_M Obra'!I53*Budget_Supuestos!$B$71</f>
        <v>0</v>
      </c>
      <c r="J52" s="570">
        <f>'Budget_M Obra'!J53*Budget_Supuestos!$B$71</f>
        <v>0</v>
      </c>
    </row>
    <row r="53" spans="1:10" s="5" customFormat="1" x14ac:dyDescent="0.25">
      <c r="A53" s="318" t="s">
        <v>386</v>
      </c>
      <c r="B53" s="118"/>
      <c r="C53" s="199"/>
      <c r="D53" s="570">
        <f>'Budget_M Obra'!D54*Budget_Supuestos!$B$71</f>
        <v>316.53999999999991</v>
      </c>
      <c r="E53" s="570">
        <f>'Budget_M Obra'!E54*Budget_Supuestos!$B$71</f>
        <v>316.53999999999991</v>
      </c>
      <c r="F53" s="570">
        <f>'Budget_M Obra'!F54*Budget_Supuestos!$B$71</f>
        <v>316.53999999999991</v>
      </c>
      <c r="G53" s="570">
        <f>'Budget_M Obra'!G54*Budget_Supuestos!$B$71</f>
        <v>316.53999999999991</v>
      </c>
      <c r="H53" s="570">
        <f>'Budget_M Obra'!H54*Budget_Supuestos!$B$71</f>
        <v>316.53999999999991</v>
      </c>
      <c r="I53" s="570">
        <f>'Budget_M Obra'!I54*Budget_Supuestos!$B$71</f>
        <v>345.4009999999999</v>
      </c>
      <c r="J53" s="570">
        <f>'Budget_M Obra'!J54*Budget_Supuestos!$B$71</f>
        <v>345.4009999999999</v>
      </c>
    </row>
    <row r="54" spans="1:10" s="5" customFormat="1" x14ac:dyDescent="0.25">
      <c r="A54" s="318" t="s">
        <v>408</v>
      </c>
      <c r="B54" s="118"/>
      <c r="C54" s="199"/>
      <c r="D54" s="570">
        <f>'Budget_M Obra'!D55*Budget_Supuestos!$B$71</f>
        <v>372.39999999999992</v>
      </c>
      <c r="E54" s="570">
        <f>'Budget_M Obra'!E55*Budget_Supuestos!$B$71</f>
        <v>372.39999999999992</v>
      </c>
      <c r="F54" s="570">
        <f>'Budget_M Obra'!F55*Budget_Supuestos!$B$71</f>
        <v>232.74999999999994</v>
      </c>
      <c r="G54" s="570">
        <f>'Budget_M Obra'!G55*Budget_Supuestos!$B$71</f>
        <v>232.74999999999994</v>
      </c>
      <c r="H54" s="570">
        <f>'Budget_M Obra'!H55*Budget_Supuestos!$B$71</f>
        <v>232.74999999999994</v>
      </c>
      <c r="I54" s="570">
        <f>'Budget_M Obra'!I55*Budget_Supuestos!$B$71</f>
        <v>204.81999999999996</v>
      </c>
      <c r="J54" s="570">
        <f>'Budget_M Obra'!J55*Budget_Supuestos!$B$71</f>
        <v>204.81999999999996</v>
      </c>
    </row>
    <row r="55" spans="1:10" s="5" customFormat="1" x14ac:dyDescent="0.25">
      <c r="A55" s="318" t="s">
        <v>409</v>
      </c>
      <c r="B55" s="118"/>
      <c r="C55" s="199"/>
      <c r="D55" s="570">
        <f>'Budget_M Obra'!D56*Budget_Supuestos!$B$71</f>
        <v>1210.2999999999997</v>
      </c>
      <c r="E55" s="570">
        <f>'Budget_M Obra'!E56*Budget_Supuestos!$B$71</f>
        <v>1210.2999999999997</v>
      </c>
      <c r="F55" s="570">
        <f>'Budget_M Obra'!F56*Budget_Supuestos!$B$71</f>
        <v>1089.2699999999998</v>
      </c>
      <c r="G55" s="570">
        <f>'Budget_M Obra'!G56*Budget_Supuestos!$B$71</f>
        <v>1089.2699999999998</v>
      </c>
      <c r="H55" s="570">
        <f>'Budget_M Obra'!H56*Budget_Supuestos!$B$71</f>
        <v>1089.2699999999998</v>
      </c>
      <c r="I55" s="570">
        <f>'Budget_M Obra'!I56*Budget_Supuestos!$B$71</f>
        <v>1135.8199999999997</v>
      </c>
      <c r="J55" s="570">
        <f>'Budget_M Obra'!J56*Budget_Supuestos!$B$71</f>
        <v>1135.8199999999997</v>
      </c>
    </row>
    <row r="56" spans="1:10" s="5" customFormat="1" x14ac:dyDescent="0.25">
      <c r="A56" s="319" t="s">
        <v>410</v>
      </c>
      <c r="B56" s="118"/>
      <c r="C56" s="199"/>
      <c r="D56" s="570">
        <f>'Budget_M Obra'!D57*Budget_Supuestos!$B$71</f>
        <v>27.929999999999993</v>
      </c>
      <c r="E56" s="570">
        <f>'Budget_M Obra'!E57*Budget_Supuestos!$B$71</f>
        <v>27.929999999999993</v>
      </c>
      <c r="F56" s="570">
        <f>'Budget_M Obra'!F57*Budget_Supuestos!$B$71</f>
        <v>33.515999999999991</v>
      </c>
      <c r="G56" s="570">
        <f>'Budget_M Obra'!G57*Budget_Supuestos!$B$71</f>
        <v>33.515999999999991</v>
      </c>
      <c r="H56" s="570">
        <f>'Budget_M Obra'!H57*Budget_Supuestos!$B$71</f>
        <v>33.515999999999991</v>
      </c>
      <c r="I56" s="570">
        <f>'Budget_M Obra'!I57*Budget_Supuestos!$B$71</f>
        <v>33.515999999999991</v>
      </c>
      <c r="J56" s="570">
        <f>'Budget_M Obra'!J57*Budget_Supuestos!$B$71</f>
        <v>33.515999999999991</v>
      </c>
    </row>
    <row r="57" spans="1:10" s="5" customFormat="1" x14ac:dyDescent="0.25">
      <c r="A57" s="318" t="s">
        <v>411</v>
      </c>
      <c r="B57" s="118"/>
      <c r="C57" s="199"/>
      <c r="D57" s="570">
        <f>'Budget_M Obra'!D58*Budget_Supuestos!$B$71</f>
        <v>828.5899999999998</v>
      </c>
      <c r="E57" s="570">
        <f>'Budget_M Obra'!E58*Budget_Supuestos!$B$71</f>
        <v>828.5899999999998</v>
      </c>
      <c r="F57" s="570">
        <f>'Budget_M Obra'!F58*Budget_Supuestos!$B$71</f>
        <v>364.02099999999996</v>
      </c>
      <c r="G57" s="570">
        <f>'Budget_M Obra'!G58*Budget_Supuestos!$B$71</f>
        <v>364.02099999999996</v>
      </c>
      <c r="H57" s="570">
        <f>'Budget_M Obra'!H58*Budget_Supuestos!$B$71</f>
        <v>364.02099999999996</v>
      </c>
      <c r="I57" s="570">
        <f>'Budget_M Obra'!I58*Budget_Supuestos!$B$71</f>
        <v>422.67399999999992</v>
      </c>
      <c r="J57" s="570">
        <f>'Budget_M Obra'!J58*Budget_Supuestos!$B$71</f>
        <v>422.67399999999992</v>
      </c>
    </row>
    <row r="58" spans="1:10" s="5" customFormat="1" x14ac:dyDescent="0.25">
      <c r="A58" s="319" t="s">
        <v>210</v>
      </c>
      <c r="B58" s="118"/>
      <c r="C58" s="199"/>
      <c r="D58" s="570">
        <f>'Budget_M Obra'!D59*Budget_Supuestos!$B$71</f>
        <v>729.90399999999988</v>
      </c>
      <c r="E58" s="570">
        <f>'Budget_M Obra'!E59*Budget_Supuestos!$B$71</f>
        <v>729.90399999999988</v>
      </c>
      <c r="F58" s="570">
        <f>'Budget_M Obra'!F59*Budget_Supuestos!$B$71</f>
        <v>685.21599999999989</v>
      </c>
      <c r="G58" s="570">
        <f>'Budget_M Obra'!G59*Budget_Supuestos!$B$71</f>
        <v>685.21599999999989</v>
      </c>
      <c r="H58" s="570">
        <f>'Budget_M Obra'!H59*Budget_Supuestos!$B$71</f>
        <v>685.21599999999989</v>
      </c>
      <c r="I58" s="570">
        <f>'Budget_M Obra'!I59*Budget_Supuestos!$B$71</f>
        <v>736.42099999999982</v>
      </c>
      <c r="J58" s="570">
        <f>'Budget_M Obra'!J59*Budget_Supuestos!$B$71</f>
        <v>736.42099999999982</v>
      </c>
    </row>
    <row r="59" spans="1:10" s="5" customFormat="1" x14ac:dyDescent="0.25">
      <c r="A59" s="124" t="s">
        <v>412</v>
      </c>
      <c r="B59" s="118"/>
      <c r="C59" s="199"/>
      <c r="D59" s="571">
        <f t="shared" ref="D59:H59" si="0">SUM(D49:D58)</f>
        <v>7780.3669999999993</v>
      </c>
      <c r="E59" s="571">
        <f t="shared" ref="E59" si="1">SUM(E49:E58)</f>
        <v>7780.3669999999993</v>
      </c>
      <c r="F59" s="571">
        <f t="shared" si="0"/>
        <v>6123.1869999999981</v>
      </c>
      <c r="G59" s="571">
        <f t="shared" ref="G59" si="2">SUM(G49:G58)</f>
        <v>6123.1869999999981</v>
      </c>
      <c r="H59" s="571">
        <f t="shared" si="0"/>
        <v>6123.1869999999981</v>
      </c>
      <c r="I59" s="571">
        <f t="shared" ref="I59:J59" si="3">SUM(I49:I58)</f>
        <v>6027.2939999999981</v>
      </c>
      <c r="J59" s="571">
        <f t="shared" si="3"/>
        <v>6027.2939999999981</v>
      </c>
    </row>
    <row r="60" spans="1:10" s="5" customFormat="1" x14ac:dyDescent="0.25">
      <c r="A60" s="24" t="s">
        <v>420</v>
      </c>
      <c r="B60" s="27" t="s">
        <v>43</v>
      </c>
      <c r="C60" s="569" t="s">
        <v>44</v>
      </c>
      <c r="D60" s="572" t="s">
        <v>45</v>
      </c>
      <c r="E60" s="27" t="s">
        <v>46</v>
      </c>
      <c r="F60" s="569" t="s">
        <v>47</v>
      </c>
      <c r="G60" s="572" t="s">
        <v>48</v>
      </c>
      <c r="H60" s="27" t="s">
        <v>49</v>
      </c>
      <c r="I60" s="569" t="s">
        <v>50</v>
      </c>
      <c r="J60" s="572" t="s">
        <v>51</v>
      </c>
    </row>
    <row r="61" spans="1:10" s="5" customFormat="1" x14ac:dyDescent="0.25">
      <c r="A61" s="205" t="s">
        <v>39</v>
      </c>
      <c r="B61" s="118"/>
      <c r="C61" s="199"/>
      <c r="D61" s="570">
        <f>'Budget_M Obra'!D62*Budget_Supuestos!$B$74</f>
        <v>2000</v>
      </c>
      <c r="E61" s="570">
        <f>'Budget_M Obra'!E62*Budget_Supuestos!$B$74</f>
        <v>2000</v>
      </c>
      <c r="F61" s="570">
        <f>'Budget_M Obra'!F62*Budget_Supuestos!$B$74</f>
        <v>5200</v>
      </c>
      <c r="G61" s="570">
        <f>'Budget_M Obra'!G62*Budget_Supuestos!$B$74</f>
        <v>5200</v>
      </c>
      <c r="H61" s="570">
        <f>'Budget_M Obra'!H62*Budget_Supuestos!$B$74</f>
        <v>5200</v>
      </c>
      <c r="I61" s="570">
        <f>'Budget_M Obra'!I62*Budget_Supuestos!$B$74</f>
        <v>4240</v>
      </c>
      <c r="J61" s="570">
        <f>'Budget_M Obra'!J62*Budget_Supuestos!$B$74</f>
        <v>4240</v>
      </c>
    </row>
    <row r="62" spans="1:10" s="5" customFormat="1" ht="30.75" x14ac:dyDescent="0.25">
      <c r="A62" s="205" t="s">
        <v>421</v>
      </c>
      <c r="B62" s="118"/>
      <c r="C62" s="199"/>
      <c r="D62" s="570">
        <f>'Budget_M Obra'!D63*Budget_Supuestos!$B$71</f>
        <v>0</v>
      </c>
      <c r="E62" s="570">
        <f>'Budget_M Obra'!E63*Budget_Supuestos!$B$71</f>
        <v>0</v>
      </c>
      <c r="F62" s="570">
        <f>'Budget_M Obra'!F63*Budget_Supuestos!$B$71</f>
        <v>0</v>
      </c>
      <c r="G62" s="570">
        <f>'Budget_M Obra'!G63*Budget_Supuestos!$B$71</f>
        <v>0</v>
      </c>
      <c r="H62" s="570">
        <f>'Budget_M Obra'!H63*Budget_Supuestos!$B$71</f>
        <v>0</v>
      </c>
      <c r="I62" s="570">
        <f>'Budget_M Obra'!I63*Budget_Supuestos!$B$71</f>
        <v>0</v>
      </c>
      <c r="J62" s="570">
        <f>'Budget_M Obra'!J63*Budget_Supuestos!$B$71</f>
        <v>0</v>
      </c>
    </row>
    <row r="63" spans="1:10" s="5" customFormat="1" x14ac:dyDescent="0.25">
      <c r="A63" s="205" t="s">
        <v>210</v>
      </c>
      <c r="B63" s="118"/>
      <c r="C63" s="199"/>
      <c r="D63" s="570">
        <f>'Budget_M Obra'!D64*Budget_Supuestos!$B$71</f>
        <v>0</v>
      </c>
      <c r="E63" s="570">
        <f>'Budget_M Obra'!E64*Budget_Supuestos!$B$71</f>
        <v>0</v>
      </c>
      <c r="F63" s="570">
        <f>'Budget_M Obra'!F64*Budget_Supuestos!$B$71</f>
        <v>0</v>
      </c>
      <c r="G63" s="570">
        <f>'Budget_M Obra'!G64*Budget_Supuestos!$B$71</f>
        <v>0</v>
      </c>
      <c r="H63" s="570">
        <f>'Budget_M Obra'!H64*Budget_Supuestos!$B$71</f>
        <v>0</v>
      </c>
      <c r="I63" s="570">
        <f>'Budget_M Obra'!I64*Budget_Supuestos!$B$71</f>
        <v>0</v>
      </c>
      <c r="J63" s="570">
        <f>'Budget_M Obra'!J64*Budget_Supuestos!$B$71</f>
        <v>0</v>
      </c>
    </row>
    <row r="64" spans="1:10" s="5" customFormat="1" x14ac:dyDescent="0.25">
      <c r="A64" s="124" t="s">
        <v>422</v>
      </c>
      <c r="B64" s="118"/>
      <c r="C64" s="199"/>
      <c r="D64" s="571">
        <f>SUM(D61:D63)</f>
        <v>2000</v>
      </c>
      <c r="E64" s="571">
        <f t="shared" ref="E64:J64" si="4">SUM(E61:E63)</f>
        <v>2000</v>
      </c>
      <c r="F64" s="571">
        <f t="shared" si="4"/>
        <v>5200</v>
      </c>
      <c r="G64" s="571">
        <f t="shared" si="4"/>
        <v>5200</v>
      </c>
      <c r="H64" s="571">
        <f t="shared" si="4"/>
        <v>5200</v>
      </c>
      <c r="I64" s="571">
        <f t="shared" si="4"/>
        <v>4240</v>
      </c>
      <c r="J64" s="571">
        <f t="shared" si="4"/>
        <v>4240</v>
      </c>
    </row>
    <row r="65" spans="1:10" s="5" customFormat="1" x14ac:dyDescent="0.25">
      <c r="A65" s="24" t="s">
        <v>403</v>
      </c>
      <c r="B65" s="27" t="s">
        <v>43</v>
      </c>
      <c r="C65" s="569" t="s">
        <v>44</v>
      </c>
      <c r="D65" s="572" t="s">
        <v>45</v>
      </c>
      <c r="E65" s="27" t="s">
        <v>46</v>
      </c>
      <c r="F65" s="569" t="s">
        <v>47</v>
      </c>
      <c r="G65" s="572" t="s">
        <v>48</v>
      </c>
      <c r="H65" s="27" t="s">
        <v>49</v>
      </c>
      <c r="I65" s="569" t="s">
        <v>50</v>
      </c>
      <c r="J65" s="572" t="s">
        <v>51</v>
      </c>
    </row>
    <row r="66" spans="1:10" s="5" customFormat="1" x14ac:dyDescent="0.25">
      <c r="A66" s="206" t="s">
        <v>404</v>
      </c>
      <c r="B66" s="118"/>
      <c r="C66" s="199"/>
      <c r="D66" s="252"/>
      <c r="E66" s="252"/>
      <c r="F66" s="252"/>
      <c r="G66" s="252"/>
      <c r="H66" s="252"/>
      <c r="I66" s="252"/>
      <c r="J66" s="252"/>
    </row>
    <row r="67" spans="1:10" s="5" customFormat="1" x14ac:dyDescent="0.25">
      <c r="A67" s="207" t="s">
        <v>625</v>
      </c>
      <c r="B67" s="118"/>
      <c r="C67" s="199"/>
      <c r="D67" s="573">
        <f>'Budget_M Obra'!D68*Budget_Supuestos!$B$71</f>
        <v>279.29999999999995</v>
      </c>
      <c r="E67" s="573">
        <f>'Budget_M Obra'!E68*Budget_Supuestos!$B$71</f>
        <v>279.29999999999995</v>
      </c>
      <c r="F67" s="573">
        <f>'Budget_M Obra'!F68*Budget_Supuestos!$B$71</f>
        <v>605.14999999999986</v>
      </c>
      <c r="G67" s="573">
        <f>'Budget_M Obra'!G68*Budget_Supuestos!$B$71</f>
        <v>605.14999999999986</v>
      </c>
      <c r="H67" s="573">
        <f>'Budget_M Obra'!H68*Budget_Supuestos!$B$71</f>
        <v>605.14999999999986</v>
      </c>
      <c r="I67" s="573">
        <f>'Budget_M Obra'!I68*Budget_Supuestos!$B$71</f>
        <v>428.25999999999988</v>
      </c>
      <c r="J67" s="573">
        <f>'Budget_M Obra'!J68*Budget_Supuestos!$B$71</f>
        <v>428.25999999999988</v>
      </c>
    </row>
    <row r="68" spans="1:10" s="5" customFormat="1" x14ac:dyDescent="0.25">
      <c r="A68" s="207" t="s">
        <v>423</v>
      </c>
      <c r="B68" s="118"/>
      <c r="C68" s="199"/>
      <c r="D68" s="573">
        <f>'Budget_M Obra'!D69*Budget_Supuestos!$B$71</f>
        <v>279.29999999999995</v>
      </c>
      <c r="E68" s="573">
        <f>'Budget_M Obra'!E69*Budget_Supuestos!$B$71</f>
        <v>279.29999999999995</v>
      </c>
      <c r="F68" s="573">
        <f>'Budget_M Obra'!F69*Budget_Supuestos!$B$71</f>
        <v>558.59999999999991</v>
      </c>
      <c r="G68" s="573">
        <f>'Budget_M Obra'!G69*Budget_Supuestos!$B$71</f>
        <v>558.59999999999991</v>
      </c>
      <c r="H68" s="573">
        <f>'Budget_M Obra'!H69*Budget_Supuestos!$B$71</f>
        <v>558.59999999999991</v>
      </c>
      <c r="I68" s="573">
        <f>'Budget_M Obra'!I69*Budget_Supuestos!$B$71</f>
        <v>214.12999999999994</v>
      </c>
      <c r="J68" s="573">
        <f>'Budget_M Obra'!J69*Budget_Supuestos!$B$71</f>
        <v>214.12999999999994</v>
      </c>
    </row>
    <row r="69" spans="1:10" s="5" customFormat="1" x14ac:dyDescent="0.25">
      <c r="A69" s="124" t="s">
        <v>434</v>
      </c>
      <c r="B69" s="118"/>
      <c r="C69" s="199"/>
      <c r="D69" s="571">
        <f t="shared" ref="D69:J69" si="5">SUM(D67:D68)</f>
        <v>558.59999999999991</v>
      </c>
      <c r="E69" s="571">
        <f t="shared" si="5"/>
        <v>558.59999999999991</v>
      </c>
      <c r="F69" s="571">
        <f t="shared" si="5"/>
        <v>1163.7499999999998</v>
      </c>
      <c r="G69" s="571">
        <f t="shared" si="5"/>
        <v>1163.7499999999998</v>
      </c>
      <c r="H69" s="571">
        <f t="shared" si="5"/>
        <v>1163.7499999999998</v>
      </c>
      <c r="I69" s="571">
        <f t="shared" si="5"/>
        <v>642.38999999999987</v>
      </c>
      <c r="J69" s="571">
        <f t="shared" si="5"/>
        <v>642.38999999999987</v>
      </c>
    </row>
    <row r="70" spans="1:10" s="5" customFormat="1" x14ac:dyDescent="0.25">
      <c r="A70" s="208" t="s">
        <v>40</v>
      </c>
      <c r="B70" s="118"/>
      <c r="C70" s="199"/>
      <c r="D70" s="252"/>
      <c r="E70" s="252"/>
      <c r="F70" s="252"/>
      <c r="G70" s="252"/>
      <c r="H70" s="252"/>
      <c r="I70" s="252"/>
      <c r="J70" s="252"/>
    </row>
    <row r="71" spans="1:10" s="5" customFormat="1" x14ac:dyDescent="0.25">
      <c r="A71" s="207" t="s">
        <v>628</v>
      </c>
      <c r="B71" s="118"/>
      <c r="C71" s="199"/>
      <c r="D71" s="570">
        <f>'Budget_M Obra'!D71*Budget_Supuestos!$B$71</f>
        <v>111.71999999999997</v>
      </c>
      <c r="E71" s="570">
        <f>'Budget_M Obra'!E71*Budget_Supuestos!$B$71</f>
        <v>111.71999999999997</v>
      </c>
      <c r="F71" s="570">
        <f>'Budget_M Obra'!F71*Budget_Supuestos!$B$71</f>
        <v>198.30299999999994</v>
      </c>
      <c r="G71" s="570">
        <f>'Budget_M Obra'!G71*Budget_Supuestos!$B$71</f>
        <v>198.30299999999994</v>
      </c>
      <c r="H71" s="570">
        <f>'Budget_M Obra'!H71*Budget_Supuestos!$B$71</f>
        <v>198.30299999999994</v>
      </c>
      <c r="I71" s="570">
        <f>'Budget_M Obra'!I71*Budget_Supuestos!$B$71</f>
        <v>77.272999999999982</v>
      </c>
      <c r="J71" s="570">
        <f>'Budget_M Obra'!J71*Budget_Supuestos!$B$71</f>
        <v>77.272999999999982</v>
      </c>
    </row>
    <row r="72" spans="1:10" s="5" customFormat="1" x14ac:dyDescent="0.25">
      <c r="A72" s="207" t="s">
        <v>626</v>
      </c>
      <c r="B72" s="118"/>
      <c r="C72" s="199"/>
      <c r="D72" s="570">
        <f>'Budget_M Obra'!D72*Budget_Supuestos!$B$71</f>
        <v>167.57999999999996</v>
      </c>
      <c r="E72" s="570">
        <f>'Budget_M Obra'!E72*Budget_Supuestos!$B$71</f>
        <v>167.57999999999996</v>
      </c>
      <c r="F72" s="570">
        <f>'Budget_M Obra'!F72*Budget_Supuestos!$B$71</f>
        <v>446.87999999999988</v>
      </c>
      <c r="G72" s="570">
        <f>'Budget_M Obra'!G72*Budget_Supuestos!$B$71</f>
        <v>446.87999999999988</v>
      </c>
      <c r="H72" s="570">
        <f>'Budget_M Obra'!H72*Budget_Supuestos!$B$71</f>
        <v>446.87999999999988</v>
      </c>
      <c r="I72" s="570">
        <f>'Budget_M Obra'!I72*Budget_Supuestos!$B$71</f>
        <v>0</v>
      </c>
      <c r="J72" s="570">
        <f>'Budget_M Obra'!J72*Budget_Supuestos!$B$71</f>
        <v>0</v>
      </c>
    </row>
    <row r="73" spans="1:10" s="315" customFormat="1" x14ac:dyDescent="0.25">
      <c r="A73" s="207" t="s">
        <v>627</v>
      </c>
      <c r="B73" s="118"/>
      <c r="C73" s="199"/>
      <c r="D73" s="570">
        <f>'Budget_M Obra'!D73*Budget_Supuestos!$B$71</f>
        <v>93.09999999999998</v>
      </c>
      <c r="E73" s="570">
        <f>'Budget_M Obra'!E73*Budget_Supuestos!$B$71</f>
        <v>93.09999999999998</v>
      </c>
      <c r="F73" s="570">
        <f>'Budget_M Obra'!F73*Budget_Supuestos!$B$71</f>
        <v>214.12999999999994</v>
      </c>
      <c r="G73" s="570">
        <f>'Budget_M Obra'!G73*Budget_Supuestos!$B$71</f>
        <v>214.12999999999994</v>
      </c>
      <c r="H73" s="570">
        <f>'Budget_M Obra'!H73*Budget_Supuestos!$B$71</f>
        <v>214.12999999999994</v>
      </c>
      <c r="I73" s="570">
        <f>'Budget_M Obra'!I73*Budget_Supuestos!$B$71</f>
        <v>19.550999999999995</v>
      </c>
      <c r="J73" s="570">
        <f>'Budget_M Obra'!J73*Budget_Supuestos!$B$71</f>
        <v>19.550999999999995</v>
      </c>
    </row>
    <row r="74" spans="1:10" s="315" customFormat="1" x14ac:dyDescent="0.25">
      <c r="A74" s="207" t="s">
        <v>424</v>
      </c>
      <c r="B74" s="118"/>
      <c r="C74" s="199"/>
      <c r="D74" s="570">
        <f>'Budget_M Obra'!D74*Budget_Supuestos!$B$71</f>
        <v>26.067999999999998</v>
      </c>
      <c r="E74" s="570">
        <f>'Budget_M Obra'!E74*Budget_Supuestos!$B$71</f>
        <v>26.067999999999998</v>
      </c>
      <c r="F74" s="570">
        <f>'Budget_M Obra'!F74*Budget_Supuestos!$B$71</f>
        <v>40.032999999999994</v>
      </c>
      <c r="G74" s="570">
        <f>'Budget_M Obra'!G74*Budget_Supuestos!$B$71</f>
        <v>40.032999999999994</v>
      </c>
      <c r="H74" s="570">
        <f>'Budget_M Obra'!H74*Budget_Supuestos!$B$71</f>
        <v>40.032999999999994</v>
      </c>
      <c r="I74" s="570">
        <f>'Budget_M Obra'!I74*Budget_Supuestos!$B$71</f>
        <v>0</v>
      </c>
      <c r="J74" s="570">
        <f>'Budget_M Obra'!J74*Budget_Supuestos!$B$71</f>
        <v>0</v>
      </c>
    </row>
    <row r="75" spans="1:10" s="315" customFormat="1" x14ac:dyDescent="0.25">
      <c r="A75" s="207" t="s">
        <v>629</v>
      </c>
      <c r="B75" s="118"/>
      <c r="C75" s="199"/>
      <c r="D75" s="570">
        <f>'Budget_M Obra'!D75*Budget_Supuestos!$B$71</f>
        <v>176.88999999999996</v>
      </c>
      <c r="E75" s="570">
        <f>'Budget_M Obra'!E75*Budget_Supuestos!$B$71</f>
        <v>176.88999999999996</v>
      </c>
      <c r="F75" s="570">
        <f>'Budget_M Obra'!F75*Budget_Supuestos!$B$71</f>
        <v>279.29999999999995</v>
      </c>
      <c r="G75" s="570">
        <f>'Budget_M Obra'!G75*Budget_Supuestos!$B$71</f>
        <v>279.29999999999995</v>
      </c>
      <c r="H75" s="570">
        <f>'Budget_M Obra'!H75*Budget_Supuestos!$B$71</f>
        <v>279.29999999999995</v>
      </c>
      <c r="I75" s="570">
        <f>'Budget_M Obra'!I75*Budget_Supuestos!$B$71</f>
        <v>65.169999999999987</v>
      </c>
      <c r="J75" s="570">
        <f>'Budget_M Obra'!J75*Budget_Supuestos!$B$71</f>
        <v>65.169999999999987</v>
      </c>
    </row>
    <row r="76" spans="1:10" s="315" customFormat="1" x14ac:dyDescent="0.25">
      <c r="A76" s="207" t="s">
        <v>630</v>
      </c>
      <c r="B76" s="118"/>
      <c r="C76" s="199"/>
      <c r="D76" s="570">
        <f>'Budget_M Obra'!D76*Budget_Supuestos!$B$71</f>
        <v>9.3099999999999987</v>
      </c>
      <c r="E76" s="570">
        <f>'Budget_M Obra'!E76*Budget_Supuestos!$B$71</f>
        <v>9.3099999999999987</v>
      </c>
      <c r="F76" s="570">
        <f>'Budget_M Obra'!F76*Budget_Supuestos!$B$71</f>
        <v>9.3099999999999987</v>
      </c>
      <c r="G76" s="570">
        <f>'Budget_M Obra'!G76*Budget_Supuestos!$B$71</f>
        <v>9.3099999999999987</v>
      </c>
      <c r="H76" s="570">
        <f>'Budget_M Obra'!H76*Budget_Supuestos!$B$71</f>
        <v>9.3099999999999987</v>
      </c>
      <c r="I76" s="570">
        <f>'Budget_M Obra'!I76*Budget_Supuestos!$B$71</f>
        <v>0</v>
      </c>
      <c r="J76" s="570">
        <f>'Budget_M Obra'!J76*Budget_Supuestos!$B$71</f>
        <v>0</v>
      </c>
    </row>
    <row r="77" spans="1:10" s="315" customFormat="1" x14ac:dyDescent="0.25">
      <c r="A77" s="207" t="s">
        <v>210</v>
      </c>
      <c r="B77" s="118"/>
      <c r="C77" s="199"/>
      <c r="D77" s="570">
        <f>'Budget_M Obra'!D77*Budget_Supuestos!$B$71</f>
        <v>0</v>
      </c>
      <c r="E77" s="570">
        <f>'Budget_M Obra'!E77*Budget_Supuestos!$B$71</f>
        <v>0</v>
      </c>
      <c r="F77" s="570">
        <f>'Budget_M Obra'!F77*Budget_Supuestos!$B$71</f>
        <v>0</v>
      </c>
      <c r="G77" s="570">
        <f>'Budget_M Obra'!G77*Budget_Supuestos!$B$71</f>
        <v>0</v>
      </c>
      <c r="H77" s="570">
        <f>'Budget_M Obra'!H77*Budget_Supuestos!$B$71</f>
        <v>0</v>
      </c>
      <c r="I77" s="570">
        <f>'Budget_M Obra'!I77*Budget_Supuestos!$B$71</f>
        <v>139.64999999999998</v>
      </c>
      <c r="J77" s="570">
        <f>'Budget_M Obra'!J77*Budget_Supuestos!$B$71</f>
        <v>139.64999999999998</v>
      </c>
    </row>
    <row r="78" spans="1:10" s="5" customFormat="1" x14ac:dyDescent="0.25">
      <c r="A78" s="124" t="s">
        <v>433</v>
      </c>
      <c r="B78" s="118"/>
      <c r="C78" s="199"/>
      <c r="D78" s="571">
        <f t="shared" ref="D78:J78" si="6">SUM(D71:D77)</f>
        <v>584.66799999999978</v>
      </c>
      <c r="E78" s="571">
        <f t="shared" si="6"/>
        <v>584.66799999999978</v>
      </c>
      <c r="F78" s="571">
        <f t="shared" si="6"/>
        <v>1187.9559999999997</v>
      </c>
      <c r="G78" s="571">
        <f t="shared" si="6"/>
        <v>1187.9559999999997</v>
      </c>
      <c r="H78" s="571">
        <f t="shared" si="6"/>
        <v>1187.9559999999997</v>
      </c>
      <c r="I78" s="571">
        <f t="shared" si="6"/>
        <v>301.64399999999995</v>
      </c>
      <c r="J78" s="571">
        <f t="shared" si="6"/>
        <v>301.64399999999995</v>
      </c>
    </row>
    <row r="79" spans="1:10" s="5" customFormat="1" x14ac:dyDescent="0.25">
      <c r="A79" s="24" t="s">
        <v>425</v>
      </c>
      <c r="B79" s="27" t="s">
        <v>43</v>
      </c>
      <c r="C79" s="569" t="s">
        <v>44</v>
      </c>
      <c r="D79" s="572" t="s">
        <v>45</v>
      </c>
      <c r="E79" s="27" t="s">
        <v>46</v>
      </c>
      <c r="F79" s="569" t="s">
        <v>47</v>
      </c>
      <c r="G79" s="572" t="s">
        <v>48</v>
      </c>
      <c r="H79" s="27" t="s">
        <v>49</v>
      </c>
      <c r="I79" s="569" t="s">
        <v>50</v>
      </c>
      <c r="J79" s="572" t="s">
        <v>51</v>
      </c>
    </row>
    <row r="80" spans="1:10" s="5" customFormat="1" x14ac:dyDescent="0.25">
      <c r="A80" s="16"/>
      <c r="B80" s="118"/>
      <c r="C80" s="199"/>
      <c r="D80" s="574">
        <f>D69+D78</f>
        <v>1143.2679999999996</v>
      </c>
      <c r="E80" s="574">
        <f t="shared" ref="E80:J80" si="7">E69+E78</f>
        <v>1143.2679999999996</v>
      </c>
      <c r="F80" s="574">
        <f t="shared" si="7"/>
        <v>2351.7059999999992</v>
      </c>
      <c r="G80" s="574">
        <f t="shared" si="7"/>
        <v>2351.7059999999992</v>
      </c>
      <c r="H80" s="574">
        <f t="shared" si="7"/>
        <v>2351.7059999999992</v>
      </c>
      <c r="I80" s="574">
        <f t="shared" si="7"/>
        <v>944.03399999999988</v>
      </c>
      <c r="J80" s="574">
        <f t="shared" si="7"/>
        <v>944.03399999999988</v>
      </c>
    </row>
    <row r="81" spans="1:10" s="5" customFormat="1" x14ac:dyDescent="0.25">
      <c r="A81" s="16"/>
      <c r="B81" s="118"/>
      <c r="C81" s="199"/>
      <c r="D81" s="199"/>
      <c r="E81" s="199"/>
      <c r="F81" s="199"/>
      <c r="G81" s="199"/>
      <c r="H81" s="199"/>
      <c r="I81" s="199"/>
      <c r="J81" s="199"/>
    </row>
    <row r="83" spans="1:10" x14ac:dyDescent="0.25">
      <c r="A83" s="86" t="s">
        <v>125</v>
      </c>
      <c r="B83" s="27" t="s">
        <v>43</v>
      </c>
      <c r="C83" s="569" t="s">
        <v>44</v>
      </c>
      <c r="D83" s="572" t="s">
        <v>45</v>
      </c>
      <c r="E83" s="27" t="s">
        <v>46</v>
      </c>
      <c r="F83" s="569" t="s">
        <v>47</v>
      </c>
      <c r="G83" s="572" t="s">
        <v>48</v>
      </c>
      <c r="H83" s="27" t="s">
        <v>49</v>
      </c>
      <c r="I83" s="569" t="s">
        <v>50</v>
      </c>
      <c r="J83" s="572" t="s">
        <v>51</v>
      </c>
    </row>
    <row r="84" spans="1:10" s="314" customFormat="1" x14ac:dyDescent="0.25">
      <c r="A84" s="86"/>
      <c r="B84" s="29"/>
      <c r="C84" s="29"/>
      <c r="D84" s="29"/>
      <c r="E84" s="29"/>
      <c r="F84" s="29"/>
      <c r="G84" s="29"/>
      <c r="H84" s="29"/>
      <c r="I84" s="29"/>
      <c r="J84" s="29"/>
    </row>
    <row r="85" spans="1:10" ht="31.5" x14ac:dyDescent="0.25">
      <c r="A85" s="85" t="s">
        <v>126</v>
      </c>
      <c r="B85" s="137">
        <f>'Budget_M Obra'!B87*Budget_Supuestos!$B$71</f>
        <v>499.94699999999989</v>
      </c>
      <c r="C85" s="137">
        <f>'Budget_M Obra'!C87*Budget_Supuestos!$B$71</f>
        <v>499.94699999999989</v>
      </c>
      <c r="D85" s="137">
        <f>'Budget_M Obra'!D87*Budget_Supuestos!$B$71</f>
        <v>499.94699999999989</v>
      </c>
      <c r="E85" s="137">
        <f>'Budget_M Obra'!E87*Budget_Supuestos!$B$71</f>
        <v>499.94699999999989</v>
      </c>
      <c r="F85" s="137">
        <f>'Budget_M Obra'!F87*Budget_Supuestos!$B$71</f>
        <v>499.94699999999989</v>
      </c>
      <c r="G85" s="137">
        <f>'Budget_M Obra'!G87*Budget_Supuestos!$B$71</f>
        <v>499.94699999999989</v>
      </c>
      <c r="H85" s="137">
        <f>'Budget_M Obra'!H87*Budget_Supuestos!$B$71</f>
        <v>499.94699999999989</v>
      </c>
      <c r="I85" s="137">
        <f>'Budget_M Obra'!I87*Budget_Supuestos!$B$71</f>
        <v>499.94699999999989</v>
      </c>
      <c r="J85" s="137">
        <f>'Budget_M Obra'!J87*Budget_Supuestos!$B$71</f>
        <v>499.94699999999989</v>
      </c>
    </row>
    <row r="86" spans="1:10" ht="47.25" x14ac:dyDescent="0.25">
      <c r="A86" s="85" t="s">
        <v>585</v>
      </c>
      <c r="B86" s="137">
        <f>'Budget_M Obra'!B85*Budget_Supuestos!$B$71</f>
        <v>1303.3999999999996</v>
      </c>
      <c r="C86" s="137">
        <f>'Budget_M Obra'!C85*Budget_Supuestos!$B$71</f>
        <v>1303.3999999999996</v>
      </c>
      <c r="D86" s="137">
        <f>'Budget_M Obra'!D85*Budget_Supuestos!$B$71</f>
        <v>1303.3999999999996</v>
      </c>
      <c r="E86" s="137">
        <f>'Budget_M Obra'!E85*Budget_Supuestos!$B$71</f>
        <v>1303.3999999999996</v>
      </c>
      <c r="F86" s="137">
        <f>'Budget_M Obra'!F85*Budget_Supuestos!$B$71</f>
        <v>1303.3999999999996</v>
      </c>
      <c r="G86" s="137">
        <f>'Budget_M Obra'!G85*Budget_Supuestos!$B$71</f>
        <v>1303.3999999999996</v>
      </c>
      <c r="H86" s="137">
        <f>'Budget_M Obra'!H85*Budget_Supuestos!$B$71</f>
        <v>1303.3999999999996</v>
      </c>
      <c r="I86" s="137">
        <f>'Budget_M Obra'!I85*Budget_Supuestos!$B$71</f>
        <v>1303.3999999999996</v>
      </c>
      <c r="J86" s="137">
        <f>'Budget_M Obra'!J85*Budget_Supuestos!$B$71</f>
        <v>1303.3999999999996</v>
      </c>
    </row>
    <row r="87" spans="1:10" ht="31.5" x14ac:dyDescent="0.25">
      <c r="A87" s="85" t="s">
        <v>586</v>
      </c>
      <c r="B87" s="137">
        <f>'Budget_M Obra'!B89*Budget_Supuestos!$B$71</f>
        <v>130.33999999999997</v>
      </c>
      <c r="C87" s="137">
        <f>'Budget_M Obra'!C89*Budget_Supuestos!$B$71</f>
        <v>130.33999999999997</v>
      </c>
      <c r="D87" s="137">
        <f>'Budget_M Obra'!D89*Budget_Supuestos!$B$71</f>
        <v>130.33999999999997</v>
      </c>
      <c r="E87" s="137">
        <f>'Budget_M Obra'!E89*Budget_Supuestos!$B$71</f>
        <v>130.33999999999997</v>
      </c>
      <c r="F87" s="137">
        <f>'Budget_M Obra'!F89*Budget_Supuestos!$B$71</f>
        <v>130.33999999999997</v>
      </c>
      <c r="G87" s="137">
        <f>'Budget_M Obra'!G89*Budget_Supuestos!$B$71</f>
        <v>130.33999999999997</v>
      </c>
      <c r="H87" s="137">
        <f>'Budget_M Obra'!H89*Budget_Supuestos!$B$71</f>
        <v>130.33999999999997</v>
      </c>
      <c r="I87" s="137">
        <f>'Budget_M Obra'!I89*Budget_Supuestos!$B$71</f>
        <v>130.33999999999997</v>
      </c>
      <c r="J87" s="137">
        <f>'Budget_M Obra'!J89*Budget_Supuestos!$B$71</f>
        <v>130.33999999999997</v>
      </c>
    </row>
    <row r="88" spans="1:10" ht="47.25" x14ac:dyDescent="0.25">
      <c r="A88" s="85" t="s">
        <v>587</v>
      </c>
      <c r="B88" s="137">
        <f>'Budget_M Obra'!B91</f>
        <v>899</v>
      </c>
      <c r="C88" s="137">
        <f>'Budget_M Obra'!C91</f>
        <v>899</v>
      </c>
      <c r="D88" s="137">
        <f>'Budget_M Obra'!D91</f>
        <v>899</v>
      </c>
      <c r="E88" s="137">
        <f>'Budget_M Obra'!E91</f>
        <v>899</v>
      </c>
      <c r="F88" s="137">
        <f>'Budget_M Obra'!F91</f>
        <v>899</v>
      </c>
      <c r="G88" s="137">
        <f>'Budget_M Obra'!G91</f>
        <v>899</v>
      </c>
      <c r="H88" s="137">
        <f>'Budget_M Obra'!H91</f>
        <v>899</v>
      </c>
      <c r="I88" s="137">
        <f>'Budget_M Obra'!I91</f>
        <v>899</v>
      </c>
      <c r="J88" s="137">
        <f>'Budget_M Obra'!J91</f>
        <v>899</v>
      </c>
    </row>
    <row r="89" spans="1:10" x14ac:dyDescent="0.25">
      <c r="A89" s="311" t="s">
        <v>635</v>
      </c>
      <c r="B89">
        <f>SUM(B85:B88)</f>
        <v>2832.6869999999994</v>
      </c>
      <c r="C89" s="314">
        <f t="shared" ref="C89:J89" si="8">SUM(C85:C88)</f>
        <v>2832.6869999999994</v>
      </c>
      <c r="D89" s="314">
        <f t="shared" si="8"/>
        <v>2832.6869999999994</v>
      </c>
      <c r="E89" s="314">
        <f t="shared" si="8"/>
        <v>2832.6869999999994</v>
      </c>
      <c r="F89" s="314">
        <f t="shared" si="8"/>
        <v>2832.6869999999994</v>
      </c>
      <c r="G89" s="314">
        <f t="shared" si="8"/>
        <v>2832.6869999999994</v>
      </c>
      <c r="H89" s="314">
        <f t="shared" si="8"/>
        <v>2832.6869999999994</v>
      </c>
      <c r="I89" s="314">
        <f t="shared" si="8"/>
        <v>2832.6869999999994</v>
      </c>
      <c r="J89" s="314">
        <f t="shared" si="8"/>
        <v>2832.6869999999994</v>
      </c>
    </row>
  </sheetData>
  <phoneticPr fontId="16" type="noConversion"/>
  <pageMargins left="0.75" right="0.75" top="1" bottom="1" header="0.5" footer="0.5"/>
  <pageSetup scale="5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A1:XFD97"/>
  <sheetViews>
    <sheetView tabSelected="1" zoomScale="64" zoomScaleNormal="64" zoomScalePageLayoutView="64" workbookViewId="0">
      <selection activeCell="K44" sqref="K44"/>
    </sheetView>
  </sheetViews>
  <sheetFormatPr defaultColWidth="0" defaultRowHeight="15.75" x14ac:dyDescent="0.25"/>
  <cols>
    <col min="1" max="1" width="48.125" customWidth="1"/>
    <col min="2" max="2" width="14" customWidth="1"/>
    <col min="3" max="3" width="23.5" customWidth="1"/>
    <col min="4" max="5" width="11" customWidth="1"/>
    <col min="6" max="6" width="16.875" customWidth="1"/>
    <col min="7" max="13" width="11" customWidth="1"/>
  </cols>
  <sheetData>
    <row r="1" spans="1:12" x14ac:dyDescent="0.25">
      <c r="A1" s="134" t="s">
        <v>358</v>
      </c>
      <c r="B1" s="389"/>
      <c r="C1" s="73"/>
    </row>
    <row r="2" spans="1:12" s="5" customFormat="1" x14ac:dyDescent="0.25">
      <c r="A2" s="94" t="s">
        <v>43</v>
      </c>
      <c r="B2" s="8"/>
    </row>
    <row r="3" spans="1:12" ht="18.75" x14ac:dyDescent="0.3">
      <c r="A3" s="171" t="s">
        <v>337</v>
      </c>
      <c r="B3" s="6" t="s">
        <v>18</v>
      </c>
      <c r="C3" s="3" t="s">
        <v>66</v>
      </c>
      <c r="D3" s="60" t="s">
        <v>503</v>
      </c>
      <c r="E3" s="60"/>
    </row>
    <row r="4" spans="1:12" x14ac:dyDescent="0.25">
      <c r="A4" s="170" t="s">
        <v>376</v>
      </c>
      <c r="B4" s="348">
        <f>'Budget_Valor de M Obra'!$B$11</f>
        <v>1579.926654444444</v>
      </c>
    </row>
    <row r="5" spans="1:12" x14ac:dyDescent="0.25">
      <c r="A5" s="191" t="s">
        <v>372</v>
      </c>
      <c r="B5" s="476"/>
    </row>
    <row r="6" spans="1:12" x14ac:dyDescent="0.25">
      <c r="A6" s="13" t="str">
        <f>Budget_Supuestos!A232</f>
        <v>Semilla</v>
      </c>
      <c r="B6" s="274">
        <f>Budget_Supuestos!B232</f>
        <v>487</v>
      </c>
      <c r="C6" s="5" t="s">
        <v>505</v>
      </c>
    </row>
    <row r="7" spans="1:12" x14ac:dyDescent="0.25">
      <c r="A7" s="13" t="str">
        <f>Budget_Supuestos!A233</f>
        <v>Germinador/Marco semillero</v>
      </c>
      <c r="B7" s="274">
        <f>Budget_Supuestos!B233</f>
        <v>430</v>
      </c>
      <c r="C7" t="s">
        <v>70</v>
      </c>
      <c r="D7" t="s">
        <v>506</v>
      </c>
      <c r="H7" s="218">
        <f>'Budget_Valor de M Obra'!B8+'Budget_Valor de M Obra'!B9</f>
        <v>1196.1281111111107</v>
      </c>
      <c r="L7">
        <f>H7</f>
        <v>1196.1281111111107</v>
      </c>
    </row>
    <row r="8" spans="1:12" x14ac:dyDescent="0.25">
      <c r="A8" s="13" t="str">
        <f>Budget_Supuestos!A234</f>
        <v>Sustrato de arena</v>
      </c>
      <c r="B8" s="274">
        <f>Budget_Supuestos!B234</f>
        <v>630</v>
      </c>
      <c r="C8" s="8" t="s">
        <v>69</v>
      </c>
      <c r="D8" t="s">
        <v>507</v>
      </c>
      <c r="H8">
        <f>B7+B8+B9+B10+B11+B6</f>
        <v>1697</v>
      </c>
      <c r="L8">
        <f>H8-B6</f>
        <v>1210</v>
      </c>
    </row>
    <row r="9" spans="1:12" x14ac:dyDescent="0.25">
      <c r="A9" s="13" t="str">
        <f>Budget_Supuestos!A235</f>
        <v>Sulfocalcio</v>
      </c>
      <c r="B9" s="274">
        <f>Budget_Supuestos!B235</f>
        <v>0</v>
      </c>
      <c r="C9" t="s">
        <v>67</v>
      </c>
      <c r="H9" s="128">
        <f>SUM(H7:H8)</f>
        <v>2893.1281111111107</v>
      </c>
      <c r="L9">
        <f>SUM(L7:L8)</f>
        <v>2406.1281111111107</v>
      </c>
    </row>
    <row r="10" spans="1:12" x14ac:dyDescent="0.25">
      <c r="A10" s="13" t="str">
        <f>Budget_Supuestos!A236</f>
        <v>Cal</v>
      </c>
      <c r="B10" s="274">
        <f>Budget_Supuestos!B236</f>
        <v>70</v>
      </c>
      <c r="H10" s="347"/>
      <c r="I10" s="347"/>
      <c r="J10" s="10">
        <v>1</v>
      </c>
      <c r="K10" s="10"/>
      <c r="L10" s="10">
        <v>1</v>
      </c>
    </row>
    <row r="11" spans="1:12" x14ac:dyDescent="0.25">
      <c r="A11" s="13" t="str">
        <f>Budget_Supuestos!A237</f>
        <v>Plastico</v>
      </c>
      <c r="B11" s="274">
        <f>Budget_Supuestos!B237</f>
        <v>80</v>
      </c>
    </row>
    <row r="12" spans="1:12" x14ac:dyDescent="0.25">
      <c r="A12" s="13" t="str">
        <f>Budget_Supuestos!A238</f>
        <v>Otros</v>
      </c>
      <c r="B12" s="274">
        <f>Budget_Supuestos!B238</f>
        <v>1510</v>
      </c>
      <c r="C12" s="347"/>
      <c r="D12" s="347"/>
      <c r="E12" s="347"/>
      <c r="F12" s="347"/>
      <c r="G12" s="347"/>
      <c r="H12" s="347"/>
    </row>
    <row r="13" spans="1:12" x14ac:dyDescent="0.25">
      <c r="A13" s="190" t="s">
        <v>371</v>
      </c>
      <c r="B13" s="477">
        <f>SUM(B6:B12)</f>
        <v>3207</v>
      </c>
      <c r="C13" s="347"/>
      <c r="D13" s="10" t="s">
        <v>502</v>
      </c>
      <c r="E13" s="10"/>
      <c r="F13" s="10"/>
      <c r="G13" s="10"/>
      <c r="H13" s="128">
        <v>0</v>
      </c>
    </row>
    <row r="14" spans="1:12" x14ac:dyDescent="0.25">
      <c r="A14" s="190" t="s">
        <v>489</v>
      </c>
      <c r="B14" s="477">
        <f>F80</f>
        <v>365.94</v>
      </c>
      <c r="C14" s="347"/>
      <c r="D14" s="10"/>
      <c r="E14" s="10"/>
      <c r="F14" s="10"/>
      <c r="G14" s="10"/>
      <c r="H14" s="10"/>
    </row>
    <row r="15" spans="1:12" ht="18.75" x14ac:dyDescent="0.3">
      <c r="A15" s="172" t="s">
        <v>370</v>
      </c>
      <c r="B15" s="477">
        <f>B13+B4+B14</f>
        <v>5152.8666544444432</v>
      </c>
      <c r="C15" s="347"/>
      <c r="D15" s="347"/>
      <c r="E15" s="347"/>
      <c r="F15" s="347"/>
      <c r="G15" s="347"/>
      <c r="H15" s="347"/>
    </row>
    <row r="16" spans="1:12" ht="18.75" x14ac:dyDescent="0.3">
      <c r="A16" s="171" t="s">
        <v>338</v>
      </c>
      <c r="B16" s="477"/>
    </row>
    <row r="17" spans="1:12" x14ac:dyDescent="0.25">
      <c r="A17" s="170" t="s">
        <v>377</v>
      </c>
      <c r="B17" s="476">
        <f>'Budget_Valor de M Obra'!$B$23</f>
        <v>8450.2670577777753</v>
      </c>
    </row>
    <row r="18" spans="1:12" x14ac:dyDescent="0.25">
      <c r="A18" s="191" t="s">
        <v>373</v>
      </c>
      <c r="B18" s="477"/>
    </row>
    <row r="19" spans="1:12" x14ac:dyDescent="0.25">
      <c r="A19" s="192" t="str">
        <f>Budget_Supuestos!A241</f>
        <v>Abono orgánico (Ej: Bocachi, otros)</v>
      </c>
      <c r="B19" s="478">
        <f>Budget_Supuestos!B241</f>
        <v>2228</v>
      </c>
      <c r="H19" s="10"/>
      <c r="I19" s="10"/>
      <c r="J19" s="10"/>
      <c r="K19" s="10"/>
      <c r="L19" s="10"/>
    </row>
    <row r="20" spans="1:12" x14ac:dyDescent="0.25">
      <c r="A20" s="13" t="str">
        <f>Budget_Supuestos!A242</f>
        <v>Bolsitas de plastico</v>
      </c>
      <c r="B20" s="478">
        <f>Budget_Supuestos!B242</f>
        <v>979.7</v>
      </c>
      <c r="C20" t="s">
        <v>68</v>
      </c>
      <c r="D20" t="s">
        <v>508</v>
      </c>
      <c r="H20" s="10">
        <f>'Budget_Valor de M Obra'!B13</f>
        <v>894.89999999999975</v>
      </c>
      <c r="I20" s="10"/>
      <c r="J20" s="10"/>
      <c r="K20" s="10"/>
      <c r="L20" s="10">
        <f>H20</f>
        <v>894.89999999999975</v>
      </c>
    </row>
    <row r="21" spans="1:12" x14ac:dyDescent="0.25">
      <c r="A21" s="193" t="str">
        <f>Budget_Supuestos!A243</f>
        <v>Saran - Polisombra - Malla rache</v>
      </c>
      <c r="B21" s="274">
        <f>Budget_Supuestos!B243</f>
        <v>1815</v>
      </c>
      <c r="C21" t="s">
        <v>72</v>
      </c>
      <c r="D21" t="s">
        <v>509</v>
      </c>
      <c r="H21" s="10">
        <f>B21+B22+B23+B24+B25+B19+B20</f>
        <v>6757.95</v>
      </c>
      <c r="I21" s="10"/>
      <c r="J21" s="10"/>
      <c r="K21" s="10"/>
      <c r="L21" s="10">
        <f>H21-B19-B20</f>
        <v>3550.25</v>
      </c>
    </row>
    <row r="22" spans="1:12" x14ac:dyDescent="0.25">
      <c r="A22" s="13" t="str">
        <f>Budget_Supuestos!A244</f>
        <v>Postes de madera</v>
      </c>
      <c r="B22" s="274">
        <f>Budget_Supuestos!B244</f>
        <v>391</v>
      </c>
      <c r="C22" t="s">
        <v>73</v>
      </c>
      <c r="H22" s="10">
        <f>SUM(H20:H21)</f>
        <v>7652.8499999999995</v>
      </c>
      <c r="I22" s="10"/>
      <c r="J22" s="10"/>
      <c r="K22" s="10"/>
      <c r="L22" s="10">
        <f>SUM(L20:L21)</f>
        <v>4445.1499999999996</v>
      </c>
    </row>
    <row r="23" spans="1:12" x14ac:dyDescent="0.25">
      <c r="A23" s="193" t="str">
        <f>Budget_Supuestos!A245</f>
        <v>Alambre de amarre</v>
      </c>
      <c r="B23" s="274">
        <f>Budget_Supuestos!B245</f>
        <v>240</v>
      </c>
      <c r="H23" s="10" t="s">
        <v>101</v>
      </c>
      <c r="I23" s="10"/>
      <c r="J23" s="10"/>
      <c r="K23" s="10"/>
      <c r="L23" s="10" t="s">
        <v>101</v>
      </c>
    </row>
    <row r="24" spans="1:12" x14ac:dyDescent="0.25">
      <c r="A24" s="164" t="str">
        <f>Budget_Supuestos!A246</f>
        <v>Malla Ciclonica</v>
      </c>
      <c r="B24" s="274">
        <f>Budget_Supuestos!B246</f>
        <v>1066</v>
      </c>
      <c r="H24" s="10"/>
      <c r="I24" s="10"/>
      <c r="J24" s="10"/>
      <c r="K24" s="10"/>
      <c r="L24" s="10"/>
    </row>
    <row r="25" spans="1:12" x14ac:dyDescent="0.25">
      <c r="A25" s="164" t="str">
        <f>Budget_Supuestos!A247</f>
        <v>Grapas</v>
      </c>
      <c r="B25" s="274">
        <f>Budget_Supuestos!B247</f>
        <v>38.25</v>
      </c>
      <c r="D25" s="347"/>
      <c r="E25" s="347"/>
      <c r="F25" s="347"/>
      <c r="G25" s="347"/>
      <c r="H25" s="347"/>
    </row>
    <row r="26" spans="1:12" x14ac:dyDescent="0.25">
      <c r="A26" s="164" t="str">
        <f>Budget_Supuestos!A248</f>
        <v>Tierra para almacigos</v>
      </c>
      <c r="B26" s="274">
        <f>Budget_Supuestos!B248</f>
        <v>3436</v>
      </c>
      <c r="C26" t="s">
        <v>71</v>
      </c>
      <c r="D26" s="228" t="s">
        <v>504</v>
      </c>
      <c r="E26" s="10"/>
      <c r="F26" s="10"/>
      <c r="G26" s="10"/>
      <c r="H26" s="621" t="s">
        <v>101</v>
      </c>
    </row>
    <row r="27" spans="1:12" x14ac:dyDescent="0.25">
      <c r="A27" s="192" t="str">
        <f>Budget_Supuestos!A249</f>
        <v>Biofertilizantes líquidos (para foliar en el vivero)</v>
      </c>
      <c r="B27" s="274">
        <f>Budget_Supuestos!B249</f>
        <v>482.5</v>
      </c>
    </row>
    <row r="28" spans="1:12" x14ac:dyDescent="0.25">
      <c r="A28" s="194" t="str">
        <f>Budget_Supuestos!A250</f>
        <v>Agroquímicos (en el vivero)</v>
      </c>
      <c r="B28" s="274">
        <f>Budget_Supuestos!B250</f>
        <v>0</v>
      </c>
    </row>
    <row r="29" spans="1:12" x14ac:dyDescent="0.25">
      <c r="A29" s="194" t="str">
        <f>Budget_Supuestos!A251</f>
        <v>Fungicida</v>
      </c>
      <c r="B29" s="274">
        <f>Budget_Supuestos!B251</f>
        <v>240</v>
      </c>
    </row>
    <row r="30" spans="1:12" x14ac:dyDescent="0.25">
      <c r="A30" s="194" t="str">
        <f>Budget_Supuestos!A252</f>
        <v>Roca fosfórica</v>
      </c>
      <c r="B30" s="274">
        <f>Budget_Supuestos!B252</f>
        <v>0</v>
      </c>
    </row>
    <row r="31" spans="1:12" x14ac:dyDescent="0.25">
      <c r="A31" s="195" t="str">
        <f>Budget_Supuestos!A253</f>
        <v>Otros:</v>
      </c>
      <c r="B31" s="274">
        <f>Budget_Supuestos!B253</f>
        <v>575.5</v>
      </c>
    </row>
    <row r="32" spans="1:12" x14ac:dyDescent="0.25">
      <c r="A32" s="190" t="s">
        <v>374</v>
      </c>
      <c r="B32" s="477">
        <f>SUM(B19:B31)</f>
        <v>11491.95</v>
      </c>
    </row>
    <row r="33" spans="1:13" x14ac:dyDescent="0.25">
      <c r="A33" s="190" t="s">
        <v>491</v>
      </c>
      <c r="B33" s="477">
        <f>F85</f>
        <v>814.71500000000003</v>
      </c>
    </row>
    <row r="34" spans="1:13" ht="18.75" x14ac:dyDescent="0.3">
      <c r="A34" s="172" t="s">
        <v>375</v>
      </c>
      <c r="B34" s="476">
        <f>B32+B17+B33</f>
        <v>20756.932057777776</v>
      </c>
    </row>
    <row r="35" spans="1:13" x14ac:dyDescent="0.25">
      <c r="B35" s="268"/>
    </row>
    <row r="36" spans="1:13" s="3" customFormat="1" ht="18.75" x14ac:dyDescent="0.3">
      <c r="A36" s="173" t="s">
        <v>53</v>
      </c>
      <c r="B36" s="264" t="s">
        <v>18</v>
      </c>
      <c r="C36" s="3" t="s">
        <v>66</v>
      </c>
    </row>
    <row r="37" spans="1:13" x14ac:dyDescent="0.25">
      <c r="A37" s="174" t="s">
        <v>340</v>
      </c>
      <c r="B37" s="479">
        <f>'Budget_Valor de M Obra'!$B$36</f>
        <v>12620.741513333331</v>
      </c>
    </row>
    <row r="38" spans="1:13" x14ac:dyDescent="0.25">
      <c r="A38" s="191" t="s">
        <v>391</v>
      </c>
      <c r="B38" s="256"/>
      <c r="C38" s="191"/>
      <c r="D38" s="191"/>
      <c r="E38" s="191"/>
      <c r="F38" s="191"/>
      <c r="G38" s="191"/>
      <c r="H38" s="191"/>
      <c r="I38" s="191"/>
      <c r="J38" s="191"/>
      <c r="K38" s="191"/>
      <c r="L38" s="191"/>
      <c r="M38" s="191"/>
    </row>
    <row r="39" spans="1:13" x14ac:dyDescent="0.25">
      <c r="A39" s="249" t="s">
        <v>589</v>
      </c>
      <c r="B39" s="257">
        <f>Budget_Supuestos!B256</f>
        <v>3517.9888313706347</v>
      </c>
    </row>
    <row r="40" spans="1:13" x14ac:dyDescent="0.25">
      <c r="A40" s="178" t="s">
        <v>333</v>
      </c>
      <c r="B40" s="258">
        <f>Budget_Supuestos!B257</f>
        <v>0</v>
      </c>
    </row>
    <row r="41" spans="1:13" x14ac:dyDescent="0.25">
      <c r="A41" s="151" t="s">
        <v>565</v>
      </c>
      <c r="B41" s="258">
        <f>Budget_Supuestos!B258</f>
        <v>0</v>
      </c>
    </row>
    <row r="42" spans="1:13" x14ac:dyDescent="0.25">
      <c r="A42" s="151" t="s">
        <v>566</v>
      </c>
      <c r="B42" s="258">
        <f>Budget_Supuestos!B259</f>
        <v>0</v>
      </c>
    </row>
    <row r="43" spans="1:13" x14ac:dyDescent="0.25">
      <c r="A43" s="151" t="s">
        <v>567</v>
      </c>
      <c r="B43" s="258">
        <f>Budget_Supuestos!B260</f>
        <v>0</v>
      </c>
    </row>
    <row r="44" spans="1:13" x14ac:dyDescent="0.25">
      <c r="A44" s="166" t="s">
        <v>568</v>
      </c>
      <c r="B44" s="258">
        <f>Budget_Supuestos!B261</f>
        <v>3517.9888313706347</v>
      </c>
    </row>
    <row r="45" spans="1:13" x14ac:dyDescent="0.25">
      <c r="A45" s="166" t="s">
        <v>323</v>
      </c>
      <c r="B45" s="258">
        <f>Budget_Supuestos!B262</f>
        <v>0</v>
      </c>
    </row>
    <row r="46" spans="1:13" x14ac:dyDescent="0.25">
      <c r="A46" s="166" t="s">
        <v>569</v>
      </c>
      <c r="B46" s="258">
        <f>Budget_Supuestos!B263</f>
        <v>0</v>
      </c>
    </row>
    <row r="47" spans="1:13" s="321" customFormat="1" x14ac:dyDescent="0.25">
      <c r="A47" s="323" t="s">
        <v>641</v>
      </c>
      <c r="B47" s="258">
        <f>Budget_Supuestos!$B$264</f>
        <v>7035.9776627412693</v>
      </c>
    </row>
    <row r="48" spans="1:13" s="321" customFormat="1" x14ac:dyDescent="0.25">
      <c r="A48" s="323"/>
      <c r="B48" s="258"/>
    </row>
    <row r="49" spans="1:3" x14ac:dyDescent="0.25">
      <c r="A49" s="224" t="s">
        <v>382</v>
      </c>
      <c r="B49" s="259">
        <f>SUM(B39:B46)</f>
        <v>7035.9776627412693</v>
      </c>
    </row>
    <row r="50" spans="1:3" ht="31.5" x14ac:dyDescent="0.25">
      <c r="A50" s="224" t="s">
        <v>493</v>
      </c>
      <c r="B50" s="259">
        <f>F91</f>
        <v>2226.12</v>
      </c>
    </row>
    <row r="51" spans="1:3" ht="18.75" x14ac:dyDescent="0.3">
      <c r="A51" s="172" t="s">
        <v>344</v>
      </c>
      <c r="B51" s="348">
        <f>B49+B37+B50</f>
        <v>21882.839176074598</v>
      </c>
    </row>
    <row r="52" spans="1:3" x14ac:dyDescent="0.25">
      <c r="B52" s="254"/>
    </row>
    <row r="53" spans="1:3" x14ac:dyDescent="0.25">
      <c r="B53" s="254"/>
    </row>
    <row r="54" spans="1:3" x14ac:dyDescent="0.25">
      <c r="A54" s="94" t="s">
        <v>44</v>
      </c>
      <c r="B54" s="254"/>
    </row>
    <row r="55" spans="1:3" s="5" customFormat="1" ht="18.75" x14ac:dyDescent="0.3">
      <c r="A55" s="171" t="s">
        <v>389</v>
      </c>
      <c r="B55" s="252"/>
    </row>
    <row r="56" spans="1:3" s="5" customFormat="1" x14ac:dyDescent="0.25">
      <c r="A56" s="174" t="s">
        <v>390</v>
      </c>
      <c r="B56" s="473">
        <f>'Budget_Valor de M Obra'!$C$45</f>
        <v>5683.6220000000003</v>
      </c>
    </row>
    <row r="57" spans="1:3" s="5" customFormat="1" x14ac:dyDescent="0.25">
      <c r="A57" s="191" t="s">
        <v>392</v>
      </c>
      <c r="B57" s="252"/>
    </row>
    <row r="58" spans="1:3" s="5" customFormat="1" ht="31.5" x14ac:dyDescent="0.25">
      <c r="A58" s="197" t="s">
        <v>334</v>
      </c>
      <c r="B58" s="258">
        <f>Budget_Supuestos!B266</f>
        <v>1037.7938970930632</v>
      </c>
      <c r="C58" t="s">
        <v>343</v>
      </c>
    </row>
    <row r="59" spans="1:3" s="5" customFormat="1" x14ac:dyDescent="0.25">
      <c r="A59" s="178" t="s">
        <v>333</v>
      </c>
      <c r="B59" s="258">
        <f>Budget_Supuestos!B267</f>
        <v>0</v>
      </c>
    </row>
    <row r="60" spans="1:3" s="5" customFormat="1" x14ac:dyDescent="0.25">
      <c r="A60" s="151" t="s">
        <v>565</v>
      </c>
      <c r="B60" s="258">
        <f>Budget_Supuestos!B268</f>
        <v>0</v>
      </c>
    </row>
    <row r="61" spans="1:3" s="5" customFormat="1" x14ac:dyDescent="0.25">
      <c r="A61" s="151" t="s">
        <v>566</v>
      </c>
      <c r="B61" s="258">
        <f>Budget_Supuestos!B269</f>
        <v>0</v>
      </c>
    </row>
    <row r="62" spans="1:3" s="5" customFormat="1" x14ac:dyDescent="0.25">
      <c r="A62" s="151" t="s">
        <v>567</v>
      </c>
      <c r="B62" s="258">
        <f>Budget_Supuestos!B270</f>
        <v>0</v>
      </c>
    </row>
    <row r="63" spans="1:3" s="5" customFormat="1" x14ac:dyDescent="0.25">
      <c r="A63" s="166" t="s">
        <v>335</v>
      </c>
      <c r="B63" s="258">
        <f>Budget_Supuestos!B271</f>
        <v>1037.7938970930632</v>
      </c>
    </row>
    <row r="64" spans="1:3" x14ac:dyDescent="0.25">
      <c r="A64" s="166" t="s">
        <v>342</v>
      </c>
      <c r="B64" s="258">
        <f>Budget_Supuestos!B272</f>
        <v>0</v>
      </c>
    </row>
    <row r="65" spans="1:6" x14ac:dyDescent="0.25">
      <c r="A65" s="166" t="s">
        <v>336</v>
      </c>
      <c r="B65" s="258">
        <f>Budget_Supuestos!B273</f>
        <v>0</v>
      </c>
    </row>
    <row r="66" spans="1:6" s="321" customFormat="1" x14ac:dyDescent="0.25">
      <c r="A66" s="323" t="s">
        <v>612</v>
      </c>
      <c r="B66" s="474">
        <f>Budget_Supuestos!$B$274</f>
        <v>2075.5877941861263</v>
      </c>
    </row>
    <row r="67" spans="1:6" x14ac:dyDescent="0.25">
      <c r="A67" s="224" t="s">
        <v>394</v>
      </c>
      <c r="B67" s="260">
        <f>SUM(B58:B65)</f>
        <v>2075.5877941861263</v>
      </c>
    </row>
    <row r="68" spans="1:6" x14ac:dyDescent="0.25">
      <c r="A68" s="224" t="s">
        <v>496</v>
      </c>
      <c r="B68" s="260">
        <f>F97</f>
        <v>2386.413333333333</v>
      </c>
    </row>
    <row r="69" spans="1:6" ht="18.75" x14ac:dyDescent="0.3">
      <c r="A69" s="172" t="s">
        <v>395</v>
      </c>
      <c r="B69" s="475">
        <f>B67+B56+B68</f>
        <v>10145.623127519459</v>
      </c>
    </row>
    <row r="70" spans="1:6" x14ac:dyDescent="0.25">
      <c r="B70" s="254"/>
    </row>
    <row r="71" spans="1:6" x14ac:dyDescent="0.25">
      <c r="B71" s="254"/>
    </row>
    <row r="72" spans="1:6" x14ac:dyDescent="0.25">
      <c r="B72" s="254"/>
    </row>
    <row r="74" spans="1:6" x14ac:dyDescent="0.25">
      <c r="A74" s="62" t="s">
        <v>495</v>
      </c>
      <c r="B74" t="s">
        <v>472</v>
      </c>
      <c r="C74" s="5" t="s">
        <v>473</v>
      </c>
      <c r="D74" t="s">
        <v>457</v>
      </c>
      <c r="E74" s="5" t="s">
        <v>485</v>
      </c>
      <c r="F74" s="218" t="s">
        <v>486</v>
      </c>
    </row>
    <row r="75" spans="1:6" x14ac:dyDescent="0.25">
      <c r="A75" s="130" t="s">
        <v>471</v>
      </c>
      <c r="B75" s="322"/>
      <c r="C75" s="322"/>
      <c r="D75" s="8"/>
      <c r="E75" s="8"/>
    </row>
    <row r="76" spans="1:6" x14ac:dyDescent="0.25">
      <c r="A76" s="22" t="str">
        <f>Budget_Supuestos!A355</f>
        <v>ir a comprar la semilla</v>
      </c>
      <c r="B76" s="153"/>
      <c r="C76" s="153"/>
      <c r="D76" s="153"/>
      <c r="E76" s="153"/>
      <c r="F76" s="153">
        <f>Budget_Supuestos!B355</f>
        <v>79.78</v>
      </c>
    </row>
    <row r="77" spans="1:6" x14ac:dyDescent="0.25">
      <c r="A77" s="22" t="str">
        <f>Budget_Supuestos!A356</f>
        <v>Llevada madera</v>
      </c>
      <c r="B77" s="153"/>
      <c r="C77" s="153"/>
      <c r="D77" s="153"/>
      <c r="E77" s="153"/>
      <c r="F77" s="153">
        <f>Budget_Supuestos!B356</f>
        <v>113.84</v>
      </c>
    </row>
    <row r="78" spans="1:6" x14ac:dyDescent="0.25">
      <c r="A78" s="22" t="str">
        <f>Budget_Supuestos!A357</f>
        <v>Llevada arena</v>
      </c>
      <c r="B78" s="153"/>
      <c r="C78" s="153"/>
      <c r="D78" s="153"/>
      <c r="E78" s="153"/>
      <c r="F78" s="153">
        <f>Budget_Supuestos!B357</f>
        <v>172.32</v>
      </c>
    </row>
    <row r="79" spans="1:6" x14ac:dyDescent="0.25">
      <c r="A79" s="22" t="str">
        <f>Budget_Supuestos!A358</f>
        <v>Otro(s):</v>
      </c>
      <c r="B79" s="153"/>
      <c r="C79" s="153"/>
      <c r="D79" s="153"/>
      <c r="E79" s="153"/>
      <c r="F79" s="153">
        <f>Budget_Supuestos!B358</f>
        <v>0</v>
      </c>
    </row>
    <row r="80" spans="1:6" x14ac:dyDescent="0.25">
      <c r="A80" s="800" t="s">
        <v>489</v>
      </c>
      <c r="B80" s="800"/>
      <c r="C80" s="800"/>
      <c r="D80" s="800"/>
      <c r="E80" s="800"/>
      <c r="F80" s="480">
        <f>SUM(F76:F79)</f>
        <v>365.94</v>
      </c>
    </row>
    <row r="81" spans="1:6" x14ac:dyDescent="0.25">
      <c r="A81" s="130" t="s">
        <v>475</v>
      </c>
      <c r="B81" s="135"/>
      <c r="C81" s="135"/>
      <c r="D81" s="135"/>
      <c r="E81" s="135"/>
      <c r="F81" s="107"/>
    </row>
    <row r="82" spans="1:6" x14ac:dyDescent="0.25">
      <c r="A82" s="22" t="s">
        <v>476</v>
      </c>
      <c r="B82" s="153"/>
      <c r="C82" s="153"/>
      <c r="D82" s="153"/>
      <c r="E82" s="153"/>
      <c r="F82" s="153">
        <f>Budget_Supuestos!B360</f>
        <v>475.84</v>
      </c>
    </row>
    <row r="83" spans="1:6" x14ac:dyDescent="0.25">
      <c r="A83" s="22" t="s">
        <v>477</v>
      </c>
      <c r="B83" s="153"/>
      <c r="C83" s="153"/>
      <c r="D83" s="153"/>
      <c r="E83" s="153"/>
      <c r="F83" s="153">
        <f>Budget_Supuestos!B361</f>
        <v>338.87500000000006</v>
      </c>
    </row>
    <row r="84" spans="1:6" x14ac:dyDescent="0.25">
      <c r="A84" s="22" t="s">
        <v>442</v>
      </c>
      <c r="B84" s="153"/>
      <c r="C84" s="153"/>
      <c r="D84" s="153"/>
      <c r="E84" s="153"/>
      <c r="F84" s="153">
        <f>Budget_Supuestos!B362</f>
        <v>0</v>
      </c>
    </row>
    <row r="85" spans="1:6" x14ac:dyDescent="0.25">
      <c r="A85" s="800" t="s">
        <v>492</v>
      </c>
      <c r="B85" s="800"/>
      <c r="C85" s="800"/>
      <c r="D85" s="800"/>
      <c r="E85" s="800"/>
      <c r="F85" s="223">
        <f>SUM(F82:F83)</f>
        <v>814.71500000000003</v>
      </c>
    </row>
    <row r="86" spans="1:6" x14ac:dyDescent="0.25">
      <c r="A86" s="130" t="s">
        <v>478</v>
      </c>
      <c r="B86" s="135"/>
      <c r="C86" s="135"/>
      <c r="D86" s="135"/>
      <c r="E86" s="135"/>
      <c r="F86" s="135"/>
    </row>
    <row r="87" spans="1:6" x14ac:dyDescent="0.25">
      <c r="A87" s="22" t="s">
        <v>479</v>
      </c>
      <c r="B87" s="146"/>
      <c r="C87" s="146"/>
      <c r="D87" s="146"/>
      <c r="E87" s="146"/>
      <c r="F87" s="146">
        <f>Budget_Supuestos!B364</f>
        <v>266.39999999999998</v>
      </c>
    </row>
    <row r="88" spans="1:6" x14ac:dyDescent="0.25">
      <c r="A88" s="22" t="s">
        <v>480</v>
      </c>
      <c r="B88" s="146"/>
      <c r="C88" s="146"/>
      <c r="D88" s="146"/>
      <c r="E88" s="146"/>
      <c r="F88" s="146">
        <f>Budget_Supuestos!B365</f>
        <v>142.12</v>
      </c>
    </row>
    <row r="89" spans="1:6" x14ac:dyDescent="0.25">
      <c r="A89" s="22" t="s">
        <v>481</v>
      </c>
      <c r="B89" s="146"/>
      <c r="C89" s="146"/>
      <c r="D89" s="146"/>
      <c r="E89" s="146"/>
      <c r="F89" s="146">
        <f>Budget_Supuestos!B366</f>
        <v>1817.6</v>
      </c>
    </row>
    <row r="90" spans="1:6" x14ac:dyDescent="0.25">
      <c r="A90" s="22" t="s">
        <v>442</v>
      </c>
      <c r="B90" s="146"/>
      <c r="C90" s="146"/>
      <c r="D90" s="146"/>
      <c r="E90" s="146"/>
      <c r="F90" s="146">
        <f>Budget_Supuestos!B367</f>
        <v>0</v>
      </c>
    </row>
    <row r="91" spans="1:6" x14ac:dyDescent="0.25">
      <c r="A91" s="800" t="s">
        <v>490</v>
      </c>
      <c r="B91" s="800"/>
      <c r="C91" s="800"/>
      <c r="D91" s="800"/>
      <c r="E91" s="800"/>
      <c r="F91" s="223">
        <f>SUM(F87:F89)</f>
        <v>2226.12</v>
      </c>
    </row>
    <row r="92" spans="1:6" x14ac:dyDescent="0.25">
      <c r="A92" s="62" t="s">
        <v>494</v>
      </c>
      <c r="B92" t="s">
        <v>472</v>
      </c>
      <c r="C92" s="5" t="s">
        <v>473</v>
      </c>
      <c r="D92" t="s">
        <v>457</v>
      </c>
      <c r="E92" s="5" t="s">
        <v>485</v>
      </c>
      <c r="F92" s="218" t="s">
        <v>486</v>
      </c>
    </row>
    <row r="93" spans="1:6" x14ac:dyDescent="0.25">
      <c r="A93" s="22" t="s">
        <v>483</v>
      </c>
      <c r="B93" s="146"/>
      <c r="C93" s="146"/>
      <c r="D93" s="146"/>
      <c r="E93" s="146"/>
      <c r="F93" s="146">
        <f>Budget_Supuestos!B369</f>
        <v>439.4133333333333</v>
      </c>
    </row>
    <row r="94" spans="1:6" x14ac:dyDescent="0.25">
      <c r="A94" s="220" t="s">
        <v>484</v>
      </c>
      <c r="B94" s="146"/>
      <c r="C94" s="146"/>
      <c r="D94" s="146"/>
      <c r="E94" s="146"/>
      <c r="F94" s="146">
        <f>Budget_Supuestos!B370</f>
        <v>1195.8</v>
      </c>
    </row>
    <row r="95" spans="1:6" ht="30.75" x14ac:dyDescent="0.25">
      <c r="A95" s="169" t="s">
        <v>487</v>
      </c>
      <c r="B95" s="146"/>
      <c r="C95" s="146"/>
      <c r="D95" s="146"/>
      <c r="E95" s="146"/>
      <c r="F95" s="146">
        <f>Budget_Supuestos!B372</f>
        <v>751.2</v>
      </c>
    </row>
    <row r="96" spans="1:6" x14ac:dyDescent="0.25">
      <c r="A96" s="222" t="s">
        <v>488</v>
      </c>
      <c r="B96" s="146"/>
      <c r="C96" s="146"/>
      <c r="D96" s="146"/>
      <c r="E96" s="146"/>
      <c r="F96" s="146">
        <f>Budget_Supuestos!B373</f>
        <v>0</v>
      </c>
    </row>
    <row r="97" spans="1:6" x14ac:dyDescent="0.25">
      <c r="A97" s="800" t="s">
        <v>496</v>
      </c>
      <c r="B97" s="800"/>
      <c r="C97" s="800"/>
      <c r="D97" s="800"/>
      <c r="E97" s="800"/>
      <c r="F97" s="223">
        <f>SUM(F93:F95)</f>
        <v>2386.413333333333</v>
      </c>
    </row>
  </sheetData>
  <mergeCells count="4">
    <mergeCell ref="A80:E80"/>
    <mergeCell ref="A85:E85"/>
    <mergeCell ref="A91:E91"/>
    <mergeCell ref="A97:E97"/>
  </mergeCells>
  <phoneticPr fontId="16" type="noConversion"/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  <pageSetUpPr fitToPage="1"/>
  </sheetPr>
  <dimension ref="A1:K58"/>
  <sheetViews>
    <sheetView workbookViewId="0">
      <selection activeCell="D23" sqref="D23"/>
    </sheetView>
  </sheetViews>
  <sheetFormatPr defaultColWidth="11" defaultRowHeight="15.75" x14ac:dyDescent="0.25"/>
  <cols>
    <col min="1" max="1" width="53.125" bestFit="1" customWidth="1"/>
    <col min="2" max="5" width="13.875" customWidth="1"/>
    <col min="6" max="6" width="14.5" customWidth="1"/>
    <col min="7" max="10" width="13.875" customWidth="1"/>
    <col min="11" max="11" width="29" customWidth="1"/>
    <col min="15" max="15" width="18" bestFit="1" customWidth="1"/>
  </cols>
  <sheetData>
    <row r="1" spans="1:11" x14ac:dyDescent="0.25">
      <c r="A1" s="210" t="s">
        <v>359</v>
      </c>
      <c r="B1" s="73"/>
      <c r="C1" s="73"/>
    </row>
    <row r="2" spans="1:11" x14ac:dyDescent="0.25">
      <c r="A2" s="94" t="s">
        <v>413</v>
      </c>
    </row>
    <row r="3" spans="1:11" ht="18.75" x14ac:dyDescent="0.3">
      <c r="A3" s="201" t="s">
        <v>414</v>
      </c>
      <c r="B3" s="29" t="s">
        <v>43</v>
      </c>
      <c r="C3" s="29" t="s">
        <v>44</v>
      </c>
      <c r="D3" s="29" t="s">
        <v>45</v>
      </c>
      <c r="E3" s="29" t="s">
        <v>46</v>
      </c>
      <c r="F3" s="29" t="s">
        <v>47</v>
      </c>
      <c r="G3" s="29" t="s">
        <v>48</v>
      </c>
      <c r="H3" s="29" t="s">
        <v>49</v>
      </c>
      <c r="I3" s="29" t="s">
        <v>50</v>
      </c>
      <c r="J3" s="29" t="s">
        <v>51</v>
      </c>
      <c r="K3" s="217" t="s">
        <v>467</v>
      </c>
    </row>
    <row r="4" spans="1:11" s="5" customFormat="1" x14ac:dyDescent="0.25">
      <c r="A4" s="198" t="s">
        <v>416</v>
      </c>
      <c r="B4" s="200"/>
      <c r="C4" s="200"/>
      <c r="D4" s="381">
        <f>'Budget_Valor de M Obra'!D59</f>
        <v>7780.3669999999993</v>
      </c>
      <c r="E4" s="128">
        <f>'Budget_Valor de M Obra'!E59</f>
        <v>7780.3669999999993</v>
      </c>
      <c r="F4" s="128">
        <f>'Budget_Valor de M Obra'!F59</f>
        <v>6123.1869999999981</v>
      </c>
      <c r="G4" s="128">
        <f>'Budget_Valor de M Obra'!G59</f>
        <v>6123.1869999999981</v>
      </c>
      <c r="H4" s="128">
        <f>'Budget_Valor de M Obra'!H59</f>
        <v>6123.1869999999981</v>
      </c>
      <c r="I4" s="128">
        <f>'Budget_Valor de M Obra'!I59</f>
        <v>6027.2939999999981</v>
      </c>
      <c r="J4" s="128">
        <f>'Budget_Valor de M Obra'!J59</f>
        <v>6027.2939999999981</v>
      </c>
      <c r="K4" s="200"/>
    </row>
    <row r="5" spans="1:11" s="5" customFormat="1" x14ac:dyDescent="0.25">
      <c r="A5" s="198" t="s">
        <v>415</v>
      </c>
      <c r="B5" s="200"/>
      <c r="C5" s="200"/>
      <c r="D5" s="200"/>
      <c r="E5" s="200"/>
      <c r="F5" s="200"/>
      <c r="G5" s="200"/>
      <c r="H5" s="200"/>
      <c r="I5" s="200"/>
      <c r="J5" s="200"/>
      <c r="K5" s="200"/>
    </row>
    <row r="6" spans="1:11" x14ac:dyDescent="0.25">
      <c r="A6" s="202" t="s">
        <v>349</v>
      </c>
    </row>
    <row r="7" spans="1:11" x14ac:dyDescent="0.25">
      <c r="A7" s="14" t="str">
        <f>Budget_Supuestos!A279</f>
        <v>.</v>
      </c>
      <c r="D7" s="128">
        <f>Budget_Supuestos!B279</f>
        <v>2188.6388534585549</v>
      </c>
      <c r="E7" s="128">
        <f>Budget_Supuestos!B279</f>
        <v>2188.6388534585549</v>
      </c>
      <c r="F7" s="128">
        <f>Budget_Supuestos!B279</f>
        <v>2188.6388534585549</v>
      </c>
      <c r="G7" s="128">
        <f>Budget_Supuestos!B279</f>
        <v>2188.6388534585549</v>
      </c>
      <c r="H7" s="128">
        <f>Budget_Supuestos!B279</f>
        <v>2188.6388534585549</v>
      </c>
      <c r="I7" s="128">
        <f>Budget_Supuestos!B279</f>
        <v>2188.6388534585549</v>
      </c>
      <c r="J7" s="128">
        <f>Budget_Supuestos!B279</f>
        <v>2188.6388534585549</v>
      </c>
    </row>
    <row r="8" spans="1:11" x14ac:dyDescent="0.25">
      <c r="A8" s="203" t="str">
        <f>Budget_Supuestos!A280</f>
        <v>Especificos:</v>
      </c>
      <c r="D8" s="128">
        <f>Budget_Supuestos!B280</f>
        <v>0</v>
      </c>
      <c r="E8" s="128">
        <f>Budget_Supuestos!B280</f>
        <v>0</v>
      </c>
      <c r="F8" s="128">
        <f>Budget_Supuestos!B280</f>
        <v>0</v>
      </c>
      <c r="G8" s="128">
        <f>Budget_Supuestos!B280</f>
        <v>0</v>
      </c>
      <c r="H8" s="128">
        <f>Budget_Supuestos!B280</f>
        <v>0</v>
      </c>
      <c r="I8" s="128">
        <f>Budget_Supuestos!B280</f>
        <v>0</v>
      </c>
      <c r="J8" s="128">
        <f>Budget_Supuestos!B280</f>
        <v>0</v>
      </c>
    </row>
    <row r="9" spans="1:11" x14ac:dyDescent="0.25">
      <c r="A9" s="151" t="str">
        <f>Budget_Supuestos!A281</f>
        <v>Harina de Roca</v>
      </c>
      <c r="D9" s="128">
        <f>Budget_Supuestos!B281</f>
        <v>0</v>
      </c>
      <c r="E9" s="128">
        <f>Budget_Supuestos!B281</f>
        <v>0</v>
      </c>
      <c r="F9" s="128">
        <f>Budget_Supuestos!B281</f>
        <v>0</v>
      </c>
      <c r="G9" s="128">
        <f>Budget_Supuestos!B281</f>
        <v>0</v>
      </c>
      <c r="H9" s="128">
        <f>Budget_Supuestos!B281</f>
        <v>0</v>
      </c>
      <c r="I9" s="128">
        <f>Budget_Supuestos!B281</f>
        <v>0</v>
      </c>
      <c r="J9" s="128">
        <f>Budget_Supuestos!B281</f>
        <v>0</v>
      </c>
    </row>
    <row r="10" spans="1:11" x14ac:dyDescent="0.25">
      <c r="A10" s="151" t="str">
        <f>Budget_Supuestos!A282</f>
        <v>Cascarilla de Café</v>
      </c>
      <c r="D10" s="128">
        <f>Budget_Supuestos!B282</f>
        <v>0</v>
      </c>
      <c r="E10" s="128">
        <f>Budget_Supuestos!B282</f>
        <v>0</v>
      </c>
      <c r="F10" s="128">
        <f>Budget_Supuestos!B282</f>
        <v>0</v>
      </c>
      <c r="G10" s="128">
        <f>Budget_Supuestos!B282</f>
        <v>0</v>
      </c>
      <c r="H10" s="128">
        <f>Budget_Supuestos!B282</f>
        <v>0</v>
      </c>
      <c r="I10" s="128">
        <f>Budget_Supuestos!B282</f>
        <v>0</v>
      </c>
      <c r="J10" s="128">
        <f>Budget_Supuestos!B282</f>
        <v>0</v>
      </c>
    </row>
    <row r="11" spans="1:11" x14ac:dyDescent="0.25">
      <c r="A11" s="151" t="str">
        <f>Budget_Supuestos!A283</f>
        <v>Gallinaza</v>
      </c>
      <c r="D11" s="128">
        <f>Budget_Supuestos!B283</f>
        <v>0</v>
      </c>
      <c r="E11" s="128">
        <f>Budget_Supuestos!B283</f>
        <v>0</v>
      </c>
      <c r="F11" s="128">
        <f>Budget_Supuestos!B283</f>
        <v>0</v>
      </c>
      <c r="G11" s="128">
        <f>Budget_Supuestos!B283</f>
        <v>0</v>
      </c>
      <c r="H11" s="128">
        <f>Budget_Supuestos!B283</f>
        <v>0</v>
      </c>
      <c r="I11" s="128">
        <f>Budget_Supuestos!B283</f>
        <v>0</v>
      </c>
      <c r="J11" s="128">
        <f>Budget_Supuestos!B283</f>
        <v>0</v>
      </c>
    </row>
    <row r="12" spans="1:11" x14ac:dyDescent="0.25">
      <c r="A12" s="180" t="str">
        <f>Budget_Supuestos!A284</f>
        <v>Roca fosfórica</v>
      </c>
      <c r="D12" s="128">
        <f>Budget_Supuestos!B284</f>
        <v>0</v>
      </c>
      <c r="E12" s="128">
        <f>Budget_Supuestos!B284</f>
        <v>0</v>
      </c>
      <c r="F12" s="128">
        <f>Budget_Supuestos!B284</f>
        <v>0</v>
      </c>
      <c r="G12" s="128">
        <f>Budget_Supuestos!B284</f>
        <v>0</v>
      </c>
      <c r="H12" s="128">
        <f>Budget_Supuestos!B284</f>
        <v>0</v>
      </c>
      <c r="I12" s="128">
        <f>Budget_Supuestos!B284</f>
        <v>0</v>
      </c>
      <c r="J12" s="128">
        <f>Budget_Supuestos!B284</f>
        <v>0</v>
      </c>
      <c r="K12" s="7"/>
    </row>
    <row r="13" spans="1:11" x14ac:dyDescent="0.25">
      <c r="A13" s="181" t="str">
        <f>Budget_Supuestos!A285</f>
        <v xml:space="preserve">Abono químico para mantenimiento del cultivo </v>
      </c>
      <c r="D13" s="128">
        <f>Budget_Supuestos!B285</f>
        <v>2188.638853458554</v>
      </c>
      <c r="E13" s="128">
        <f>Budget_Supuestos!B285</f>
        <v>2188.638853458554</v>
      </c>
      <c r="F13" s="128">
        <f>Budget_Supuestos!B285</f>
        <v>2188.638853458554</v>
      </c>
      <c r="G13" s="128">
        <f>Budget_Supuestos!B285</f>
        <v>2188.638853458554</v>
      </c>
      <c r="H13" s="128">
        <f>Budget_Supuestos!B285</f>
        <v>2188.638853458554</v>
      </c>
      <c r="I13" s="128">
        <f>Budget_Supuestos!B285</f>
        <v>2188.638853458554</v>
      </c>
      <c r="J13" s="128">
        <f>Budget_Supuestos!B285</f>
        <v>2188.638853458554</v>
      </c>
      <c r="K13" s="7"/>
    </row>
    <row r="14" spans="1:11" x14ac:dyDescent="0.25">
      <c r="A14" s="182" t="str">
        <f>Budget_Supuestos!A286</f>
        <v>Otro(s) abono (s):</v>
      </c>
      <c r="D14" s="128">
        <f>Budget_Supuestos!B286</f>
        <v>0</v>
      </c>
      <c r="E14" s="128">
        <f>Budget_Supuestos!B286</f>
        <v>0</v>
      </c>
      <c r="F14" s="128">
        <f>Budget_Supuestos!B286</f>
        <v>0</v>
      </c>
      <c r="G14" s="128">
        <f>Budget_Supuestos!B286</f>
        <v>0</v>
      </c>
      <c r="H14" s="128">
        <f>Budget_Supuestos!B286</f>
        <v>0</v>
      </c>
      <c r="I14" s="128">
        <f>Budget_Supuestos!B286</f>
        <v>0</v>
      </c>
      <c r="J14" s="128">
        <f>Budget_Supuestos!B286</f>
        <v>0</v>
      </c>
      <c r="K14" s="7"/>
    </row>
    <row r="15" spans="1:11" x14ac:dyDescent="0.25">
      <c r="A15" s="166" t="str">
        <f>Budget_Supuestos!A287</f>
        <v>Fertilizantes</v>
      </c>
      <c r="D15" s="128">
        <f>Budget_Supuestos!B287</f>
        <v>0</v>
      </c>
      <c r="E15" s="128">
        <f>Budget_Supuestos!B287</f>
        <v>0</v>
      </c>
      <c r="F15" s="128">
        <f>Budget_Supuestos!B287</f>
        <v>0</v>
      </c>
      <c r="G15" s="128">
        <f>Budget_Supuestos!B287</f>
        <v>0</v>
      </c>
      <c r="H15" s="128">
        <f>Budget_Supuestos!B287</f>
        <v>0</v>
      </c>
      <c r="I15" s="128">
        <f>Budget_Supuestos!B287</f>
        <v>0</v>
      </c>
      <c r="J15" s="128">
        <f>Budget_Supuestos!B287</f>
        <v>0</v>
      </c>
      <c r="K15" s="7"/>
    </row>
    <row r="16" spans="1:11" x14ac:dyDescent="0.25">
      <c r="A16" s="202" t="str">
        <f>Budget_Supuestos!A288</f>
        <v>Fertilizante organico para foliación:</v>
      </c>
      <c r="D16" s="128">
        <f>Budget_Supuestos!B288</f>
        <v>0</v>
      </c>
      <c r="E16" s="128">
        <f>Budget_Supuestos!B288</f>
        <v>0</v>
      </c>
      <c r="F16" s="128">
        <f>Budget_Supuestos!B288</f>
        <v>0</v>
      </c>
      <c r="G16" s="128">
        <f>Budget_Supuestos!B288</f>
        <v>0</v>
      </c>
      <c r="H16" s="128">
        <f>Budget_Supuestos!B288</f>
        <v>0</v>
      </c>
      <c r="I16" s="128">
        <f>Budget_Supuestos!B288</f>
        <v>0</v>
      </c>
      <c r="J16" s="128">
        <f>Budget_Supuestos!B288</f>
        <v>0</v>
      </c>
      <c r="K16" s="7"/>
    </row>
    <row r="17" spans="1:11" x14ac:dyDescent="0.25">
      <c r="A17" s="166" t="str">
        <f>Budget_Supuestos!A289</f>
        <v>Especificos:</v>
      </c>
      <c r="D17" s="381">
        <f>Budget_Supuestos!B289</f>
        <v>0</v>
      </c>
      <c r="E17" s="381">
        <f>Budget_Supuestos!B289</f>
        <v>0</v>
      </c>
      <c r="F17" s="381">
        <f>Budget_Supuestos!B289</f>
        <v>0</v>
      </c>
      <c r="G17" s="381">
        <f>Budget_Supuestos!B289</f>
        <v>0</v>
      </c>
      <c r="H17" s="381">
        <f>Budget_Supuestos!B289</f>
        <v>0</v>
      </c>
      <c r="I17" s="381">
        <f>Budget_Supuestos!B289</f>
        <v>0</v>
      </c>
      <c r="J17" s="381">
        <f>Budget_Supuestos!B289</f>
        <v>0</v>
      </c>
      <c r="K17" s="7"/>
    </row>
    <row r="18" spans="1:11" x14ac:dyDescent="0.25">
      <c r="A18" s="203" t="str">
        <f>Budget_Supuestos!A290</f>
        <v>Caldos bordeles</v>
      </c>
      <c r="D18" s="381">
        <f>Budget_Supuestos!B290</f>
        <v>0</v>
      </c>
      <c r="E18" s="381">
        <f>Budget_Supuestos!B290</f>
        <v>0</v>
      </c>
      <c r="F18" s="381">
        <f>Budget_Supuestos!B290</f>
        <v>0</v>
      </c>
      <c r="G18" s="381">
        <f>Budget_Supuestos!B290</f>
        <v>0</v>
      </c>
      <c r="H18" s="381">
        <f>Budget_Supuestos!B290</f>
        <v>0</v>
      </c>
      <c r="I18" s="381">
        <f>Budget_Supuestos!B290</f>
        <v>0</v>
      </c>
      <c r="J18" s="381">
        <f>Budget_Supuestos!B290</f>
        <v>0</v>
      </c>
      <c r="K18" s="7"/>
    </row>
    <row r="19" spans="1:11" x14ac:dyDescent="0.25">
      <c r="A19" s="181" t="str">
        <f>Budget_Supuestos!A291</f>
        <v>Sulfocalcio</v>
      </c>
      <c r="D19" s="381">
        <f>Budget_Supuestos!B291</f>
        <v>0</v>
      </c>
      <c r="E19" s="381">
        <f>Budget_Supuestos!B291</f>
        <v>0</v>
      </c>
      <c r="F19" s="381">
        <f>Budget_Supuestos!B291</f>
        <v>0</v>
      </c>
      <c r="G19" s="381">
        <f>Budget_Supuestos!B291</f>
        <v>0</v>
      </c>
      <c r="H19" s="381">
        <f>Budget_Supuestos!B291</f>
        <v>0</v>
      </c>
      <c r="I19" s="381">
        <f>Budget_Supuestos!B291</f>
        <v>0</v>
      </c>
      <c r="J19" s="381">
        <f>Budget_Supuestos!B291</f>
        <v>0</v>
      </c>
      <c r="K19" s="7"/>
    </row>
    <row r="20" spans="1:11" x14ac:dyDescent="0.25">
      <c r="A20" s="181" t="str">
        <f>Budget_Supuestos!A292</f>
        <v>Biofertilizante - multiminerales</v>
      </c>
      <c r="D20" s="381">
        <f>Budget_Supuestos!B292</f>
        <v>0</v>
      </c>
      <c r="E20" s="381">
        <f>Budget_Supuestos!B292</f>
        <v>0</v>
      </c>
      <c r="F20" s="381">
        <f>Budget_Supuestos!B292</f>
        <v>0</v>
      </c>
      <c r="G20" s="381">
        <f>Budget_Supuestos!B292</f>
        <v>0</v>
      </c>
      <c r="H20" s="381">
        <f>Budget_Supuestos!B292</f>
        <v>0</v>
      </c>
      <c r="I20" s="381">
        <f>Budget_Supuestos!B292</f>
        <v>0</v>
      </c>
      <c r="J20" s="381">
        <f>Budget_Supuestos!B292</f>
        <v>0</v>
      </c>
      <c r="K20" s="7"/>
    </row>
    <row r="21" spans="1:11" x14ac:dyDescent="0.25">
      <c r="A21" s="181" t="str">
        <f>Budget_Supuestos!A293</f>
        <v>Químicos para foliación</v>
      </c>
      <c r="D21" s="381">
        <f>Budget_Supuestos!B293</f>
        <v>0</v>
      </c>
      <c r="E21" s="381">
        <f>Budget_Supuestos!B293</f>
        <v>0</v>
      </c>
      <c r="F21" s="381">
        <f>Budget_Supuestos!B293</f>
        <v>0</v>
      </c>
      <c r="G21" s="381">
        <f>Budget_Supuestos!B293</f>
        <v>0</v>
      </c>
      <c r="H21" s="381">
        <f>Budget_Supuestos!B293</f>
        <v>0</v>
      </c>
      <c r="I21" s="381">
        <f>Budget_Supuestos!B293</f>
        <v>0</v>
      </c>
      <c r="J21" s="381">
        <f>Budget_Supuestos!B293</f>
        <v>0</v>
      </c>
      <c r="K21" s="7"/>
    </row>
    <row r="22" spans="1:11" x14ac:dyDescent="0.25">
      <c r="A22" s="184" t="str">
        <f>Budget_Supuestos!A294</f>
        <v>Otro(s) fertilizantes (s):</v>
      </c>
      <c r="D22" s="381">
        <f>Budget_Supuestos!B294</f>
        <v>0</v>
      </c>
      <c r="E22" s="381">
        <f>Budget_Supuestos!B294</f>
        <v>0</v>
      </c>
      <c r="F22" s="381">
        <f>Budget_Supuestos!B294</f>
        <v>0</v>
      </c>
      <c r="G22" s="381">
        <f>Budget_Supuestos!B294</f>
        <v>0</v>
      </c>
      <c r="H22" s="381">
        <f>Budget_Supuestos!B294</f>
        <v>0</v>
      </c>
      <c r="I22" s="381">
        <f>Budget_Supuestos!B294</f>
        <v>0</v>
      </c>
      <c r="J22" s="381">
        <f>Budget_Supuestos!B294</f>
        <v>0</v>
      </c>
      <c r="K22" s="7"/>
    </row>
    <row r="23" spans="1:11" s="321" customFormat="1" x14ac:dyDescent="0.25">
      <c r="A23" s="184" t="s">
        <v>612</v>
      </c>
      <c r="D23" s="253">
        <f>Budget_Supuestos!$B$296</f>
        <v>4377.2777069171088</v>
      </c>
      <c r="E23" s="253">
        <f>Budget_Supuestos!$B$296</f>
        <v>4377.2777069171088</v>
      </c>
      <c r="F23" s="253">
        <f>Budget_Supuestos!$B$296</f>
        <v>4377.2777069171088</v>
      </c>
      <c r="G23" s="253">
        <f>Budget_Supuestos!$B$296</f>
        <v>4377.2777069171088</v>
      </c>
      <c r="H23" s="253">
        <f>Budget_Supuestos!$B$296</f>
        <v>4377.2777069171088</v>
      </c>
      <c r="I23" s="253">
        <f>Budget_Supuestos!$B$296</f>
        <v>4377.2777069171088</v>
      </c>
      <c r="J23" s="253">
        <f>Budget_Supuestos!$B$296</f>
        <v>4377.2777069171088</v>
      </c>
      <c r="K23" s="322"/>
    </row>
    <row r="24" spans="1:11" x14ac:dyDescent="0.25">
      <c r="A24" s="183" t="str">
        <f>Budget_Supuestos!A295</f>
        <v>Combustible:</v>
      </c>
      <c r="D24" s="128">
        <f>Budget_Supuestos!B295</f>
        <v>0</v>
      </c>
      <c r="E24" s="128">
        <f>Budget_Supuestos!B295</f>
        <v>0</v>
      </c>
      <c r="F24" s="128">
        <f>Budget_Supuestos!B295</f>
        <v>0</v>
      </c>
      <c r="G24" s="128">
        <f>Budget_Supuestos!B295</f>
        <v>0</v>
      </c>
      <c r="H24" s="128">
        <f>Budget_Supuestos!B295</f>
        <v>0</v>
      </c>
      <c r="I24" s="128">
        <f>Budget_Supuestos!B295</f>
        <v>0</v>
      </c>
      <c r="J24" s="128">
        <f>Budget_Supuestos!B295</f>
        <v>0</v>
      </c>
      <c r="K24" s="7"/>
    </row>
    <row r="25" spans="1:11" x14ac:dyDescent="0.25">
      <c r="A25" s="190" t="s">
        <v>418</v>
      </c>
      <c r="D25" s="189">
        <f>SUM(D7:D22)+D24</f>
        <v>4377.2777069171088</v>
      </c>
      <c r="E25" s="189">
        <f t="shared" ref="E25:J25" si="0">SUM(E7:E22)+E24</f>
        <v>4377.2777069171088</v>
      </c>
      <c r="F25" s="189">
        <f t="shared" si="0"/>
        <v>4377.2777069171088</v>
      </c>
      <c r="G25" s="189">
        <f t="shared" si="0"/>
        <v>4377.2777069171088</v>
      </c>
      <c r="H25" s="189">
        <f t="shared" si="0"/>
        <v>4377.2777069171088</v>
      </c>
      <c r="I25" s="189">
        <f t="shared" si="0"/>
        <v>4377.2777069171088</v>
      </c>
      <c r="J25" s="189">
        <f t="shared" si="0"/>
        <v>4377.2777069171088</v>
      </c>
    </row>
    <row r="26" spans="1:11" x14ac:dyDescent="0.25">
      <c r="A26" s="226" t="s">
        <v>499</v>
      </c>
      <c r="B26" s="225"/>
      <c r="C26" s="225"/>
      <c r="D26" s="225">
        <f t="shared" ref="D26:J26" si="1">$F$55</f>
        <v>1635.2133333333331</v>
      </c>
      <c r="E26" s="225">
        <f t="shared" si="1"/>
        <v>1635.2133333333331</v>
      </c>
      <c r="F26" s="225">
        <f t="shared" si="1"/>
        <v>1635.2133333333331</v>
      </c>
      <c r="G26" s="225">
        <f t="shared" si="1"/>
        <v>1635.2133333333331</v>
      </c>
      <c r="H26" s="225">
        <f t="shared" si="1"/>
        <v>1635.2133333333331</v>
      </c>
      <c r="I26" s="225">
        <f t="shared" si="1"/>
        <v>1635.2133333333331</v>
      </c>
      <c r="J26" s="225">
        <f t="shared" si="1"/>
        <v>1635.2133333333331</v>
      </c>
    </row>
    <row r="27" spans="1:11" ht="37.5" x14ac:dyDescent="0.3">
      <c r="A27" s="204" t="s">
        <v>417</v>
      </c>
      <c r="D27" s="472">
        <f>D25+D4+D26</f>
        <v>13792.858040250441</v>
      </c>
      <c r="E27" s="189">
        <f t="shared" ref="E27:J27" si="2">E25+E4+E26</f>
        <v>13792.858040250441</v>
      </c>
      <c r="F27" s="189">
        <f t="shared" si="2"/>
        <v>12135.678040250441</v>
      </c>
      <c r="G27" s="189">
        <f t="shared" si="2"/>
        <v>12135.678040250441</v>
      </c>
      <c r="H27" s="189">
        <f t="shared" si="2"/>
        <v>12135.678040250441</v>
      </c>
      <c r="I27" s="189">
        <f t="shared" si="2"/>
        <v>12039.785040250441</v>
      </c>
      <c r="J27" s="189">
        <f t="shared" si="2"/>
        <v>12039.785040250441</v>
      </c>
    </row>
    <row r="28" spans="1:11" ht="18.75" x14ac:dyDescent="0.3">
      <c r="A28" s="201" t="s">
        <v>42</v>
      </c>
      <c r="B28" s="29" t="s">
        <v>43</v>
      </c>
      <c r="C28" s="29" t="s">
        <v>44</v>
      </c>
      <c r="D28" s="29" t="s">
        <v>45</v>
      </c>
      <c r="E28" s="29" t="s">
        <v>46</v>
      </c>
      <c r="F28" s="29" t="s">
        <v>47</v>
      </c>
      <c r="G28" s="29" t="s">
        <v>48</v>
      </c>
      <c r="H28" s="29" t="s">
        <v>49</v>
      </c>
      <c r="I28" s="29" t="s">
        <v>50</v>
      </c>
      <c r="J28" s="29" t="s">
        <v>51</v>
      </c>
    </row>
    <row r="29" spans="1:11" x14ac:dyDescent="0.25">
      <c r="A29" s="198" t="s">
        <v>419</v>
      </c>
      <c r="D29" s="128">
        <f>'Budget_Valor de M Obra'!D64</f>
        <v>2000</v>
      </c>
      <c r="E29" s="128">
        <f>'Budget_Valor de M Obra'!E64</f>
        <v>2000</v>
      </c>
      <c r="F29" s="128">
        <f>'Budget_Valor de M Obra'!F64</f>
        <v>5200</v>
      </c>
      <c r="G29" s="128">
        <f>'Budget_Valor de M Obra'!G64</f>
        <v>5200</v>
      </c>
      <c r="H29" s="128">
        <f>'Budget_Valor de M Obra'!H64</f>
        <v>5200</v>
      </c>
      <c r="I29" s="128">
        <f>'Budget_Valor de M Obra'!I64</f>
        <v>4240</v>
      </c>
      <c r="J29" s="128">
        <f>'Budget_Valor de M Obra'!J64</f>
        <v>4240</v>
      </c>
    </row>
    <row r="30" spans="1:11" x14ac:dyDescent="0.25">
      <c r="A30" s="189" t="s">
        <v>426</v>
      </c>
    </row>
    <row r="31" spans="1:11" x14ac:dyDescent="0.25">
      <c r="A31" s="97" t="s">
        <v>571</v>
      </c>
      <c r="D31" s="213">
        <f>K31*$D$48</f>
        <v>87.289011367550799</v>
      </c>
      <c r="E31" s="213">
        <f>K31*$E$48</f>
        <v>87.289011367550799</v>
      </c>
      <c r="F31" s="213">
        <f>K31*$F$48</f>
        <v>445.17395797450905</v>
      </c>
      <c r="G31" s="213">
        <f>K31*$G$48</f>
        <v>445.17395797450905</v>
      </c>
      <c r="H31" s="213">
        <f>K31*$H$48</f>
        <v>489.69135377196</v>
      </c>
      <c r="I31" s="213">
        <f>K31*$I$48</f>
        <v>489.69135377196</v>
      </c>
      <c r="J31" s="213">
        <f>K31*$J$48</f>
        <v>489.69135377196</v>
      </c>
      <c r="K31" s="128">
        <f>Budget_Supuestos!B339</f>
        <v>362</v>
      </c>
    </row>
    <row r="32" spans="1:11" x14ac:dyDescent="0.25">
      <c r="A32" s="103" t="s">
        <v>593</v>
      </c>
      <c r="D32" s="213">
        <f>K32*$D$48</f>
        <v>320.22046159145708</v>
      </c>
      <c r="E32" s="213">
        <f>K32*$E$48</f>
        <v>320.22046159145708</v>
      </c>
      <c r="F32" s="213">
        <f>K32*$F$48</f>
        <v>1633.124354116431</v>
      </c>
      <c r="G32" s="213">
        <f>K32*$G$48</f>
        <v>1633.124354116431</v>
      </c>
      <c r="H32" s="213">
        <f>K32*$H$48</f>
        <v>1796.4367895280743</v>
      </c>
      <c r="I32" s="213">
        <f>K32*$I$48</f>
        <v>1796.4367895280743</v>
      </c>
      <c r="J32" s="213">
        <f>K32*$J$48</f>
        <v>1796.4367895280743</v>
      </c>
      <c r="K32" s="128">
        <f>Budget_Supuestos!B340</f>
        <v>1328</v>
      </c>
    </row>
    <row r="33" spans="1:11" s="321" customFormat="1" x14ac:dyDescent="0.25">
      <c r="A33" s="103" t="s">
        <v>572</v>
      </c>
      <c r="D33" s="213">
        <f>K33*$D$48</f>
        <v>17.399931105752664</v>
      </c>
      <c r="E33" s="213">
        <f>K33*$E$48</f>
        <v>17.399931105752664</v>
      </c>
      <c r="F33" s="213">
        <f>K33*$F$48</f>
        <v>88.739648639338597</v>
      </c>
      <c r="G33" s="213">
        <f>K33*$G$48</f>
        <v>88.739648639338597</v>
      </c>
      <c r="H33" s="213">
        <f>K33*$H$48</f>
        <v>97.613613503272461</v>
      </c>
      <c r="I33" s="213">
        <f>K33*$I$48</f>
        <v>97.613613503272461</v>
      </c>
      <c r="J33" s="213">
        <f>K33*$J$48</f>
        <v>97.613613503272461</v>
      </c>
      <c r="K33" s="128">
        <f>Budget_Supuestos!B341</f>
        <v>72.16</v>
      </c>
    </row>
    <row r="34" spans="1:11" x14ac:dyDescent="0.25">
      <c r="A34" s="190" t="s">
        <v>427</v>
      </c>
      <c r="D34" s="189">
        <f t="shared" ref="D34:J34" si="3">SUM(D31:D32)</f>
        <v>407.50947295900789</v>
      </c>
      <c r="E34" s="189">
        <f t="shared" si="3"/>
        <v>407.50947295900789</v>
      </c>
      <c r="F34" s="189">
        <f t="shared" si="3"/>
        <v>2078.2983120909403</v>
      </c>
      <c r="G34" s="189">
        <f t="shared" si="3"/>
        <v>2078.2983120909403</v>
      </c>
      <c r="H34" s="189">
        <f t="shared" si="3"/>
        <v>2286.1281433000345</v>
      </c>
      <c r="I34" s="189">
        <f t="shared" si="3"/>
        <v>2286.1281433000345</v>
      </c>
      <c r="J34" s="189">
        <f t="shared" si="3"/>
        <v>2286.1281433000345</v>
      </c>
    </row>
    <row r="35" spans="1:11" ht="18.75" x14ac:dyDescent="0.3">
      <c r="A35" s="204" t="s">
        <v>428</v>
      </c>
      <c r="D35" s="189">
        <f t="shared" ref="D35:J35" si="4">D34+D29</f>
        <v>2407.5094729590078</v>
      </c>
      <c r="E35" s="189">
        <f t="shared" si="4"/>
        <v>2407.5094729590078</v>
      </c>
      <c r="F35" s="189">
        <f t="shared" si="4"/>
        <v>7278.2983120909403</v>
      </c>
      <c r="G35" s="189">
        <f t="shared" si="4"/>
        <v>7278.2983120909403</v>
      </c>
      <c r="H35" s="189">
        <f t="shared" si="4"/>
        <v>7486.1281433000349</v>
      </c>
      <c r="I35" s="189">
        <f t="shared" si="4"/>
        <v>6526.1281433000349</v>
      </c>
      <c r="J35" s="189">
        <f t="shared" si="4"/>
        <v>6526.1281433000349</v>
      </c>
    </row>
    <row r="36" spans="1:11" ht="18.75" x14ac:dyDescent="0.3">
      <c r="A36" s="201" t="s">
        <v>429</v>
      </c>
      <c r="B36" s="29" t="s">
        <v>43</v>
      </c>
      <c r="C36" s="29" t="s">
        <v>44</v>
      </c>
      <c r="D36" s="29" t="s">
        <v>45</v>
      </c>
      <c r="E36" s="29" t="s">
        <v>46</v>
      </c>
      <c r="F36" s="29" t="s">
        <v>47</v>
      </c>
      <c r="G36" s="29" t="s">
        <v>48</v>
      </c>
      <c r="H36" s="29" t="s">
        <v>49</v>
      </c>
      <c r="I36" s="29" t="s">
        <v>50</v>
      </c>
      <c r="J36" s="29" t="s">
        <v>51</v>
      </c>
    </row>
    <row r="37" spans="1:11" x14ac:dyDescent="0.25">
      <c r="A37" s="198" t="s">
        <v>430</v>
      </c>
      <c r="D37" s="128">
        <f>'Budget_Valor de M Obra'!D69</f>
        <v>558.59999999999991</v>
      </c>
      <c r="E37" s="128">
        <f>'Budget_Valor de M Obra'!E69</f>
        <v>558.59999999999991</v>
      </c>
      <c r="F37" s="128">
        <f>'Budget_Valor de M Obra'!F69</f>
        <v>1163.7499999999998</v>
      </c>
      <c r="G37" s="128">
        <f>'Budget_Valor de M Obra'!G69</f>
        <v>1163.7499999999998</v>
      </c>
      <c r="H37" s="128">
        <f>'Budget_Valor de M Obra'!H69</f>
        <v>1163.7499999999998</v>
      </c>
      <c r="I37" s="128">
        <f>'Budget_Valor de M Obra'!I69</f>
        <v>642.38999999999987</v>
      </c>
      <c r="J37" s="128">
        <f>'Budget_Valor de M Obra'!J69</f>
        <v>642.38999999999987</v>
      </c>
    </row>
    <row r="38" spans="1:11" x14ac:dyDescent="0.25">
      <c r="A38" s="189" t="s">
        <v>431</v>
      </c>
      <c r="D38" s="128">
        <f>'Budget_Valor de M Obra'!D78</f>
        <v>584.66799999999978</v>
      </c>
      <c r="E38" s="128">
        <f>'Budget_Valor de M Obra'!E78</f>
        <v>584.66799999999978</v>
      </c>
      <c r="F38" s="128">
        <f>'Budget_Valor de M Obra'!F78</f>
        <v>1187.9559999999997</v>
      </c>
      <c r="G38" s="128">
        <f>'Budget_Valor de M Obra'!G78</f>
        <v>1187.9559999999997</v>
      </c>
      <c r="H38" s="128">
        <f>'Budget_Valor de M Obra'!H78</f>
        <v>1187.9559999999997</v>
      </c>
      <c r="I38" s="128">
        <f>'Budget_Valor de M Obra'!I78</f>
        <v>301.64399999999995</v>
      </c>
      <c r="J38" s="128">
        <f>'Budget_Valor de M Obra'!J78</f>
        <v>301.64399999999995</v>
      </c>
    </row>
    <row r="39" spans="1:11" x14ac:dyDescent="0.25">
      <c r="A39" s="226" t="s">
        <v>501</v>
      </c>
      <c r="D39" s="31">
        <f>$K$39*D48</f>
        <v>326.8515328970031</v>
      </c>
      <c r="E39" s="31">
        <f t="shared" ref="E39:J39" si="5">$K$39*E48</f>
        <v>326.8515328970031</v>
      </c>
      <c r="F39" s="31">
        <f t="shared" si="5"/>
        <v>1666.9428177747159</v>
      </c>
      <c r="G39" s="31">
        <f>$K$39*G48</f>
        <v>1666.9428177747159</v>
      </c>
      <c r="H39" s="31">
        <f t="shared" si="5"/>
        <v>1833.6370995521877</v>
      </c>
      <c r="I39" s="31">
        <f t="shared" si="5"/>
        <v>1833.6370995521877</v>
      </c>
      <c r="J39" s="31">
        <f t="shared" si="5"/>
        <v>1833.6370995521877</v>
      </c>
      <c r="K39" s="227">
        <f>F58</f>
        <v>1355.5000000000002</v>
      </c>
    </row>
    <row r="40" spans="1:11" ht="18.75" x14ac:dyDescent="0.3">
      <c r="A40" s="204" t="s">
        <v>432</v>
      </c>
      <c r="D40" s="189">
        <f>D37+D38+D39</f>
        <v>1470.1195328970027</v>
      </c>
      <c r="E40" s="189">
        <f t="shared" ref="E40:J40" si="6">E37+E38+E39</f>
        <v>1470.1195328970027</v>
      </c>
      <c r="F40" s="189">
        <f t="shared" si="6"/>
        <v>4018.6488177747151</v>
      </c>
      <c r="G40" s="189">
        <f>G37+G38+G39</f>
        <v>4018.6488177747151</v>
      </c>
      <c r="H40" s="189">
        <f t="shared" si="6"/>
        <v>4185.3430995521867</v>
      </c>
      <c r="I40" s="189">
        <f t="shared" si="6"/>
        <v>2777.6710995521876</v>
      </c>
      <c r="J40" s="472">
        <f t="shared" si="6"/>
        <v>2777.6710995521876</v>
      </c>
    </row>
    <row r="41" spans="1:11" x14ac:dyDescent="0.25">
      <c r="A41" s="32"/>
    </row>
    <row r="42" spans="1:11" x14ac:dyDescent="0.25">
      <c r="A42" s="32"/>
    </row>
    <row r="43" spans="1:11" x14ac:dyDescent="0.25">
      <c r="A43" s="216" t="s">
        <v>464</v>
      </c>
    </row>
    <row r="44" spans="1:11" x14ac:dyDescent="0.25">
      <c r="B44" s="29" t="s">
        <v>43</v>
      </c>
      <c r="C44" s="29" t="s">
        <v>44</v>
      </c>
      <c r="D44" s="29" t="s">
        <v>45</v>
      </c>
      <c r="E44" s="29" t="s">
        <v>46</v>
      </c>
      <c r="F44" s="29" t="s">
        <v>47</v>
      </c>
      <c r="G44" s="29" t="s">
        <v>48</v>
      </c>
      <c r="H44" s="29" t="s">
        <v>49</v>
      </c>
      <c r="I44" s="29" t="s">
        <v>50</v>
      </c>
      <c r="J44" s="29" t="s">
        <v>51</v>
      </c>
    </row>
    <row r="45" spans="1:11" x14ac:dyDescent="0.25">
      <c r="A45" s="32" t="s">
        <v>42</v>
      </c>
      <c r="B45" s="215">
        <f>Budget_Supuestos!L145</f>
        <v>0</v>
      </c>
      <c r="C45" s="215">
        <f>Budget_Supuestos!L146</f>
        <v>0</v>
      </c>
      <c r="D45" s="215">
        <f>Budget_Supuestos!L147</f>
        <v>2.7450980392156863</v>
      </c>
      <c r="E45" s="215">
        <f>Budget_Supuestos!L148</f>
        <v>2.7450980392156863</v>
      </c>
      <c r="F45" s="215">
        <f>Budget_Supuestos!L149</f>
        <v>14</v>
      </c>
      <c r="G45" s="215">
        <f>Budget_Supuestos!L150</f>
        <v>14</v>
      </c>
      <c r="H45" s="215">
        <f>Budget_Supuestos!L151</f>
        <v>15.400000000000002</v>
      </c>
      <c r="I45" s="215">
        <f>Budget_Supuestos!L152</f>
        <v>15.400000000000002</v>
      </c>
      <c r="J45" s="215">
        <f>Budget_Supuestos!L153</f>
        <v>15.400000000000002</v>
      </c>
    </row>
    <row r="46" spans="1:11" x14ac:dyDescent="0.25">
      <c r="A46" t="s">
        <v>466</v>
      </c>
      <c r="E46" s="213">
        <f t="shared" ref="E46:J46" si="7">(E45-D45)/D45</f>
        <v>0</v>
      </c>
      <c r="F46" s="213">
        <f t="shared" si="7"/>
        <v>4.0999999999999996</v>
      </c>
      <c r="G46" s="213">
        <f t="shared" si="7"/>
        <v>0</v>
      </c>
      <c r="H46" s="213">
        <f t="shared" si="7"/>
        <v>0.10000000000000016</v>
      </c>
      <c r="I46" s="213">
        <f t="shared" si="7"/>
        <v>0</v>
      </c>
      <c r="J46" s="213">
        <f t="shared" si="7"/>
        <v>0</v>
      </c>
    </row>
    <row r="47" spans="1:11" x14ac:dyDescent="0.25">
      <c r="A47" t="s">
        <v>465</v>
      </c>
      <c r="D47" s="142">
        <f>AVERAGE(D45:J45)</f>
        <v>11.384313725490198</v>
      </c>
      <c r="E47" s="142">
        <f t="shared" ref="E47:J47" si="8">D47</f>
        <v>11.384313725490198</v>
      </c>
      <c r="F47" s="142">
        <f t="shared" si="8"/>
        <v>11.384313725490198</v>
      </c>
      <c r="G47" s="142">
        <f t="shared" si="8"/>
        <v>11.384313725490198</v>
      </c>
      <c r="H47" s="142">
        <f t="shared" si="8"/>
        <v>11.384313725490198</v>
      </c>
      <c r="I47" s="142">
        <f t="shared" si="8"/>
        <v>11.384313725490198</v>
      </c>
      <c r="J47" s="142">
        <f t="shared" si="8"/>
        <v>11.384313725490198</v>
      </c>
    </row>
    <row r="48" spans="1:11" x14ac:dyDescent="0.25">
      <c r="A48" t="s">
        <v>468</v>
      </c>
      <c r="D48">
        <f t="shared" ref="D48:J48" si="9">D45/D47</f>
        <v>0.24112986565621766</v>
      </c>
      <c r="E48">
        <f t="shared" si="9"/>
        <v>0.24112986565621766</v>
      </c>
      <c r="F48">
        <f t="shared" si="9"/>
        <v>1.2297623148467101</v>
      </c>
      <c r="G48">
        <f t="shared" si="9"/>
        <v>1.2297623148467101</v>
      </c>
      <c r="H48">
        <f t="shared" si="9"/>
        <v>1.3527385463313812</v>
      </c>
      <c r="I48">
        <f t="shared" si="9"/>
        <v>1.3527385463313812</v>
      </c>
      <c r="J48">
        <f t="shared" si="9"/>
        <v>1.3527385463313812</v>
      </c>
    </row>
    <row r="50" spans="1:6" x14ac:dyDescent="0.25">
      <c r="A50" s="62" t="s">
        <v>497</v>
      </c>
      <c r="B50" s="322"/>
      <c r="C50" s="8"/>
      <c r="D50" s="322"/>
      <c r="E50" s="8"/>
      <c r="F50" s="218" t="s">
        <v>486</v>
      </c>
    </row>
    <row r="51" spans="1:6" x14ac:dyDescent="0.25">
      <c r="A51" s="22" t="s">
        <v>483</v>
      </c>
      <c r="B51" s="153"/>
      <c r="C51" s="153"/>
      <c r="D51" s="153"/>
      <c r="E51" s="153"/>
      <c r="F51" s="146">
        <f>Budget_Supuestos!B369</f>
        <v>439.4133333333333</v>
      </c>
    </row>
    <row r="52" spans="1:6" x14ac:dyDescent="0.25">
      <c r="A52" s="220" t="s">
        <v>484</v>
      </c>
      <c r="B52" s="153"/>
      <c r="C52" s="153"/>
      <c r="D52" s="153"/>
      <c r="E52" s="153"/>
      <c r="F52" s="146">
        <f>Budget_Supuestos!B370</f>
        <v>1195.8</v>
      </c>
    </row>
    <row r="53" spans="1:6" ht="30.75" x14ac:dyDescent="0.25">
      <c r="A53" s="169" t="s">
        <v>487</v>
      </c>
      <c r="B53" s="153"/>
      <c r="C53" s="153"/>
      <c r="D53" s="153"/>
      <c r="E53" s="153"/>
      <c r="F53" s="146">
        <f>Budget_Supuestos!B372</f>
        <v>751.2</v>
      </c>
    </row>
    <row r="54" spans="1:6" x14ac:dyDescent="0.25">
      <c r="A54" s="222" t="s">
        <v>488</v>
      </c>
      <c r="B54" s="153"/>
      <c r="C54" s="153"/>
      <c r="D54" s="153"/>
      <c r="E54" s="153"/>
      <c r="F54" s="146">
        <f>Budget_Supuestos!B373</f>
        <v>0</v>
      </c>
    </row>
    <row r="55" spans="1:6" x14ac:dyDescent="0.25">
      <c r="A55" s="800" t="s">
        <v>499</v>
      </c>
      <c r="B55" s="800"/>
      <c r="C55" s="800"/>
      <c r="D55" s="800"/>
      <c r="E55" s="800"/>
      <c r="F55" s="223">
        <f>SUM(F51:F52)</f>
        <v>1635.2133333333331</v>
      </c>
    </row>
    <row r="56" spans="1:6" x14ac:dyDescent="0.25">
      <c r="A56" s="62" t="s">
        <v>498</v>
      </c>
    </row>
    <row r="57" spans="1:6" x14ac:dyDescent="0.25">
      <c r="A57" s="221" t="s">
        <v>42</v>
      </c>
      <c r="B57" s="146" t="e">
        <f>Budget_Supuestos!#REF!</f>
        <v>#REF!</v>
      </c>
      <c r="C57" s="146">
        <f>Budget_Supuestos!C371</f>
        <v>0</v>
      </c>
      <c r="D57" s="146">
        <f>Budget_Supuestos!D371</f>
        <v>0</v>
      </c>
      <c r="E57" s="146">
        <f>Budget_Supuestos!E371</f>
        <v>0</v>
      </c>
      <c r="F57" s="146">
        <f>Budget_Supuestos!B371</f>
        <v>1355.5000000000002</v>
      </c>
    </row>
    <row r="58" spans="1:6" x14ac:dyDescent="0.25">
      <c r="A58" s="800" t="s">
        <v>500</v>
      </c>
      <c r="B58" s="800"/>
      <c r="C58" s="800"/>
      <c r="D58" s="800"/>
      <c r="E58" s="800"/>
      <c r="F58" s="223">
        <f>SUM(F57)</f>
        <v>1355.5000000000002</v>
      </c>
    </row>
  </sheetData>
  <mergeCells count="2">
    <mergeCell ref="A55:E55"/>
    <mergeCell ref="A58:E58"/>
  </mergeCells>
  <phoneticPr fontId="16" type="noConversion"/>
  <pageMargins left="0.75" right="0.75" top="1" bottom="1" header="0.5" footer="0.5"/>
  <pageSetup scale="49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6AB5F"/>
  </sheetPr>
  <dimension ref="C5:J25"/>
  <sheetViews>
    <sheetView topLeftCell="A14" workbookViewId="0">
      <selection activeCell="D25" sqref="D25"/>
    </sheetView>
  </sheetViews>
  <sheetFormatPr defaultColWidth="8.875" defaultRowHeight="15.75" x14ac:dyDescent="0.25"/>
  <cols>
    <col min="3" max="3" width="31.5" customWidth="1"/>
    <col min="4" max="4" width="8.875" customWidth="1"/>
    <col min="8" max="8" width="16.875" bestFit="1" customWidth="1"/>
    <col min="9" max="9" width="11.125" customWidth="1"/>
    <col min="10" max="10" width="15.375" customWidth="1"/>
  </cols>
  <sheetData>
    <row r="5" spans="3:10" x14ac:dyDescent="0.25">
      <c r="H5" t="s">
        <v>922</v>
      </c>
      <c r="I5" t="s">
        <v>921</v>
      </c>
      <c r="J5" t="s">
        <v>923</v>
      </c>
    </row>
    <row r="6" spans="3:10" x14ac:dyDescent="0.25">
      <c r="C6" s="321" t="s">
        <v>914</v>
      </c>
      <c r="D6" s="75">
        <f>'Inputs 1.0'!E6</f>
        <v>1.03</v>
      </c>
    </row>
    <row r="7" spans="3:10" x14ac:dyDescent="0.25">
      <c r="C7" s="321" t="s">
        <v>915</v>
      </c>
      <c r="D7" s="75">
        <f>'Inputs 1.0'!E7</f>
        <v>1.94</v>
      </c>
    </row>
    <row r="8" spans="3:10" x14ac:dyDescent="0.25">
      <c r="C8" s="321" t="s">
        <v>822</v>
      </c>
      <c r="D8" s="75">
        <f>'Inputs 1.0'!E8</f>
        <v>1.97</v>
      </c>
    </row>
    <row r="9" spans="3:10" x14ac:dyDescent="0.25">
      <c r="D9" s="75"/>
    </row>
    <row r="10" spans="3:10" x14ac:dyDescent="0.25">
      <c r="C10" s="321" t="s">
        <v>913</v>
      </c>
      <c r="D10" s="75">
        <f>'Inputs 1.0'!E10</f>
        <v>1</v>
      </c>
    </row>
    <row r="11" spans="3:10" x14ac:dyDescent="0.25">
      <c r="C11" s="321" t="s">
        <v>818</v>
      </c>
      <c r="D11" s="75">
        <f>'Inputs 1.0'!E11</f>
        <v>0</v>
      </c>
    </row>
    <row r="12" spans="3:10" x14ac:dyDescent="0.25">
      <c r="C12" s="321" t="s">
        <v>819</v>
      </c>
      <c r="D12" s="75">
        <f>'Inputs 1.0'!E12</f>
        <v>0</v>
      </c>
    </row>
    <row r="14" spans="3:10" ht="31.5" x14ac:dyDescent="0.25">
      <c r="C14" s="14" t="s">
        <v>916</v>
      </c>
      <c r="D14" s="651">
        <f>J14</f>
        <v>93.09999999999998</v>
      </c>
      <c r="H14" s="653">
        <f>'Inputs 1.0'!E14</f>
        <v>16.155738605161996</v>
      </c>
      <c r="I14">
        <f>H14/Conversiones!$D$24</f>
        <v>5.1125755079626565</v>
      </c>
      <c r="J14">
        <f>I14*Conversiones!$F$24</f>
        <v>93.09999999999998</v>
      </c>
    </row>
    <row r="15" spans="3:10" ht="47.25" x14ac:dyDescent="0.25">
      <c r="C15" s="14" t="s">
        <v>865</v>
      </c>
      <c r="D15" s="75">
        <f>'Inputs 1.0'!$E$15</f>
        <v>14</v>
      </c>
      <c r="H15" s="75"/>
    </row>
    <row r="16" spans="3:10" x14ac:dyDescent="0.25">
      <c r="H16" s="75"/>
    </row>
    <row r="17" spans="3:10" ht="47.25" x14ac:dyDescent="0.25">
      <c r="C17" s="14" t="s">
        <v>864</v>
      </c>
      <c r="D17" s="652">
        <f>J17</f>
        <v>1355.5000000000002</v>
      </c>
      <c r="H17" s="653">
        <f>'Inputs 1.0'!E17</f>
        <v>235.22130697419001</v>
      </c>
      <c r="I17" s="321">
        <f>H17/Conversiones!$D$24</f>
        <v>74.437122460186714</v>
      </c>
      <c r="J17" s="321">
        <f>I17*Conversiones!$F$24</f>
        <v>1355.5000000000002</v>
      </c>
    </row>
    <row r="19" spans="3:10" ht="31.5" x14ac:dyDescent="0.25">
      <c r="C19" s="14" t="s">
        <v>907</v>
      </c>
      <c r="D19" s="652">
        <f>J19</f>
        <v>3207</v>
      </c>
      <c r="H19" s="653">
        <f>'Inputs 1.0'!E19</f>
        <v>556.51400329489297</v>
      </c>
      <c r="I19" s="321">
        <f>H19/Conversiones!$D$24</f>
        <v>176.11202635914333</v>
      </c>
      <c r="J19" s="321">
        <f>I19*Conversiones!$F$24</f>
        <v>3207</v>
      </c>
    </row>
    <row r="24" spans="3:10" ht="31.5" x14ac:dyDescent="0.25">
      <c r="C24" s="753" t="s">
        <v>979</v>
      </c>
      <c r="D24" s="754">
        <f>J24</f>
        <v>2188.638853458554</v>
      </c>
      <c r="E24" s="752"/>
      <c r="H24" s="653">
        <f>'Inputs 1.0'!E24</f>
        <v>379.79674777205003</v>
      </c>
      <c r="I24" s="321">
        <f>H24/Conversiones!$D$24</f>
        <v>120.18884423166139</v>
      </c>
      <c r="J24" s="321">
        <f>I24*Conversiones!$F$24</f>
        <v>2188.638853458554</v>
      </c>
    </row>
    <row r="25" spans="3:10" ht="31.5" x14ac:dyDescent="0.25">
      <c r="C25" s="753" t="s">
        <v>978</v>
      </c>
      <c r="D25" s="755">
        <f>J25</f>
        <v>2188.6388534585549</v>
      </c>
      <c r="E25" s="752"/>
      <c r="H25" s="653">
        <f>'Inputs 1.0'!E25</f>
        <v>379.79674777205014</v>
      </c>
      <c r="I25" s="321">
        <f>H25/Conversiones!$D$24</f>
        <v>120.18884423166143</v>
      </c>
      <c r="J25" s="321">
        <f>I25*Conversiones!$F$24</f>
        <v>2188.6388534585549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439F58"/>
  </sheetPr>
  <dimension ref="D6:W22"/>
  <sheetViews>
    <sheetView workbookViewId="0">
      <selection activeCell="F17" sqref="F17"/>
    </sheetView>
  </sheetViews>
  <sheetFormatPr defaultColWidth="8.875" defaultRowHeight="15.75" x14ac:dyDescent="0.25"/>
  <cols>
    <col min="12" max="12" width="9.875" bestFit="1" customWidth="1"/>
  </cols>
  <sheetData>
    <row r="6" spans="15:23" x14ac:dyDescent="0.25">
      <c r="O6" s="62" t="s">
        <v>908</v>
      </c>
      <c r="P6" s="649"/>
      <c r="Q6" s="649"/>
    </row>
    <row r="8" spans="15:23" x14ac:dyDescent="0.25">
      <c r="O8" t="s">
        <v>909</v>
      </c>
      <c r="W8">
        <f>'Outcome TOTAL_Adj'!$P$18</f>
        <v>1.7368049936799144</v>
      </c>
    </row>
    <row r="10" spans="15:23" x14ac:dyDescent="0.25">
      <c r="O10" t="s">
        <v>911</v>
      </c>
    </row>
    <row r="11" spans="15:23" x14ac:dyDescent="0.25">
      <c r="O11" t="s">
        <v>910</v>
      </c>
      <c r="W11">
        <v>1.34</v>
      </c>
    </row>
    <row r="14" spans="15:23" x14ac:dyDescent="0.25">
      <c r="O14" t="s">
        <v>912</v>
      </c>
    </row>
    <row r="18" spans="4:17" s="321" customFormat="1" x14ac:dyDescent="0.25"/>
    <row r="19" spans="4:17" s="321" customFormat="1" ht="18.75" x14ac:dyDescent="0.3">
      <c r="K19" s="646" t="s">
        <v>903</v>
      </c>
      <c r="L19" s="646" t="s">
        <v>904</v>
      </c>
    </row>
    <row r="21" spans="4:17" ht="31.5" x14ac:dyDescent="0.5">
      <c r="D21" s="617" t="s">
        <v>862</v>
      </c>
      <c r="E21" s="46"/>
      <c r="F21" s="46"/>
      <c r="G21" s="46"/>
      <c r="H21" s="46"/>
      <c r="I21" s="46"/>
      <c r="J21" s="46"/>
      <c r="K21" s="647">
        <f>'Outcome TOTAL_Adj'!$P$13</f>
        <v>1368.2076285004568</v>
      </c>
      <c r="L21" s="647">
        <f>'Outcome TOTAL_Adj'!$P$5</f>
        <v>24915.060914993319</v>
      </c>
      <c r="Q21" s="618"/>
    </row>
    <row r="22" spans="4:17" ht="31.5" x14ac:dyDescent="0.5">
      <c r="D22" s="617" t="s">
        <v>863</v>
      </c>
      <c r="E22" s="46"/>
      <c r="F22" s="46"/>
      <c r="G22" s="46"/>
      <c r="H22" s="46"/>
      <c r="I22" s="46"/>
      <c r="J22" s="46"/>
      <c r="K22" s="647">
        <f>'Outcome TOTAL_Adj'!$P$16</f>
        <v>2442.4635298820194</v>
      </c>
      <c r="L22" s="647">
        <f>'Outcome TOTAL_Adj'!$P$8</f>
        <v>44477.260879151574</v>
      </c>
      <c r="Q22" s="618"/>
    </row>
  </sheetData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3:S159"/>
  <sheetViews>
    <sheetView workbookViewId="0">
      <selection activeCell="O33" sqref="O33"/>
    </sheetView>
  </sheetViews>
  <sheetFormatPr defaultColWidth="11" defaultRowHeight="15.75" x14ac:dyDescent="0.25"/>
  <cols>
    <col min="2" max="2" width="14" customWidth="1"/>
    <col min="3" max="3" width="17.375" bestFit="1" customWidth="1"/>
    <col min="4" max="4" width="15" customWidth="1"/>
    <col min="5" max="5" width="15.625" bestFit="1" customWidth="1"/>
  </cols>
  <sheetData>
    <row r="3" spans="2:11" ht="18.75" x14ac:dyDescent="0.3">
      <c r="B3" s="803" t="s">
        <v>99</v>
      </c>
      <c r="C3" s="803"/>
      <c r="D3" s="803"/>
    </row>
    <row r="4" spans="2:11" ht="18.75" x14ac:dyDescent="0.3">
      <c r="B4" s="82"/>
      <c r="C4" s="82"/>
      <c r="D4" s="82"/>
      <c r="E4" s="5"/>
    </row>
    <row r="5" spans="2:11" x14ac:dyDescent="0.25">
      <c r="B5" s="83" t="s">
        <v>117</v>
      </c>
      <c r="C5" s="5"/>
      <c r="D5" s="5"/>
      <c r="E5" s="5"/>
    </row>
    <row r="6" spans="2:11" x14ac:dyDescent="0.25">
      <c r="B6" s="79" t="s">
        <v>98</v>
      </c>
      <c r="C6" s="65" t="s">
        <v>100</v>
      </c>
      <c r="D6" t="s">
        <v>113</v>
      </c>
    </row>
    <row r="7" spans="2:11" x14ac:dyDescent="0.25">
      <c r="B7">
        <v>1</v>
      </c>
      <c r="C7">
        <v>1.4184000000000001</v>
      </c>
      <c r="D7">
        <v>10000</v>
      </c>
    </row>
    <row r="8" spans="2:11" x14ac:dyDescent="0.25">
      <c r="K8" t="s">
        <v>112</v>
      </c>
    </row>
    <row r="9" spans="2:11" x14ac:dyDescent="0.25">
      <c r="B9" s="83" t="s">
        <v>118</v>
      </c>
    </row>
    <row r="10" spans="2:11" x14ac:dyDescent="0.25">
      <c r="B10" s="79" t="s">
        <v>110</v>
      </c>
      <c r="C10" s="65" t="s">
        <v>111</v>
      </c>
    </row>
    <row r="11" spans="2:11" x14ac:dyDescent="0.25">
      <c r="B11">
        <v>1</v>
      </c>
      <c r="C11" s="68">
        <v>2.2046199999999998</v>
      </c>
    </row>
    <row r="13" spans="2:11" x14ac:dyDescent="0.25">
      <c r="B13" s="79" t="s">
        <v>112</v>
      </c>
      <c r="C13" s="65" t="s">
        <v>111</v>
      </c>
      <c r="D13" s="65" t="s">
        <v>110</v>
      </c>
    </row>
    <row r="14" spans="2:11" x14ac:dyDescent="0.25">
      <c r="B14">
        <v>1</v>
      </c>
      <c r="C14" s="68">
        <v>101.4</v>
      </c>
      <c r="D14" s="80">
        <f>H44</f>
        <v>45.6</v>
      </c>
    </row>
    <row r="16" spans="2:11" x14ac:dyDescent="0.25">
      <c r="B16" s="79" t="s">
        <v>114</v>
      </c>
      <c r="C16" s="65" t="s">
        <v>111</v>
      </c>
      <c r="D16" s="65" t="s">
        <v>110</v>
      </c>
    </row>
    <row r="17" spans="2:8" x14ac:dyDescent="0.25">
      <c r="B17">
        <v>1</v>
      </c>
      <c r="D17">
        <v>12.5</v>
      </c>
    </row>
    <row r="19" spans="2:8" x14ac:dyDescent="0.25">
      <c r="B19" s="81" t="s">
        <v>115</v>
      </c>
      <c r="D19" t="s">
        <v>110</v>
      </c>
      <c r="E19" t="s">
        <v>116</v>
      </c>
      <c r="F19" t="s">
        <v>119</v>
      </c>
    </row>
    <row r="20" spans="2:8" x14ac:dyDescent="0.25">
      <c r="B20">
        <v>1</v>
      </c>
      <c r="D20">
        <v>125</v>
      </c>
      <c r="E20">
        <v>2</v>
      </c>
      <c r="F20">
        <f>D20/D17</f>
        <v>10</v>
      </c>
    </row>
    <row r="22" spans="2:8" x14ac:dyDescent="0.25">
      <c r="B22" s="83" t="s">
        <v>120</v>
      </c>
    </row>
    <row r="23" spans="2:8" x14ac:dyDescent="0.25">
      <c r="B23" s="79" t="s">
        <v>83</v>
      </c>
      <c r="C23" s="607" t="s">
        <v>121</v>
      </c>
      <c r="D23" s="607" t="s">
        <v>122</v>
      </c>
      <c r="E23" s="607" t="s">
        <v>123</v>
      </c>
      <c r="F23" s="607" t="s">
        <v>600</v>
      </c>
    </row>
    <row r="24" spans="2:8" x14ac:dyDescent="0.25">
      <c r="B24">
        <v>1</v>
      </c>
      <c r="C24" s="322">
        <v>21.92</v>
      </c>
      <c r="D24" s="322">
        <v>3.16</v>
      </c>
      <c r="E24" s="322">
        <v>2765</v>
      </c>
      <c r="F24" s="322">
        <v>18.21</v>
      </c>
    </row>
    <row r="26" spans="2:8" x14ac:dyDescent="0.25">
      <c r="B26" s="83" t="s">
        <v>221</v>
      </c>
    </row>
    <row r="27" spans="2:8" x14ac:dyDescent="0.25">
      <c r="B27" s="81" t="s">
        <v>222</v>
      </c>
      <c r="C27" t="s">
        <v>224</v>
      </c>
      <c r="H27" t="s">
        <v>223</v>
      </c>
    </row>
    <row r="28" spans="2:8" x14ac:dyDescent="0.25">
      <c r="B28">
        <v>1</v>
      </c>
      <c r="C28" s="140">
        <v>0.26417205124155801</v>
      </c>
    </row>
    <row r="30" spans="2:8" x14ac:dyDescent="0.25">
      <c r="B30" s="81" t="s">
        <v>225</v>
      </c>
      <c r="D30" t="s">
        <v>222</v>
      </c>
    </row>
    <row r="31" spans="2:8" x14ac:dyDescent="0.25">
      <c r="B31">
        <v>1</v>
      </c>
      <c r="D31" s="141">
        <v>3.7854117999999999</v>
      </c>
    </row>
    <row r="33" spans="2:19" ht="31.5" x14ac:dyDescent="0.25">
      <c r="B33" s="154" t="s">
        <v>295</v>
      </c>
    </row>
    <row r="34" spans="2:19" s="5" customFormat="1" ht="31.5" x14ac:dyDescent="0.25">
      <c r="B34" s="156" t="s">
        <v>297</v>
      </c>
      <c r="C34">
        <f>$G$59</f>
        <v>0.22625000000000001</v>
      </c>
    </row>
    <row r="35" spans="2:19" s="5" customFormat="1" x14ac:dyDescent="0.25">
      <c r="B35" s="155"/>
    </row>
    <row r="36" spans="2:19" s="5" customFormat="1" ht="31.5" x14ac:dyDescent="0.25">
      <c r="B36" s="156" t="s">
        <v>311</v>
      </c>
      <c r="C36" s="5">
        <f>G64</f>
        <v>0.79455128205128212</v>
      </c>
      <c r="H36" s="5">
        <f>H44*C11</f>
        <v>100.530672</v>
      </c>
    </row>
    <row r="37" spans="2:19" s="5" customFormat="1" x14ac:dyDescent="0.25">
      <c r="B37" s="155"/>
    </row>
    <row r="39" spans="2:19" x14ac:dyDescent="0.25">
      <c r="B39" t="s">
        <v>234</v>
      </c>
    </row>
    <row r="41" spans="2:19" x14ac:dyDescent="0.25">
      <c r="R41" t="s">
        <v>301</v>
      </c>
      <c r="S41" t="s">
        <v>256</v>
      </c>
    </row>
    <row r="42" spans="2:19" x14ac:dyDescent="0.25">
      <c r="B42" s="802" t="s">
        <v>235</v>
      </c>
      <c r="C42" s="802"/>
      <c r="H42" s="801" t="s">
        <v>112</v>
      </c>
      <c r="I42" s="801"/>
      <c r="L42" t="s">
        <v>236</v>
      </c>
      <c r="O42" t="s">
        <v>237</v>
      </c>
      <c r="R42">
        <f>H44</f>
        <v>45.6</v>
      </c>
      <c r="S42">
        <f>R42/C36</f>
        <v>57.390883420734163</v>
      </c>
    </row>
    <row r="43" spans="2:19" x14ac:dyDescent="0.25">
      <c r="H43" s="68" t="s">
        <v>238</v>
      </c>
      <c r="I43" s="68"/>
      <c r="L43" t="s">
        <v>239</v>
      </c>
    </row>
    <row r="44" spans="2:19" x14ac:dyDescent="0.25">
      <c r="B44" t="s">
        <v>240</v>
      </c>
      <c r="D44" t="s">
        <v>273</v>
      </c>
      <c r="E44" t="s">
        <v>241</v>
      </c>
      <c r="H44" s="81">
        <v>45.6</v>
      </c>
      <c r="I44" s="68" t="s">
        <v>242</v>
      </c>
    </row>
    <row r="46" spans="2:19" x14ac:dyDescent="0.25">
      <c r="B46" t="s">
        <v>243</v>
      </c>
    </row>
    <row r="48" spans="2:19" x14ac:dyDescent="0.25">
      <c r="B48" t="s">
        <v>244</v>
      </c>
    </row>
    <row r="49" spans="2:10" x14ac:dyDescent="0.25">
      <c r="B49" t="s">
        <v>306</v>
      </c>
    </row>
    <row r="51" spans="2:10" ht="31.5" x14ac:dyDescent="0.25">
      <c r="B51" t="s">
        <v>245</v>
      </c>
      <c r="F51" s="14" t="s">
        <v>298</v>
      </c>
      <c r="G51" s="14" t="s">
        <v>299</v>
      </c>
      <c r="H51" t="s">
        <v>300</v>
      </c>
    </row>
    <row r="52" spans="2:10" x14ac:dyDescent="0.25">
      <c r="E52" s="4" t="s">
        <v>296</v>
      </c>
      <c r="F52">
        <f>20*3</f>
        <v>60</v>
      </c>
      <c r="G52">
        <v>15</v>
      </c>
      <c r="H52" s="66">
        <f>G52/F52</f>
        <v>0.25</v>
      </c>
    </row>
    <row r="54" spans="2:10" x14ac:dyDescent="0.25">
      <c r="B54" s="802" t="s">
        <v>307</v>
      </c>
      <c r="C54" s="802"/>
    </row>
    <row r="56" spans="2:10" x14ac:dyDescent="0.25">
      <c r="B56" t="s">
        <v>297</v>
      </c>
      <c r="D56" t="s">
        <v>308</v>
      </c>
      <c r="E56">
        <f>H52</f>
        <v>0.25</v>
      </c>
      <c r="J56" t="s">
        <v>305</v>
      </c>
    </row>
    <row r="57" spans="2:10" x14ac:dyDescent="0.25">
      <c r="D57" t="s">
        <v>309</v>
      </c>
      <c r="E57">
        <f>E110</f>
        <v>0.23</v>
      </c>
    </row>
    <row r="58" spans="2:10" x14ac:dyDescent="0.25">
      <c r="D58" t="s">
        <v>310</v>
      </c>
      <c r="E58">
        <f>J158</f>
        <v>0.19500000000000001</v>
      </c>
    </row>
    <row r="59" spans="2:10" x14ac:dyDescent="0.25">
      <c r="D59" t="s">
        <v>316</v>
      </c>
      <c r="E59">
        <f>$E$110</f>
        <v>0.23</v>
      </c>
      <c r="G59">
        <f>AVERAGE(E56:E59)</f>
        <v>0.22625000000000001</v>
      </c>
    </row>
    <row r="61" spans="2:10" x14ac:dyDescent="0.25">
      <c r="B61" t="s">
        <v>311</v>
      </c>
      <c r="D61" t="s">
        <v>312</v>
      </c>
      <c r="E61">
        <v>0.75</v>
      </c>
    </row>
    <row r="62" spans="2:10" x14ac:dyDescent="0.25">
      <c r="D62" t="s">
        <v>313</v>
      </c>
      <c r="E62">
        <f>$E$111</f>
        <v>0.8</v>
      </c>
    </row>
    <row r="63" spans="2:10" x14ac:dyDescent="0.25">
      <c r="D63" t="s">
        <v>310</v>
      </c>
      <c r="E63">
        <f>$J$159</f>
        <v>0.79487179487179482</v>
      </c>
    </row>
    <row r="64" spans="2:10" x14ac:dyDescent="0.25">
      <c r="D64" t="s">
        <v>316</v>
      </c>
      <c r="E64">
        <f>$E$105</f>
        <v>0.83333333333333337</v>
      </c>
      <c r="G64">
        <f>AVERAGE(E61:E64)</f>
        <v>0.79455128205128212</v>
      </c>
    </row>
    <row r="67" spans="2:6" x14ac:dyDescent="0.25">
      <c r="B67" s="802" t="s">
        <v>246</v>
      </c>
      <c r="C67" s="802"/>
    </row>
    <row r="69" spans="2:6" x14ac:dyDescent="0.25">
      <c r="B69" t="s">
        <v>247</v>
      </c>
    </row>
    <row r="72" spans="2:6" x14ac:dyDescent="0.25">
      <c r="B72" s="802" t="s">
        <v>248</v>
      </c>
      <c r="C72" s="802"/>
    </row>
    <row r="74" spans="2:6" x14ac:dyDescent="0.25">
      <c r="B74" t="s">
        <v>249</v>
      </c>
      <c r="F74" t="s">
        <v>250</v>
      </c>
    </row>
    <row r="76" spans="2:6" x14ac:dyDescent="0.25">
      <c r="B76" t="s">
        <v>251</v>
      </c>
    </row>
    <row r="79" spans="2:6" x14ac:dyDescent="0.25">
      <c r="B79" s="802" t="s">
        <v>252</v>
      </c>
      <c r="C79" s="802"/>
    </row>
    <row r="80" spans="2:6" x14ac:dyDescent="0.25">
      <c r="D80" t="s">
        <v>253</v>
      </c>
    </row>
    <row r="81" spans="2:11" x14ac:dyDescent="0.25">
      <c r="C81" t="s">
        <v>254</v>
      </c>
      <c r="D81">
        <v>14</v>
      </c>
    </row>
    <row r="84" spans="2:11" x14ac:dyDescent="0.25">
      <c r="D84" t="s">
        <v>255</v>
      </c>
      <c r="E84" t="s">
        <v>256</v>
      </c>
      <c r="G84" t="s">
        <v>257</v>
      </c>
      <c r="K84" t="s">
        <v>258</v>
      </c>
    </row>
    <row r="85" spans="2:11" x14ac:dyDescent="0.25">
      <c r="C85" t="s">
        <v>259</v>
      </c>
      <c r="D85">
        <v>20</v>
      </c>
      <c r="E85">
        <v>1</v>
      </c>
    </row>
    <row r="88" spans="2:11" x14ac:dyDescent="0.25">
      <c r="C88" t="s">
        <v>260</v>
      </c>
    </row>
    <row r="89" spans="2:11" x14ac:dyDescent="0.25">
      <c r="D89" t="s">
        <v>261</v>
      </c>
    </row>
    <row r="90" spans="2:11" x14ac:dyDescent="0.25">
      <c r="C90" t="s">
        <v>262</v>
      </c>
      <c r="D90">
        <v>6</v>
      </c>
      <c r="G90" t="s">
        <v>263</v>
      </c>
      <c r="I90" t="s">
        <v>264</v>
      </c>
      <c r="J90" t="s">
        <v>265</v>
      </c>
    </row>
    <row r="91" spans="2:11" x14ac:dyDescent="0.25">
      <c r="I91" t="s">
        <v>266</v>
      </c>
    </row>
    <row r="96" spans="2:11" x14ac:dyDescent="0.25">
      <c r="B96" t="s">
        <v>267</v>
      </c>
      <c r="G96" t="s">
        <v>268</v>
      </c>
    </row>
    <row r="98" spans="2:12" x14ac:dyDescent="0.25">
      <c r="G98" t="s">
        <v>269</v>
      </c>
      <c r="H98" t="s">
        <v>270</v>
      </c>
      <c r="I98" t="s">
        <v>271</v>
      </c>
      <c r="K98">
        <f>80*20/5</f>
        <v>320</v>
      </c>
      <c r="L98" t="s">
        <v>272</v>
      </c>
    </row>
    <row r="99" spans="2:12" x14ac:dyDescent="0.25">
      <c r="H99" t="s">
        <v>139</v>
      </c>
      <c r="I99" t="s">
        <v>270</v>
      </c>
    </row>
    <row r="101" spans="2:12" x14ac:dyDescent="0.25">
      <c r="B101" t="s">
        <v>317</v>
      </c>
    </row>
    <row r="103" spans="2:12" x14ac:dyDescent="0.25">
      <c r="C103" t="s">
        <v>318</v>
      </c>
      <c r="D103">
        <v>615</v>
      </c>
    </row>
    <row r="104" spans="2:12" x14ac:dyDescent="0.25">
      <c r="C104" t="s">
        <v>304</v>
      </c>
      <c r="D104">
        <v>120</v>
      </c>
      <c r="E104">
        <f>D104/D103</f>
        <v>0.1951219512195122</v>
      </c>
    </row>
    <row r="105" spans="2:12" x14ac:dyDescent="0.25">
      <c r="C105" t="s">
        <v>301</v>
      </c>
      <c r="D105">
        <v>100</v>
      </c>
      <c r="E105">
        <f>D105/D104</f>
        <v>0.83333333333333337</v>
      </c>
      <c r="G105" t="s">
        <v>319</v>
      </c>
      <c r="H105">
        <v>6.15</v>
      </c>
      <c r="J105">
        <f>D103/D105</f>
        <v>6.15</v>
      </c>
    </row>
    <row r="107" spans="2:12" x14ac:dyDescent="0.25">
      <c r="B107" t="s">
        <v>302</v>
      </c>
    </row>
    <row r="109" spans="2:12" x14ac:dyDescent="0.25">
      <c r="C109" t="s">
        <v>255</v>
      </c>
      <c r="D109">
        <v>250</v>
      </c>
    </row>
    <row r="110" spans="2:12" x14ac:dyDescent="0.25">
      <c r="C110" t="s">
        <v>256</v>
      </c>
      <c r="D110">
        <v>57.5</v>
      </c>
      <c r="E110">
        <f>D110/D109</f>
        <v>0.23</v>
      </c>
    </row>
    <row r="111" spans="2:12" x14ac:dyDescent="0.25">
      <c r="C111" t="s">
        <v>301</v>
      </c>
      <c r="D111">
        <v>46</v>
      </c>
      <c r="E111">
        <f>D111/D110</f>
        <v>0.8</v>
      </c>
    </row>
    <row r="150" spans="2:10" x14ac:dyDescent="0.25">
      <c r="B150" t="s">
        <v>303</v>
      </c>
    </row>
    <row r="156" spans="2:10" x14ac:dyDescent="0.25">
      <c r="I156" t="s">
        <v>238</v>
      </c>
    </row>
    <row r="157" spans="2:10" x14ac:dyDescent="0.25">
      <c r="H157" t="s">
        <v>255</v>
      </c>
      <c r="I157">
        <v>100</v>
      </c>
    </row>
    <row r="158" spans="2:10" x14ac:dyDescent="0.25">
      <c r="H158" t="s">
        <v>304</v>
      </c>
      <c r="I158">
        <f>19.5</f>
        <v>19.5</v>
      </c>
      <c r="J158">
        <f>I158/I157</f>
        <v>0.19500000000000001</v>
      </c>
    </row>
    <row r="159" spans="2:10" x14ac:dyDescent="0.25">
      <c r="H159" t="s">
        <v>301</v>
      </c>
      <c r="I159">
        <v>15.5</v>
      </c>
      <c r="J159">
        <f>I159/I158</f>
        <v>0.79487179487179482</v>
      </c>
    </row>
  </sheetData>
  <mergeCells count="7">
    <mergeCell ref="H42:I42"/>
    <mergeCell ref="B67:C67"/>
    <mergeCell ref="B72:C72"/>
    <mergeCell ref="B79:C79"/>
    <mergeCell ref="B3:D3"/>
    <mergeCell ref="B42:C42"/>
    <mergeCell ref="B54:C54"/>
  </mergeCells>
  <phoneticPr fontId="16" type="noConversion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B2:P22"/>
  <sheetViews>
    <sheetView zoomScale="86" zoomScaleNormal="86" zoomScalePageLayoutView="86" workbookViewId="0">
      <selection activeCell="O6" sqref="O6"/>
    </sheetView>
  </sheetViews>
  <sheetFormatPr defaultColWidth="8.875" defaultRowHeight="12.75" x14ac:dyDescent="0.2"/>
  <cols>
    <col min="1" max="1" width="3.125" style="597" customWidth="1"/>
    <col min="2" max="2" width="11.875" style="597" bestFit="1" customWidth="1"/>
    <col min="3" max="3" width="14.625" style="597" customWidth="1"/>
    <col min="4" max="4" width="12.625" style="597" customWidth="1"/>
    <col min="5" max="5" width="12" style="597" customWidth="1"/>
    <col min="6" max="6" width="14.125" style="597" customWidth="1"/>
    <col min="7" max="8" width="8.875" style="597"/>
    <col min="9" max="9" width="15.5" style="597" customWidth="1"/>
    <col min="10" max="11" width="8.875" style="597"/>
    <col min="12" max="12" width="19.625" style="597" customWidth="1"/>
    <col min="13" max="14" width="8.875" style="597"/>
    <col min="15" max="15" width="12.875" style="597" customWidth="1"/>
    <col min="16" max="16384" width="8.875" style="597"/>
  </cols>
  <sheetData>
    <row r="2" spans="2:16" x14ac:dyDescent="0.2">
      <c r="B2" s="598"/>
      <c r="C2" s="598"/>
      <c r="D2" s="598"/>
      <c r="E2" s="598"/>
      <c r="F2" s="598"/>
      <c r="G2" s="598"/>
      <c r="H2" s="598"/>
      <c r="I2" s="598"/>
      <c r="J2" s="598"/>
      <c r="K2" s="598"/>
      <c r="L2" s="598"/>
      <c r="M2" s="598"/>
      <c r="N2" s="598"/>
      <c r="O2" s="598"/>
    </row>
    <row r="3" spans="2:16" x14ac:dyDescent="0.2">
      <c r="B3" s="598"/>
      <c r="C3" s="598"/>
      <c r="D3" s="598"/>
      <c r="E3" s="598"/>
      <c r="F3" s="598"/>
      <c r="G3" s="598"/>
      <c r="H3" s="598"/>
      <c r="I3" s="598"/>
      <c r="J3" s="598"/>
      <c r="K3" s="598"/>
      <c r="L3" s="598"/>
      <c r="M3" s="598"/>
      <c r="N3" s="598"/>
      <c r="O3" s="598"/>
    </row>
    <row r="4" spans="2:16" ht="13.5" thickBot="1" x14ac:dyDescent="0.25">
      <c r="B4" s="598" t="s">
        <v>141</v>
      </c>
      <c r="C4" s="598" t="s">
        <v>841</v>
      </c>
      <c r="D4" s="598"/>
      <c r="E4" s="598"/>
      <c r="F4" s="598" t="s">
        <v>842</v>
      </c>
      <c r="G4" s="598"/>
      <c r="H4" s="598"/>
      <c r="I4" s="598" t="s">
        <v>843</v>
      </c>
      <c r="J4" s="598"/>
      <c r="K4" s="598"/>
      <c r="L4" s="598" t="s">
        <v>316</v>
      </c>
      <c r="M4" s="598"/>
      <c r="N4" s="598"/>
      <c r="O4" s="598"/>
    </row>
    <row r="5" spans="2:16" ht="39" customHeight="1" thickBot="1" x14ac:dyDescent="0.25">
      <c r="B5" s="598"/>
      <c r="C5" s="599" t="s">
        <v>844</v>
      </c>
      <c r="D5" s="599" t="s">
        <v>845</v>
      </c>
      <c r="E5" s="599"/>
      <c r="F5" s="600" t="s">
        <v>846</v>
      </c>
      <c r="G5" s="600" t="s">
        <v>845</v>
      </c>
      <c r="H5" s="600"/>
      <c r="I5" s="599" t="s">
        <v>847</v>
      </c>
      <c r="J5" s="600" t="s">
        <v>845</v>
      </c>
      <c r="K5" s="600"/>
      <c r="L5" s="600" t="s">
        <v>852</v>
      </c>
      <c r="M5" s="601" t="s">
        <v>845</v>
      </c>
      <c r="N5" s="602"/>
      <c r="O5" s="606" t="s">
        <v>848</v>
      </c>
      <c r="P5" s="598"/>
    </row>
    <row r="6" spans="2:16" x14ac:dyDescent="0.2">
      <c r="B6" s="597" t="s">
        <v>849</v>
      </c>
      <c r="C6" s="597">
        <f>AVERAGE(C16:C17)</f>
        <v>1000</v>
      </c>
      <c r="D6" s="597">
        <f>(C7-C6)/100</f>
        <v>12.5</v>
      </c>
      <c r="F6" s="595">
        <f>AVERAGE(D16:D17)</f>
        <v>3.9203497023809524</v>
      </c>
      <c r="G6" s="595">
        <f>(F7-F6)/F6</f>
        <v>2.0380281046163247</v>
      </c>
      <c r="H6" s="595"/>
      <c r="I6" s="46">
        <f>AVERAGE(E16:E17)</f>
        <v>802.80701754385973</v>
      </c>
      <c r="J6" s="595">
        <f>(I7-I6)/I6</f>
        <v>0.8164557848945323</v>
      </c>
      <c r="K6" s="595"/>
      <c r="L6" s="46">
        <f>AVERAGE(F16:F17)</f>
        <v>69.805407750144582</v>
      </c>
      <c r="M6" s="595">
        <f>(L7-L6)/L6</f>
        <v>1.2406540691063748</v>
      </c>
      <c r="N6" s="46"/>
      <c r="O6" s="604">
        <f>AVERAGE(D6,G6,J6,M6)</f>
        <v>4.1487844896543082</v>
      </c>
    </row>
    <row r="7" spans="2:16" ht="13.5" thickBot="1" x14ac:dyDescent="0.25">
      <c r="B7" s="597" t="s">
        <v>850</v>
      </c>
      <c r="C7" s="597">
        <f>AVERAGE(C18:C20)</f>
        <v>2250</v>
      </c>
      <c r="D7" s="597">
        <f>(C8-C7)/C7</f>
        <v>0</v>
      </c>
      <c r="F7" s="595">
        <f>AVERAGE(D18:D20)</f>
        <v>11.910132575757578</v>
      </c>
      <c r="G7" s="595">
        <f>(F8-F7)/F7</f>
        <v>0.55775178697792005</v>
      </c>
      <c r="H7" s="595"/>
      <c r="I7" s="46">
        <f>AVERAGE(E18:E20)</f>
        <v>1458.2634511714703</v>
      </c>
      <c r="J7" s="595">
        <f>(I8-I7)/I7</f>
        <v>-0.23248721062200009</v>
      </c>
      <c r="K7" s="595"/>
      <c r="L7" s="46">
        <f>AVERAGE(F18:F20)</f>
        <v>156.40977092099112</v>
      </c>
      <c r="M7" s="595">
        <f>(L8-L7)/L7</f>
        <v>8.0214507597970344E-2</v>
      </c>
      <c r="N7" s="46"/>
      <c r="O7" s="605">
        <f>AVERAGE(D7,G7,J7,M7)</f>
        <v>0.10136977098847258</v>
      </c>
    </row>
    <row r="8" spans="2:16" x14ac:dyDescent="0.2">
      <c r="B8" s="597" t="s">
        <v>851</v>
      </c>
      <c r="C8" s="597">
        <v>2250</v>
      </c>
      <c r="F8" s="595">
        <f>AVERAGE(D21:D22)</f>
        <v>18.553030303030305</v>
      </c>
      <c r="G8" s="595"/>
      <c r="H8" s="595"/>
      <c r="I8" s="46">
        <f>AVERAGE(E21:E22)</f>
        <v>1119.2358490566039</v>
      </c>
      <c r="J8" s="46"/>
      <c r="K8" s="46"/>
      <c r="L8" s="46">
        <f>AVERAGE(F21:F22)</f>
        <v>168.95610367892976</v>
      </c>
      <c r="M8" s="46"/>
      <c r="N8" s="46"/>
    </row>
    <row r="9" spans="2:16" x14ac:dyDescent="0.2">
      <c r="F9" s="596"/>
      <c r="G9" s="596"/>
      <c r="H9" s="596"/>
      <c r="I9" s="46"/>
      <c r="J9" s="46"/>
      <c r="K9" s="46"/>
      <c r="L9" s="46"/>
      <c r="M9" s="46"/>
      <c r="N9" s="46"/>
    </row>
    <row r="10" spans="2:16" x14ac:dyDescent="0.2">
      <c r="F10" s="596"/>
      <c r="G10" s="596"/>
      <c r="H10" s="596"/>
      <c r="I10" s="46"/>
      <c r="J10" s="46"/>
      <c r="K10" s="46"/>
      <c r="L10" s="46"/>
      <c r="M10" s="46"/>
      <c r="N10" s="46"/>
    </row>
    <row r="11" spans="2:16" x14ac:dyDescent="0.2">
      <c r="F11" s="596"/>
      <c r="G11" s="596"/>
      <c r="H11" s="596"/>
      <c r="I11" s="46"/>
      <c r="J11" s="46"/>
      <c r="K11" s="46"/>
      <c r="L11" s="46"/>
      <c r="M11" s="46"/>
      <c r="N11" s="46"/>
    </row>
    <row r="12" spans="2:16" x14ac:dyDescent="0.2">
      <c r="F12" s="596"/>
      <c r="G12" s="596"/>
      <c r="H12" s="596"/>
      <c r="I12" s="46"/>
      <c r="J12" s="46"/>
      <c r="K12" s="46"/>
      <c r="L12" s="46"/>
      <c r="M12" s="46"/>
      <c r="N12" s="46"/>
    </row>
    <row r="13" spans="2:16" x14ac:dyDescent="0.2">
      <c r="C13" s="598" t="s">
        <v>841</v>
      </c>
      <c r="D13" s="598" t="s">
        <v>842</v>
      </c>
      <c r="E13" s="598" t="s">
        <v>843</v>
      </c>
      <c r="F13" s="598" t="s">
        <v>316</v>
      </c>
      <c r="G13" s="46"/>
      <c r="H13" s="46"/>
      <c r="I13" s="46"/>
      <c r="J13" s="46"/>
      <c r="K13" s="46"/>
      <c r="L13" s="46"/>
      <c r="M13" s="46"/>
      <c r="N13" s="46"/>
    </row>
    <row r="14" spans="2:16" ht="38.25" x14ac:dyDescent="0.2">
      <c r="B14" s="597" t="s">
        <v>853</v>
      </c>
      <c r="C14" s="599" t="s">
        <v>844</v>
      </c>
      <c r="D14" s="600" t="s">
        <v>846</v>
      </c>
      <c r="E14" s="599" t="s">
        <v>847</v>
      </c>
      <c r="F14" s="600" t="s">
        <v>852</v>
      </c>
    </row>
    <row r="16" spans="2:16" x14ac:dyDescent="0.2">
      <c r="B16" s="597" t="s">
        <v>45</v>
      </c>
      <c r="C16" s="597">
        <v>500</v>
      </c>
      <c r="D16" s="597">
        <v>2.3047619047619046</v>
      </c>
      <c r="E16" s="597">
        <v>553.77192982456143</v>
      </c>
      <c r="F16" s="597">
        <v>47.631868131868131</v>
      </c>
    </row>
    <row r="17" spans="2:12" x14ac:dyDescent="0.2">
      <c r="B17" s="597" t="s">
        <v>46</v>
      </c>
      <c r="C17" s="597">
        <v>1500</v>
      </c>
      <c r="D17" s="597">
        <v>5.5359375000000002</v>
      </c>
      <c r="E17" s="597">
        <v>1051.8421052631579</v>
      </c>
      <c r="F17" s="597">
        <v>91.978947368421046</v>
      </c>
      <c r="L17" s="603"/>
    </row>
    <row r="18" spans="2:12" x14ac:dyDescent="0.2">
      <c r="B18" s="597" t="s">
        <v>47</v>
      </c>
      <c r="C18" s="597">
        <v>1750</v>
      </c>
      <c r="D18" s="597">
        <v>8.828125</v>
      </c>
      <c r="E18" s="597">
        <v>1371.5178571428571</v>
      </c>
      <c r="F18" s="597">
        <v>136.7741935483871</v>
      </c>
      <c r="L18" s="603"/>
    </row>
    <row r="19" spans="2:12" x14ac:dyDescent="0.2">
      <c r="B19" s="597" t="s">
        <v>48</v>
      </c>
      <c r="C19" s="597">
        <v>2500</v>
      </c>
      <c r="D19" s="597">
        <v>11.727272727272727</v>
      </c>
      <c r="E19" s="597">
        <v>1487.8301886792453</v>
      </c>
      <c r="F19" s="597">
        <v>161.12903225806451</v>
      </c>
      <c r="L19" s="603"/>
    </row>
    <row r="20" spans="2:12" x14ac:dyDescent="0.2">
      <c r="B20" s="597" t="s">
        <v>49</v>
      </c>
      <c r="C20" s="597">
        <v>2500</v>
      </c>
      <c r="D20" s="597">
        <v>15.175000000000001</v>
      </c>
      <c r="E20" s="597">
        <v>1515.4423076923076</v>
      </c>
      <c r="F20" s="597">
        <v>171.32608695652175</v>
      </c>
    </row>
    <row r="21" spans="2:12" x14ac:dyDescent="0.2">
      <c r="B21" s="597" t="s">
        <v>50</v>
      </c>
      <c r="C21" s="597">
        <v>2500</v>
      </c>
      <c r="D21" s="597">
        <v>17.212121212121211</v>
      </c>
      <c r="E21" s="597">
        <v>1221.4716981132076</v>
      </c>
      <c r="F21" s="597">
        <v>167.9891304347826</v>
      </c>
    </row>
    <row r="22" spans="2:12" x14ac:dyDescent="0.2">
      <c r="B22" s="597" t="s">
        <v>51</v>
      </c>
      <c r="C22" s="597">
        <v>2000</v>
      </c>
      <c r="D22" s="597">
        <v>19.893939393939394</v>
      </c>
      <c r="E22" s="597">
        <v>1017</v>
      </c>
      <c r="F22" s="597">
        <v>169.92307692307693</v>
      </c>
    </row>
  </sheetData>
  <pageMargins left="0.7" right="0.7" top="0.75" bottom="0.75" header="0.3" footer="0.3"/>
  <pageSetup orientation="portrait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30A1DC"/>
  </sheetPr>
  <dimension ref="B1:AC48"/>
  <sheetViews>
    <sheetView topLeftCell="B1" workbookViewId="0">
      <selection activeCell="V30" sqref="V30"/>
    </sheetView>
  </sheetViews>
  <sheetFormatPr defaultColWidth="8.875" defaultRowHeight="15.75" x14ac:dyDescent="0.25"/>
  <cols>
    <col min="1" max="2" width="8.875" style="321"/>
    <col min="3" max="3" width="15.5" style="321" customWidth="1"/>
    <col min="4" max="5" width="8.875" style="321"/>
    <col min="6" max="6" width="12" style="321" customWidth="1"/>
    <col min="7" max="8" width="8.875" style="321"/>
    <col min="9" max="9" width="5.875" style="321" customWidth="1"/>
    <col min="10" max="10" width="6.875" style="321" bestFit="1" customWidth="1"/>
    <col min="11" max="11" width="9.375" style="321" bestFit="1" customWidth="1"/>
    <col min="12" max="13" width="5.875" style="321" customWidth="1"/>
    <col min="14" max="16384" width="8.875" style="321"/>
  </cols>
  <sheetData>
    <row r="1" spans="2:29" ht="16.5" thickBot="1" x14ac:dyDescent="0.3"/>
    <row r="2" spans="2:29" x14ac:dyDescent="0.25">
      <c r="B2" s="673"/>
      <c r="C2" s="674"/>
      <c r="D2" s="674"/>
      <c r="E2" s="674"/>
      <c r="F2" s="674"/>
      <c r="G2" s="674"/>
      <c r="H2" s="674"/>
      <c r="I2" s="674"/>
      <c r="J2" s="674"/>
      <c r="K2" s="674"/>
      <c r="L2" s="674"/>
      <c r="M2" s="674"/>
      <c r="N2" s="674"/>
      <c r="O2" s="674"/>
      <c r="P2" s="674"/>
      <c r="Q2" s="674"/>
      <c r="R2" s="674"/>
      <c r="S2" s="675"/>
    </row>
    <row r="3" spans="2:29" x14ac:dyDescent="0.25">
      <c r="B3" s="676"/>
      <c r="C3" s="665"/>
      <c r="D3" s="665"/>
      <c r="E3" s="665"/>
      <c r="F3" s="665"/>
      <c r="G3" s="665"/>
      <c r="H3" s="665"/>
      <c r="I3" s="665"/>
      <c r="J3" s="665"/>
      <c r="K3" s="665"/>
      <c r="L3" s="665"/>
      <c r="M3" s="665"/>
      <c r="N3" s="665"/>
      <c r="O3" s="665"/>
      <c r="P3" s="665"/>
      <c r="Q3" s="665"/>
      <c r="R3" s="665"/>
      <c r="S3" s="677"/>
    </row>
    <row r="4" spans="2:29" x14ac:dyDescent="0.25">
      <c r="B4" s="676"/>
      <c r="C4" s="665"/>
      <c r="D4" s="665"/>
      <c r="E4" s="665"/>
      <c r="F4" s="665"/>
      <c r="G4" s="665"/>
      <c r="H4" s="665"/>
      <c r="I4" s="665"/>
      <c r="J4" s="665"/>
      <c r="K4" s="665"/>
      <c r="L4" s="665"/>
      <c r="M4" s="665"/>
      <c r="N4" s="665"/>
      <c r="O4" s="665"/>
      <c r="P4" s="665"/>
      <c r="Q4" s="665"/>
      <c r="R4" s="665"/>
      <c r="S4" s="677"/>
    </row>
    <row r="5" spans="2:29" x14ac:dyDescent="0.25">
      <c r="B5" s="676"/>
      <c r="C5" s="665"/>
      <c r="D5" s="665"/>
      <c r="E5" s="665"/>
      <c r="F5" s="665"/>
      <c r="G5" s="665"/>
      <c r="H5" s="665"/>
      <c r="I5" s="665"/>
      <c r="J5" s="665"/>
      <c r="K5" s="665"/>
      <c r="L5" s="665"/>
      <c r="M5" s="665"/>
      <c r="N5" s="665"/>
      <c r="O5" s="665"/>
      <c r="P5" s="665"/>
      <c r="Q5" s="665"/>
      <c r="R5" s="665"/>
      <c r="S5" s="677"/>
    </row>
    <row r="6" spans="2:29" x14ac:dyDescent="0.25">
      <c r="B6" s="676"/>
      <c r="C6" s="665"/>
      <c r="D6" s="665"/>
      <c r="E6" s="665"/>
      <c r="F6" s="665"/>
      <c r="G6" s="665"/>
      <c r="H6" s="665"/>
      <c r="I6" s="665"/>
      <c r="J6" s="665"/>
      <c r="K6" s="665"/>
      <c r="L6" s="665"/>
      <c r="M6" s="665"/>
      <c r="N6" s="665"/>
      <c r="O6" s="665"/>
      <c r="P6" s="665"/>
      <c r="Q6" s="665"/>
      <c r="R6" s="665"/>
      <c r="S6" s="677"/>
    </row>
    <row r="7" spans="2:29" ht="21" x14ac:dyDescent="0.35">
      <c r="B7" s="676"/>
      <c r="C7" s="665"/>
      <c r="D7" s="665"/>
      <c r="E7" s="665"/>
      <c r="F7" s="665"/>
      <c r="G7" s="665"/>
      <c r="H7" s="665"/>
      <c r="I7" s="665"/>
      <c r="J7" s="665"/>
      <c r="K7" s="665"/>
      <c r="L7" s="665"/>
      <c r="M7" s="665"/>
      <c r="N7" s="665"/>
      <c r="O7" s="665"/>
      <c r="P7" s="665"/>
      <c r="Q7" s="665"/>
      <c r="R7" s="665"/>
      <c r="S7" s="677"/>
      <c r="U7" s="774" t="s">
        <v>908</v>
      </c>
      <c r="V7" s="774"/>
      <c r="W7" s="774"/>
      <c r="X7" s="774"/>
      <c r="Y7" s="774"/>
      <c r="Z7" s="774"/>
      <c r="AA7" s="774"/>
      <c r="AB7" s="774"/>
      <c r="AC7" s="774"/>
    </row>
    <row r="8" spans="2:29" x14ac:dyDescent="0.25">
      <c r="B8" s="676"/>
      <c r="C8" s="665"/>
      <c r="D8" s="665"/>
      <c r="E8" s="665"/>
      <c r="F8" s="665"/>
      <c r="G8" s="665"/>
      <c r="H8" s="665"/>
      <c r="I8" s="665"/>
      <c r="J8" s="665"/>
      <c r="K8" s="665"/>
      <c r="L8" s="665"/>
      <c r="M8" s="665"/>
      <c r="N8" s="665"/>
      <c r="O8" s="665"/>
      <c r="P8" s="665"/>
      <c r="Q8" s="665"/>
      <c r="R8" s="665"/>
      <c r="S8" s="677"/>
    </row>
    <row r="9" spans="2:29" x14ac:dyDescent="0.25">
      <c r="B9" s="676"/>
      <c r="C9" s="665"/>
      <c r="D9" s="665"/>
      <c r="E9" s="665"/>
      <c r="F9" s="665"/>
      <c r="G9" s="665"/>
      <c r="H9" s="665"/>
      <c r="I9" s="665"/>
      <c r="J9" s="665"/>
      <c r="K9" s="665"/>
      <c r="L9" s="665"/>
      <c r="M9" s="665"/>
      <c r="N9" s="665"/>
      <c r="O9" s="665"/>
      <c r="P9" s="665"/>
      <c r="Q9" s="665"/>
      <c r="R9" s="665"/>
      <c r="S9" s="677"/>
      <c r="U9" s="321" t="s">
        <v>909</v>
      </c>
      <c r="AC9" s="321">
        <f>DATABASE_Schema!$J$15</f>
        <v>1.7368049936799144</v>
      </c>
    </row>
    <row r="10" spans="2:29" x14ac:dyDescent="0.25">
      <c r="B10" s="676"/>
      <c r="C10" s="665"/>
      <c r="D10" s="665"/>
      <c r="E10" s="665"/>
      <c r="F10" s="665"/>
      <c r="G10" s="665"/>
      <c r="H10" s="665"/>
      <c r="I10" s="665"/>
      <c r="J10" s="665"/>
      <c r="K10" s="665"/>
      <c r="L10" s="665"/>
      <c r="M10" s="665"/>
      <c r="N10" s="665"/>
      <c r="O10" s="665"/>
      <c r="P10" s="665"/>
      <c r="Q10" s="665"/>
      <c r="R10" s="665"/>
      <c r="S10" s="677"/>
    </row>
    <row r="11" spans="2:29" x14ac:dyDescent="0.25">
      <c r="B11" s="676"/>
      <c r="C11" s="665"/>
      <c r="D11" s="665"/>
      <c r="E11" s="665"/>
      <c r="F11" s="665"/>
      <c r="G11" s="665"/>
      <c r="H11" s="665"/>
      <c r="I11" s="665"/>
      <c r="J11" s="665"/>
      <c r="K11" s="665"/>
      <c r="L11" s="665"/>
      <c r="M11" s="665"/>
      <c r="N11" s="665"/>
      <c r="O11" s="665"/>
      <c r="P11" s="665"/>
      <c r="Q11" s="665"/>
      <c r="R11" s="665"/>
      <c r="S11" s="677"/>
      <c r="U11" s="321" t="s">
        <v>911</v>
      </c>
    </row>
    <row r="12" spans="2:29" x14ac:dyDescent="0.25">
      <c r="B12" s="676"/>
      <c r="C12" s="665"/>
      <c r="D12" s="665"/>
      <c r="E12" s="665"/>
      <c r="F12" s="665"/>
      <c r="G12" s="665"/>
      <c r="H12" s="665"/>
      <c r="I12" s="665"/>
      <c r="J12" s="665"/>
      <c r="K12" s="665"/>
      <c r="L12" s="665"/>
      <c r="M12" s="665"/>
      <c r="N12" s="665"/>
      <c r="O12" s="665"/>
      <c r="P12" s="665"/>
      <c r="Q12" s="665"/>
      <c r="R12" s="665"/>
      <c r="S12" s="677"/>
      <c r="U12" s="321" t="s">
        <v>910</v>
      </c>
      <c r="AC12" s="321">
        <v>1.34</v>
      </c>
    </row>
    <row r="13" spans="2:29" x14ac:dyDescent="0.25">
      <c r="B13" s="676"/>
      <c r="C13" s="665"/>
      <c r="D13" s="665"/>
      <c r="E13" s="665"/>
      <c r="F13" s="665"/>
      <c r="G13" s="665"/>
      <c r="H13" s="665"/>
      <c r="I13" s="665"/>
      <c r="J13" s="665"/>
      <c r="K13" s="665"/>
      <c r="L13" s="665"/>
      <c r="M13" s="665"/>
      <c r="N13" s="665"/>
      <c r="O13" s="665"/>
      <c r="P13" s="665"/>
      <c r="Q13" s="665"/>
      <c r="R13" s="665"/>
      <c r="S13" s="677"/>
    </row>
    <row r="14" spans="2:29" x14ac:dyDescent="0.25">
      <c r="B14" s="676"/>
      <c r="C14" s="665"/>
      <c r="D14" s="665"/>
      <c r="E14" s="665"/>
      <c r="F14" s="665"/>
      <c r="G14" s="665"/>
      <c r="H14" s="665"/>
      <c r="I14" s="665"/>
      <c r="J14" s="665"/>
      <c r="K14" s="665"/>
      <c r="L14" s="665"/>
      <c r="M14" s="665"/>
      <c r="N14" s="665"/>
      <c r="O14" s="665"/>
      <c r="P14" s="665"/>
      <c r="Q14" s="665"/>
      <c r="R14" s="665"/>
      <c r="S14" s="677"/>
    </row>
    <row r="15" spans="2:29" x14ac:dyDescent="0.25">
      <c r="B15" s="676"/>
      <c r="C15" s="665"/>
      <c r="D15" s="665"/>
      <c r="E15" s="665"/>
      <c r="F15" s="665"/>
      <c r="G15" s="665"/>
      <c r="H15" s="665"/>
      <c r="I15" s="665"/>
      <c r="J15" s="665"/>
      <c r="K15" s="665"/>
      <c r="L15" s="665"/>
      <c r="M15" s="665"/>
      <c r="N15" s="665"/>
      <c r="O15" s="665"/>
      <c r="P15" s="665"/>
      <c r="Q15" s="665"/>
      <c r="R15" s="665"/>
      <c r="S15" s="677"/>
      <c r="U15" s="321" t="s">
        <v>912</v>
      </c>
    </row>
    <row r="16" spans="2:29" x14ac:dyDescent="0.25">
      <c r="B16" s="676"/>
      <c r="C16" s="665"/>
      <c r="D16" s="665"/>
      <c r="E16" s="665"/>
      <c r="F16" s="665"/>
      <c r="G16" s="665"/>
      <c r="H16" s="665"/>
      <c r="I16" s="665"/>
      <c r="J16" s="665"/>
      <c r="K16" s="665"/>
      <c r="L16" s="665"/>
      <c r="M16" s="665"/>
      <c r="N16" s="665"/>
      <c r="O16" s="665"/>
      <c r="P16" s="665"/>
      <c r="Q16" s="665"/>
      <c r="R16" s="665"/>
      <c r="S16" s="677"/>
    </row>
    <row r="17" spans="2:24" x14ac:dyDescent="0.25">
      <c r="B17" s="676"/>
      <c r="C17" s="665"/>
      <c r="D17" s="665"/>
      <c r="E17" s="665"/>
      <c r="F17" s="665"/>
      <c r="G17" s="665"/>
      <c r="H17" s="665"/>
      <c r="I17" s="665"/>
      <c r="J17" s="665"/>
      <c r="K17" s="665"/>
      <c r="L17" s="665"/>
      <c r="M17" s="665"/>
      <c r="N17" s="665"/>
      <c r="O17" s="665"/>
      <c r="P17" s="665"/>
      <c r="Q17" s="665"/>
      <c r="R17" s="665"/>
      <c r="S17" s="677"/>
    </row>
    <row r="18" spans="2:24" x14ac:dyDescent="0.25">
      <c r="B18" s="676"/>
      <c r="C18" s="665"/>
      <c r="D18" s="665"/>
      <c r="E18" s="665"/>
      <c r="F18" s="665"/>
      <c r="G18" s="665"/>
      <c r="H18" s="665"/>
      <c r="I18" s="665"/>
      <c r="J18" s="665"/>
      <c r="K18" s="665"/>
      <c r="L18" s="665"/>
      <c r="M18" s="665"/>
      <c r="N18" s="665"/>
      <c r="O18" s="665"/>
      <c r="P18" s="665"/>
      <c r="Q18" s="665"/>
      <c r="R18" s="665"/>
      <c r="S18" s="677"/>
    </row>
    <row r="19" spans="2:24" ht="16.5" thickBot="1" x14ac:dyDescent="0.3">
      <c r="B19" s="676"/>
      <c r="C19" s="665"/>
      <c r="D19" s="665"/>
      <c r="E19" s="665"/>
      <c r="F19" s="665"/>
      <c r="G19" s="665"/>
      <c r="H19" s="665"/>
      <c r="I19" s="665"/>
      <c r="J19" s="665"/>
      <c r="K19" s="665"/>
      <c r="L19" s="665"/>
      <c r="M19" s="665"/>
      <c r="N19" s="665"/>
      <c r="O19" s="665"/>
      <c r="P19" s="665"/>
      <c r="Q19" s="665"/>
      <c r="R19" s="665"/>
      <c r="S19" s="677"/>
    </row>
    <row r="20" spans="2:24" x14ac:dyDescent="0.25">
      <c r="B20" s="676"/>
      <c r="C20" s="665"/>
      <c r="D20" s="665"/>
      <c r="E20" s="665"/>
      <c r="F20" s="665"/>
      <c r="G20" s="665"/>
      <c r="H20" s="665"/>
      <c r="I20" s="665"/>
      <c r="J20" s="665"/>
      <c r="K20" s="665"/>
      <c r="L20" s="665"/>
      <c r="M20" s="665"/>
      <c r="N20" s="665"/>
      <c r="O20" s="665"/>
      <c r="P20" s="665"/>
      <c r="Q20" s="665"/>
      <c r="R20" s="665"/>
      <c r="S20" s="677"/>
      <c r="U20" s="765" t="s">
        <v>932</v>
      </c>
      <c r="V20" s="766"/>
      <c r="W20" s="766"/>
      <c r="X20" s="767"/>
    </row>
    <row r="21" spans="2:24" x14ac:dyDescent="0.25">
      <c r="B21" s="676"/>
      <c r="C21" s="665"/>
      <c r="D21" s="665"/>
      <c r="E21" s="665"/>
      <c r="F21" s="665"/>
      <c r="G21" s="665"/>
      <c r="H21" s="665"/>
      <c r="I21" s="665"/>
      <c r="J21" s="665"/>
      <c r="K21" s="665"/>
      <c r="L21" s="665"/>
      <c r="M21" s="665"/>
      <c r="N21" s="665"/>
      <c r="O21" s="665"/>
      <c r="P21" s="665"/>
      <c r="Q21" s="665"/>
      <c r="R21" s="665"/>
      <c r="S21" s="677"/>
      <c r="U21" s="768"/>
      <c r="V21" s="769"/>
      <c r="W21" s="769"/>
      <c r="X21" s="770"/>
    </row>
    <row r="22" spans="2:24" x14ac:dyDescent="0.25">
      <c r="B22" s="676"/>
      <c r="C22" s="665"/>
      <c r="D22" s="665"/>
      <c r="E22" s="665"/>
      <c r="F22" s="665"/>
      <c r="G22" s="665"/>
      <c r="H22" s="665"/>
      <c r="I22" s="665"/>
      <c r="J22" s="665"/>
      <c r="K22" s="665"/>
      <c r="L22" s="665"/>
      <c r="M22" s="665"/>
      <c r="N22" s="665"/>
      <c r="O22" s="665"/>
      <c r="P22" s="665"/>
      <c r="Q22" s="665"/>
      <c r="R22" s="665"/>
      <c r="S22" s="677"/>
      <c r="U22" s="768"/>
      <c r="V22" s="769"/>
      <c r="W22" s="769"/>
      <c r="X22" s="770"/>
    </row>
    <row r="23" spans="2:24" ht="16.5" thickBot="1" x14ac:dyDescent="0.3">
      <c r="B23" s="676"/>
      <c r="C23" s="665"/>
      <c r="D23" s="665"/>
      <c r="E23" s="665"/>
      <c r="F23" s="665"/>
      <c r="G23" s="665"/>
      <c r="H23" s="665"/>
      <c r="I23" s="665"/>
      <c r="J23" s="665"/>
      <c r="K23" s="665"/>
      <c r="L23" s="665"/>
      <c r="M23" s="665"/>
      <c r="N23" s="665"/>
      <c r="O23" s="665"/>
      <c r="P23" s="665"/>
      <c r="Q23" s="665"/>
      <c r="R23" s="665"/>
      <c r="S23" s="677"/>
      <c r="U23" s="771"/>
      <c r="V23" s="772"/>
      <c r="W23" s="772"/>
      <c r="X23" s="773"/>
    </row>
    <row r="24" spans="2:24" x14ac:dyDescent="0.25">
      <c r="B24" s="676"/>
      <c r="C24" s="665"/>
      <c r="D24" s="665"/>
      <c r="E24" s="665"/>
      <c r="F24" s="665"/>
      <c r="G24" s="665"/>
      <c r="H24" s="665"/>
      <c r="I24" s="665"/>
      <c r="J24" s="665"/>
      <c r="K24" s="665"/>
      <c r="L24" s="665"/>
      <c r="M24" s="665"/>
      <c r="N24" s="665"/>
      <c r="O24" s="665"/>
      <c r="P24" s="665"/>
      <c r="Q24" s="665"/>
      <c r="R24" s="665"/>
      <c r="S24" s="677"/>
    </row>
    <row r="25" spans="2:24" x14ac:dyDescent="0.25">
      <c r="B25" s="676"/>
      <c r="C25" s="665"/>
      <c r="D25" s="665"/>
      <c r="E25" s="665"/>
      <c r="F25" s="665"/>
      <c r="G25" s="665"/>
      <c r="H25" s="665"/>
      <c r="I25" s="665"/>
      <c r="J25" s="665"/>
      <c r="K25" s="665"/>
      <c r="L25" s="665"/>
      <c r="M25" s="665"/>
      <c r="N25" s="665"/>
      <c r="O25" s="665"/>
      <c r="P25" s="665"/>
      <c r="Q25" s="665"/>
      <c r="R25" s="665"/>
      <c r="S25" s="677"/>
    </row>
    <row r="26" spans="2:24" x14ac:dyDescent="0.25">
      <c r="B26" s="676"/>
      <c r="C26" s="665"/>
      <c r="D26" s="665"/>
      <c r="E26" s="665"/>
      <c r="F26" s="665"/>
      <c r="G26" s="665"/>
      <c r="H26" s="665"/>
      <c r="I26" s="665"/>
      <c r="J26" s="665"/>
      <c r="K26" s="665"/>
      <c r="L26" s="665"/>
      <c r="M26" s="665"/>
      <c r="N26" s="665"/>
      <c r="O26" s="665"/>
      <c r="P26" s="665"/>
      <c r="Q26" s="665"/>
      <c r="R26" s="665"/>
      <c r="S26" s="677"/>
    </row>
    <row r="27" spans="2:24" x14ac:dyDescent="0.25">
      <c r="B27" s="676"/>
      <c r="C27" s="665"/>
      <c r="D27" s="665"/>
      <c r="E27" s="665"/>
      <c r="F27" s="665"/>
      <c r="G27" s="665"/>
      <c r="H27" s="665"/>
      <c r="I27" s="665"/>
      <c r="J27" s="665"/>
      <c r="K27" s="665"/>
      <c r="L27" s="665"/>
      <c r="M27" s="665"/>
      <c r="N27" s="665"/>
      <c r="O27" s="665"/>
      <c r="P27" s="665"/>
      <c r="Q27" s="665"/>
      <c r="R27" s="665"/>
      <c r="S27" s="677"/>
    </row>
    <row r="28" spans="2:24" x14ac:dyDescent="0.25">
      <c r="B28" s="676"/>
      <c r="C28" s="665"/>
      <c r="D28" s="665"/>
      <c r="E28" s="665"/>
      <c r="F28" s="665"/>
      <c r="G28" s="665"/>
      <c r="H28" s="665"/>
      <c r="I28" s="665"/>
      <c r="J28" s="665"/>
      <c r="K28" s="665"/>
      <c r="L28" s="665"/>
      <c r="M28" s="665"/>
      <c r="N28" s="665"/>
      <c r="O28" s="665"/>
      <c r="P28" s="665"/>
      <c r="Q28" s="665"/>
      <c r="R28" s="665"/>
      <c r="S28" s="677"/>
    </row>
    <row r="29" spans="2:24" x14ac:dyDescent="0.25">
      <c r="B29" s="676"/>
      <c r="C29" s="666"/>
      <c r="D29" s="667"/>
      <c r="E29" s="668"/>
      <c r="F29" s="669"/>
      <c r="G29" s="670"/>
      <c r="H29" s="665"/>
      <c r="I29" s="665"/>
      <c r="J29" s="665"/>
      <c r="K29" s="665"/>
      <c r="L29" s="665"/>
      <c r="M29" s="665"/>
      <c r="N29" s="665"/>
      <c r="O29" s="665"/>
      <c r="P29" s="665"/>
      <c r="Q29" s="665"/>
      <c r="R29" s="665"/>
      <c r="S29" s="677"/>
    </row>
    <row r="30" spans="2:24" ht="18.75" x14ac:dyDescent="0.3">
      <c r="B30" s="676"/>
      <c r="C30" s="665"/>
      <c r="D30" s="665"/>
      <c r="E30" s="665"/>
      <c r="F30" s="665"/>
      <c r="G30" s="665"/>
      <c r="H30" s="665"/>
      <c r="I30" s="665"/>
      <c r="J30" s="671" t="s">
        <v>903</v>
      </c>
      <c r="K30" s="671" t="s">
        <v>926</v>
      </c>
      <c r="L30" s="665"/>
      <c r="M30" s="665"/>
      <c r="N30" s="665"/>
      <c r="O30" s="665"/>
      <c r="P30" s="665"/>
      <c r="Q30" s="665"/>
      <c r="R30" s="665"/>
      <c r="S30" s="677"/>
    </row>
    <row r="31" spans="2:24" x14ac:dyDescent="0.25">
      <c r="B31" s="676"/>
      <c r="C31" s="665"/>
      <c r="D31" s="665"/>
      <c r="E31" s="665"/>
      <c r="F31" s="665"/>
      <c r="G31" s="665"/>
      <c r="H31" s="665"/>
      <c r="I31" s="665"/>
      <c r="J31" s="665"/>
      <c r="K31" s="665"/>
      <c r="L31" s="665"/>
      <c r="M31" s="665"/>
      <c r="N31" s="665"/>
      <c r="O31" s="665"/>
      <c r="P31" s="665"/>
      <c r="Q31" s="665"/>
      <c r="R31" s="665"/>
      <c r="S31" s="677"/>
    </row>
    <row r="32" spans="2:24" ht="23.25" x14ac:dyDescent="0.35">
      <c r="B32" s="676"/>
      <c r="C32" s="682" t="s">
        <v>862</v>
      </c>
      <c r="D32" s="666"/>
      <c r="E32" s="666"/>
      <c r="F32" s="666"/>
      <c r="G32" s="666"/>
      <c r="H32" s="666"/>
      <c r="I32" s="666"/>
      <c r="J32" s="672">
        <f>DATABASE_Schema!$F$35</f>
        <v>1368.2076285004568</v>
      </c>
      <c r="K32" s="672">
        <f>DATABASE_Schema!$G$35</f>
        <v>4323.5361060614441</v>
      </c>
      <c r="L32" s="665"/>
      <c r="M32" s="665"/>
      <c r="N32" s="665"/>
      <c r="O32" s="665"/>
      <c r="P32" s="665"/>
      <c r="Q32" s="665"/>
      <c r="R32" s="665"/>
      <c r="S32" s="677"/>
    </row>
    <row r="33" spans="2:19" ht="23.25" x14ac:dyDescent="0.35">
      <c r="B33" s="676"/>
      <c r="C33" s="682" t="s">
        <v>863</v>
      </c>
      <c r="D33" s="666"/>
      <c r="E33" s="666"/>
      <c r="F33" s="666"/>
      <c r="G33" s="666"/>
      <c r="H33" s="666"/>
      <c r="I33" s="666"/>
      <c r="J33" s="672">
        <f>DATABASE_Schema!$H$35</f>
        <v>2442.4635298820194</v>
      </c>
      <c r="K33" s="672">
        <f>DATABASE_Schema!$I$35</f>
        <v>7718.1847544271814</v>
      </c>
      <c r="L33" s="665"/>
      <c r="M33" s="665"/>
      <c r="N33" s="665"/>
      <c r="O33" s="665"/>
      <c r="P33" s="665"/>
      <c r="Q33" s="665"/>
      <c r="R33" s="665"/>
      <c r="S33" s="677"/>
    </row>
    <row r="34" spans="2:19" x14ac:dyDescent="0.25">
      <c r="B34" s="676"/>
      <c r="C34" s="665"/>
      <c r="D34" s="665"/>
      <c r="E34" s="665"/>
      <c r="F34" s="665"/>
      <c r="G34" s="665"/>
      <c r="H34" s="665"/>
      <c r="I34" s="665"/>
      <c r="J34" s="665"/>
      <c r="K34" s="665"/>
      <c r="L34" s="665"/>
      <c r="M34" s="665"/>
      <c r="N34" s="665"/>
      <c r="O34" s="665"/>
      <c r="P34" s="665"/>
      <c r="Q34" s="665"/>
      <c r="R34" s="665"/>
      <c r="S34" s="677"/>
    </row>
    <row r="35" spans="2:19" ht="16.5" thickBot="1" x14ac:dyDescent="0.3">
      <c r="B35" s="678"/>
      <c r="C35" s="679"/>
      <c r="D35" s="679"/>
      <c r="E35" s="679"/>
      <c r="F35" s="679"/>
      <c r="G35" s="679"/>
      <c r="H35" s="680"/>
      <c r="I35" s="680"/>
      <c r="J35" s="680"/>
      <c r="K35" s="680"/>
      <c r="L35" s="680"/>
      <c r="M35" s="680"/>
      <c r="N35" s="680"/>
      <c r="O35" s="680"/>
      <c r="P35" s="680"/>
      <c r="Q35" s="680"/>
      <c r="R35" s="680"/>
      <c r="S35" s="681"/>
    </row>
    <row r="36" spans="2:19" x14ac:dyDescent="0.25">
      <c r="C36" s="654"/>
      <c r="D36" s="654"/>
      <c r="E36" s="654"/>
      <c r="F36" s="654"/>
      <c r="G36" s="654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</row>
    <row r="37" spans="2:19" x14ac:dyDescent="0.25">
      <c r="C37" s="654"/>
      <c r="D37" s="654"/>
      <c r="E37" s="654"/>
      <c r="F37" s="654"/>
      <c r="G37" s="654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</row>
    <row r="38" spans="2:19" x14ac:dyDescent="0.25">
      <c r="C38" s="654"/>
      <c r="D38" s="655"/>
      <c r="E38" s="656"/>
      <c r="F38" s="657"/>
      <c r="G38" s="65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</row>
    <row r="39" spans="2:19" x14ac:dyDescent="0.25">
      <c r="C39" s="659"/>
      <c r="D39" s="660"/>
      <c r="E39" s="660"/>
      <c r="F39" s="660"/>
      <c r="G39" s="660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</row>
    <row r="40" spans="2:19" x14ac:dyDescent="0.25">
      <c r="C40" s="654"/>
      <c r="D40" s="663"/>
      <c r="E40" s="663"/>
      <c r="F40" s="663"/>
      <c r="G40" s="663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</row>
    <row r="41" spans="2:19" x14ac:dyDescent="0.25">
      <c r="C41" s="654"/>
      <c r="D41" s="654"/>
      <c r="E41" s="654"/>
      <c r="F41" s="654"/>
      <c r="G41" s="654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</row>
    <row r="42" spans="2:19" x14ac:dyDescent="0.25">
      <c r="C42" s="654"/>
      <c r="D42" s="654"/>
      <c r="E42" s="654"/>
      <c r="F42" s="654"/>
      <c r="G42" s="654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</row>
    <row r="43" spans="2:19" x14ac:dyDescent="0.25">
      <c r="C43" s="654"/>
      <c r="D43" s="654"/>
      <c r="E43" s="654"/>
      <c r="F43" s="654"/>
      <c r="G43" s="654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</row>
    <row r="44" spans="2:19" x14ac:dyDescent="0.25">
      <c r="C44" s="654"/>
      <c r="D44" s="654"/>
      <c r="E44" s="654"/>
      <c r="F44" s="654"/>
      <c r="G44" s="654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</row>
    <row r="45" spans="2:19" x14ac:dyDescent="0.25">
      <c r="C45" s="654"/>
      <c r="D45" s="654"/>
      <c r="E45" s="654"/>
      <c r="F45" s="654"/>
      <c r="G45" s="654"/>
      <c r="H45" s="8"/>
      <c r="I45" s="8"/>
      <c r="J45" s="517"/>
      <c r="K45" s="8"/>
      <c r="L45" s="8"/>
      <c r="M45" s="8"/>
      <c r="N45" s="8"/>
      <c r="O45" s="8"/>
      <c r="P45" s="8"/>
      <c r="Q45" s="8"/>
      <c r="R45" s="8"/>
    </row>
    <row r="46" spans="2:19" x14ac:dyDescent="0.25">
      <c r="C46" s="654"/>
      <c r="D46" s="654"/>
      <c r="E46" s="654"/>
      <c r="F46" s="654"/>
      <c r="G46" s="654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</row>
    <row r="47" spans="2:19" x14ac:dyDescent="0.25">
      <c r="C47" s="664"/>
      <c r="D47" s="662"/>
      <c r="E47" s="662"/>
      <c r="F47" s="662"/>
      <c r="G47" s="661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</row>
    <row r="48" spans="2:19" x14ac:dyDescent="0.25"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</row>
  </sheetData>
  <mergeCells count="2">
    <mergeCell ref="U20:X23"/>
    <mergeCell ref="U7:AC7"/>
  </mergeCells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42A87C"/>
  </sheetPr>
  <dimension ref="C6:K43"/>
  <sheetViews>
    <sheetView topLeftCell="A18" workbookViewId="0">
      <selection activeCell="M52" sqref="M52"/>
    </sheetView>
  </sheetViews>
  <sheetFormatPr defaultColWidth="8.875" defaultRowHeight="15.75" x14ac:dyDescent="0.25"/>
  <cols>
    <col min="1" max="2" width="8.875" style="321"/>
    <col min="3" max="3" width="31.5" style="321" customWidth="1"/>
    <col min="4" max="5" width="8.875" style="321"/>
    <col min="6" max="6" width="23" style="321" bestFit="1" customWidth="1"/>
    <col min="7" max="7" width="8.5" style="321" bestFit="1" customWidth="1"/>
    <col min="8" max="8" width="8.875" style="321"/>
    <col min="9" max="9" width="6.125" style="321" bestFit="1" customWidth="1"/>
    <col min="10" max="10" width="13" style="321" customWidth="1"/>
    <col min="11" max="16384" width="8.875" style="321"/>
  </cols>
  <sheetData>
    <row r="6" spans="3:4" x14ac:dyDescent="0.25">
      <c r="C6" s="321" t="s">
        <v>820</v>
      </c>
      <c r="D6" s="321">
        <v>1.03</v>
      </c>
    </row>
    <row r="7" spans="3:4" x14ac:dyDescent="0.25">
      <c r="C7" s="321" t="s">
        <v>821</v>
      </c>
      <c r="D7" s="321">
        <v>1.94</v>
      </c>
    </row>
    <row r="8" spans="3:4" x14ac:dyDescent="0.25">
      <c r="C8" s="321" t="s">
        <v>822</v>
      </c>
      <c r="D8" s="321">
        <v>1.97</v>
      </c>
    </row>
    <row r="10" spans="3:4" x14ac:dyDescent="0.25">
      <c r="C10" s="321" t="s">
        <v>817</v>
      </c>
      <c r="D10" s="321">
        <v>1</v>
      </c>
    </row>
    <row r="11" spans="3:4" x14ac:dyDescent="0.25">
      <c r="C11" s="321" t="s">
        <v>818</v>
      </c>
      <c r="D11" s="321">
        <v>0</v>
      </c>
    </row>
    <row r="12" spans="3:4" x14ac:dyDescent="0.25">
      <c r="C12" s="321" t="s">
        <v>819</v>
      </c>
      <c r="D12" s="321">
        <v>0</v>
      </c>
    </row>
    <row r="14" spans="3:4" x14ac:dyDescent="0.25">
      <c r="C14" s="321" t="s">
        <v>816</v>
      </c>
      <c r="D14" s="321">
        <v>93.1</v>
      </c>
    </row>
    <row r="15" spans="3:4" ht="47.25" x14ac:dyDescent="0.25">
      <c r="C15" s="14" t="s">
        <v>865</v>
      </c>
      <c r="D15" s="321">
        <v>14</v>
      </c>
    </row>
    <row r="17" spans="3:11" ht="47.25" x14ac:dyDescent="0.25">
      <c r="C17" s="14" t="s">
        <v>864</v>
      </c>
      <c r="D17" s="321">
        <v>1355.5</v>
      </c>
    </row>
    <row r="19" spans="3:11" ht="31.5" x14ac:dyDescent="0.25">
      <c r="C19" s="99" t="s">
        <v>907</v>
      </c>
      <c r="D19" s="650">
        <v>3207</v>
      </c>
    </row>
    <row r="23" spans="3:11" x14ac:dyDescent="0.25">
      <c r="G23" s="321" t="s">
        <v>879</v>
      </c>
      <c r="H23" s="321" t="s">
        <v>680</v>
      </c>
      <c r="I23" s="321" t="s">
        <v>880</v>
      </c>
      <c r="J23" s="321" t="s">
        <v>881</v>
      </c>
      <c r="K23" s="321" t="s">
        <v>680</v>
      </c>
    </row>
    <row r="24" spans="3:11" x14ac:dyDescent="0.25">
      <c r="G24" s="321" t="s">
        <v>882</v>
      </c>
      <c r="H24" s="321" t="s">
        <v>883</v>
      </c>
      <c r="I24" s="321" t="s">
        <v>884</v>
      </c>
      <c r="J24" s="321" t="s">
        <v>885</v>
      </c>
      <c r="K24" s="321" t="s">
        <v>843</v>
      </c>
    </row>
    <row r="25" spans="3:11" x14ac:dyDescent="0.25">
      <c r="F25" s="321" t="s">
        <v>886</v>
      </c>
      <c r="G25" s="321">
        <v>1168</v>
      </c>
      <c r="H25" s="321">
        <v>5107.46</v>
      </c>
      <c r="I25" s="627">
        <v>3565</v>
      </c>
      <c r="J25" s="618">
        <v>4365.7247864321489</v>
      </c>
      <c r="K25" s="141">
        <v>2588.4997997563378</v>
      </c>
    </row>
    <row r="27" spans="3:11" ht="16.5" thickBot="1" x14ac:dyDescent="0.3">
      <c r="F27" s="321" t="s">
        <v>887</v>
      </c>
    </row>
    <row r="28" spans="3:11" ht="16.5" thickBot="1" x14ac:dyDescent="0.3">
      <c r="F28" s="628" t="s">
        <v>888</v>
      </c>
      <c r="G28" s="629">
        <v>1127</v>
      </c>
      <c r="H28" s="630">
        <v>6752</v>
      </c>
      <c r="I28" s="631">
        <v>2988</v>
      </c>
      <c r="J28" s="632">
        <v>3898</v>
      </c>
      <c r="K28" s="633">
        <v>1817</v>
      </c>
    </row>
    <row r="29" spans="3:11" ht="16.5" thickBot="1" x14ac:dyDescent="0.3">
      <c r="F29" s="321" t="s">
        <v>889</v>
      </c>
      <c r="G29" s="629">
        <v>1146</v>
      </c>
      <c r="H29" s="630">
        <v>7160</v>
      </c>
      <c r="I29" s="634">
        <v>3212</v>
      </c>
      <c r="J29" s="635">
        <v>4086</v>
      </c>
      <c r="K29" s="633">
        <v>1960</v>
      </c>
    </row>
    <row r="30" spans="3:11" ht="16.5" thickBot="1" x14ac:dyDescent="0.3">
      <c r="F30" s="321" t="s">
        <v>890</v>
      </c>
      <c r="G30" s="629">
        <v>1765</v>
      </c>
      <c r="H30" s="630">
        <v>7511</v>
      </c>
      <c r="I30" s="631">
        <v>4044</v>
      </c>
      <c r="J30" s="636">
        <v>5283</v>
      </c>
      <c r="K30" s="633">
        <v>2276</v>
      </c>
    </row>
    <row r="31" spans="3:11" ht="16.5" thickBot="1" x14ac:dyDescent="0.3">
      <c r="F31" s="321" t="s">
        <v>635</v>
      </c>
      <c r="G31" s="629">
        <v>2263</v>
      </c>
      <c r="H31" s="630">
        <v>9283</v>
      </c>
      <c r="I31" s="634">
        <v>4658</v>
      </c>
      <c r="J31" s="635">
        <v>6027</v>
      </c>
      <c r="K31" s="633">
        <v>2846</v>
      </c>
    </row>
    <row r="35" spans="6:11" x14ac:dyDescent="0.25">
      <c r="G35" s="321" t="s">
        <v>879</v>
      </c>
      <c r="H35" s="321" t="s">
        <v>680</v>
      </c>
      <c r="I35" s="321" t="s">
        <v>880</v>
      </c>
      <c r="J35" s="321" t="s">
        <v>881</v>
      </c>
      <c r="K35" s="321" t="s">
        <v>680</v>
      </c>
    </row>
    <row r="36" spans="6:11" x14ac:dyDescent="0.25">
      <c r="G36" s="321" t="s">
        <v>882</v>
      </c>
      <c r="H36" s="321" t="s">
        <v>883</v>
      </c>
      <c r="I36" s="321" t="s">
        <v>884</v>
      </c>
      <c r="J36" s="321" t="s">
        <v>885</v>
      </c>
      <c r="K36" s="321" t="s">
        <v>843</v>
      </c>
    </row>
    <row r="37" spans="6:11" x14ac:dyDescent="0.25">
      <c r="F37" s="321" t="s">
        <v>906</v>
      </c>
      <c r="G37" s="321">
        <f>G25/Conversiones!$C$14</f>
        <v>11.518737672583827</v>
      </c>
      <c r="H37" s="321">
        <f>H25/Conversiones!$C$14</f>
        <v>50.369428007889546</v>
      </c>
      <c r="I37" s="321">
        <f>I25/Conversiones!$C$14</f>
        <v>35.157790927021694</v>
      </c>
      <c r="J37" s="321">
        <f>J25/Conversiones!$C$14</f>
        <v>43.054485073295353</v>
      </c>
      <c r="K37" s="321">
        <f>K25/Conversiones!$C$14</f>
        <v>25.527611437439226</v>
      </c>
    </row>
    <row r="39" spans="6:11" x14ac:dyDescent="0.25">
      <c r="F39" s="321" t="s">
        <v>887</v>
      </c>
    </row>
    <row r="40" spans="6:11" x14ac:dyDescent="0.25">
      <c r="F40" s="628" t="s">
        <v>888</v>
      </c>
      <c r="G40" s="321">
        <f>G28*Conversiones!$F$24</f>
        <v>20522.670000000002</v>
      </c>
      <c r="H40" s="321">
        <f>H28*Conversiones!$F$24</f>
        <v>122953.92000000001</v>
      </c>
      <c r="I40" s="321">
        <f>I28*Conversiones!$F$24</f>
        <v>54411.48</v>
      </c>
      <c r="J40" s="321">
        <f>J28*Conversiones!$F$24</f>
        <v>70982.58</v>
      </c>
      <c r="K40" s="321">
        <f>K28*Conversiones!$F$24</f>
        <v>33087.57</v>
      </c>
    </row>
    <row r="41" spans="6:11" x14ac:dyDescent="0.25">
      <c r="F41" s="321" t="s">
        <v>889</v>
      </c>
      <c r="G41" s="321">
        <f>G29*Conversiones!$F$24</f>
        <v>20868.66</v>
      </c>
      <c r="H41" s="321">
        <f>H29*Conversiones!$F$24</f>
        <v>130383.6</v>
      </c>
      <c r="I41" s="321">
        <f>I29*Conversiones!$F$24</f>
        <v>58490.520000000004</v>
      </c>
      <c r="J41" s="321">
        <f>J29*Conversiones!$F$24</f>
        <v>74406.06</v>
      </c>
      <c r="K41" s="321">
        <f>K29*Conversiones!$F$24</f>
        <v>35691.599999999999</v>
      </c>
    </row>
    <row r="42" spans="6:11" x14ac:dyDescent="0.25">
      <c r="F42" s="321" t="s">
        <v>890</v>
      </c>
      <c r="G42" s="321">
        <f>G30*Conversiones!$F$24</f>
        <v>32140.65</v>
      </c>
      <c r="H42" s="321">
        <f>H30*Conversiones!$F$24</f>
        <v>136775.31</v>
      </c>
      <c r="I42" s="321">
        <f>I30*Conversiones!$F$24</f>
        <v>73641.240000000005</v>
      </c>
      <c r="J42" s="321">
        <f>J30*Conversiones!$F$24</f>
        <v>96203.430000000008</v>
      </c>
      <c r="K42" s="321">
        <f>K30*Conversiones!$F$24</f>
        <v>41445.96</v>
      </c>
    </row>
    <row r="43" spans="6:11" x14ac:dyDescent="0.25">
      <c r="F43" s="321" t="s">
        <v>635</v>
      </c>
      <c r="G43" s="321">
        <f>G31*Conversiones!$F$24</f>
        <v>41209.230000000003</v>
      </c>
      <c r="H43" s="321">
        <f>H31*Conversiones!$F$24</f>
        <v>169043.43000000002</v>
      </c>
      <c r="I43" s="321">
        <f>I31*Conversiones!$F$24</f>
        <v>84822.180000000008</v>
      </c>
      <c r="J43" s="321">
        <f>J31*Conversiones!$F$24</f>
        <v>109751.67</v>
      </c>
      <c r="K43" s="321">
        <f>K31*Conversiones!$F$24</f>
        <v>51825.66</v>
      </c>
    </row>
  </sheetData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C7673"/>
  </sheetPr>
  <dimension ref="A3:T63"/>
  <sheetViews>
    <sheetView workbookViewId="0">
      <selection activeCell="J15" sqref="J15"/>
    </sheetView>
  </sheetViews>
  <sheetFormatPr defaultColWidth="8.875" defaultRowHeight="15.75" x14ac:dyDescent="0.25"/>
  <cols>
    <col min="1" max="1" width="20.5" style="321" customWidth="1"/>
    <col min="2" max="2" width="20.125" style="321" bestFit="1" customWidth="1"/>
    <col min="3" max="3" width="19.375" style="321" customWidth="1"/>
    <col min="4" max="4" width="24.125" style="321" bestFit="1" customWidth="1"/>
    <col min="5" max="5" width="24.625" style="321" customWidth="1"/>
    <col min="6" max="6" width="27.125" style="321" customWidth="1"/>
    <col min="7" max="7" width="20.625" style="321" bestFit="1" customWidth="1"/>
    <col min="8" max="8" width="16.125" style="321" customWidth="1"/>
    <col min="9" max="9" width="21.375" style="321" bestFit="1" customWidth="1"/>
    <col min="10" max="10" width="25.375" style="321" customWidth="1"/>
    <col min="11" max="11" width="13.5" style="321" customWidth="1"/>
    <col min="12" max="12" width="14.625" style="321" customWidth="1"/>
    <col min="13" max="16384" width="8.875" style="321"/>
  </cols>
  <sheetData>
    <row r="3" spans="1:15" x14ac:dyDescent="0.25">
      <c r="A3" s="10" t="s">
        <v>933</v>
      </c>
      <c r="B3" s="10"/>
      <c r="C3" s="10"/>
    </row>
    <row r="4" spans="1:15" x14ac:dyDescent="0.25">
      <c r="A4" s="686" t="s">
        <v>934</v>
      </c>
      <c r="B4" s="686" t="s">
        <v>935</v>
      </c>
      <c r="C4" s="686" t="s">
        <v>936</v>
      </c>
    </row>
    <row r="5" spans="1:15" x14ac:dyDescent="0.25">
      <c r="A5" s="687"/>
      <c r="B5" s="687"/>
      <c r="C5" s="687"/>
    </row>
    <row r="8" spans="1:15" x14ac:dyDescent="0.25">
      <c r="A8" s="10" t="s">
        <v>937</v>
      </c>
      <c r="B8" s="10"/>
      <c r="C8" s="10"/>
      <c r="D8" s="10"/>
    </row>
    <row r="9" spans="1:15" x14ac:dyDescent="0.25">
      <c r="A9" s="686" t="s">
        <v>935</v>
      </c>
      <c r="B9" s="686" t="s">
        <v>938</v>
      </c>
      <c r="C9" s="686" t="s">
        <v>939</v>
      </c>
      <c r="D9" s="688" t="s">
        <v>940</v>
      </c>
    </row>
    <row r="10" spans="1:15" x14ac:dyDescent="0.25">
      <c r="A10" s="687"/>
      <c r="B10" s="687"/>
      <c r="C10" s="687"/>
      <c r="D10" s="687"/>
    </row>
    <row r="11" spans="1:15" x14ac:dyDescent="0.25">
      <c r="A11" s="113"/>
      <c r="B11" s="113"/>
      <c r="C11" s="113"/>
      <c r="D11" s="113"/>
    </row>
    <row r="12" spans="1:15" x14ac:dyDescent="0.25">
      <c r="A12" s="113"/>
      <c r="B12" s="113"/>
      <c r="C12" s="113"/>
      <c r="D12" s="113"/>
    </row>
    <row r="13" spans="1:15" x14ac:dyDescent="0.25">
      <c r="A13" s="689" t="s">
        <v>941</v>
      </c>
    </row>
    <row r="14" spans="1:15" s="68" customFormat="1" x14ac:dyDescent="0.25">
      <c r="A14" s="717" t="s">
        <v>934</v>
      </c>
      <c r="B14" s="691" t="s">
        <v>942</v>
      </c>
      <c r="C14" s="691" t="s">
        <v>943</v>
      </c>
      <c r="D14" s="691" t="s">
        <v>944</v>
      </c>
      <c r="E14" s="691" t="s">
        <v>945</v>
      </c>
      <c r="F14" s="717" t="s">
        <v>946</v>
      </c>
      <c r="G14" s="718" t="s">
        <v>947</v>
      </c>
      <c r="H14" s="718" t="s">
        <v>948</v>
      </c>
      <c r="I14" s="718" t="s">
        <v>949</v>
      </c>
      <c r="J14" s="718" t="s">
        <v>950</v>
      </c>
    </row>
    <row r="15" spans="1:15" ht="30.95" customHeight="1" x14ac:dyDescent="0.25">
      <c r="A15" s="693" t="s">
        <v>951</v>
      </c>
      <c r="B15" s="697">
        <f>'Outcome TOTAL_Adj'!$Q$13</f>
        <v>1.1852424488698572</v>
      </c>
      <c r="C15" s="697">
        <f>'Outcome TOTAL_Adj'!$Q$14-'Outcome TOTAL_Adj'!$Q$13</f>
        <v>4.1315816045943921E-2</v>
      </c>
      <c r="D15" s="697">
        <f>'Outcome TOTAL_Adj'!$Q$16-'Outcome TOTAL_Adj'!$Q$14</f>
        <v>0.88928394728226801</v>
      </c>
      <c r="E15" s="700">
        <f>'Outcome TOTAL_Adj'!$Q$16</f>
        <v>2.1158422121980691</v>
      </c>
      <c r="F15" s="698">
        <f>'Outcome TOTAL_Adj'!$P$13</f>
        <v>1368.2076285004568</v>
      </c>
      <c r="G15" s="729">
        <f>'Outcome TOTAL_Adj'!$T$13</f>
        <v>4323.5361060614441</v>
      </c>
      <c r="H15" s="698">
        <f>'Outcome TOTAL_Adj'!$P$16</f>
        <v>2442.4635298820194</v>
      </c>
      <c r="I15" s="729">
        <f>'Outcome TOTAL_Adj'!$T$16</f>
        <v>7718.1847544271814</v>
      </c>
      <c r="J15" s="699">
        <f>'Outcome TOTAL_Adj'!$P$18</f>
        <v>1.7368049936799144</v>
      </c>
      <c r="K15" s="775" t="s">
        <v>952</v>
      </c>
      <c r="L15" s="776"/>
      <c r="M15" s="776"/>
      <c r="N15" s="776"/>
      <c r="O15" s="776"/>
    </row>
    <row r="18" spans="1:20" x14ac:dyDescent="0.25">
      <c r="A18" s="689" t="s">
        <v>957</v>
      </c>
      <c r="B18" s="689"/>
      <c r="C18" s="689"/>
      <c r="D18" s="689"/>
      <c r="E18" s="689"/>
      <c r="F18" s="103"/>
      <c r="G18" s="103"/>
      <c r="H18" s="103"/>
      <c r="I18" s="103"/>
      <c r="J18" s="103"/>
    </row>
    <row r="19" spans="1:20" s="68" customFormat="1" x14ac:dyDescent="0.25">
      <c r="A19" s="717" t="s">
        <v>935</v>
      </c>
      <c r="B19" s="691" t="s">
        <v>942</v>
      </c>
      <c r="C19" s="691" t="s">
        <v>943</v>
      </c>
      <c r="D19" s="691" t="s">
        <v>944</v>
      </c>
      <c r="E19" s="691" t="s">
        <v>945</v>
      </c>
      <c r="F19" s="718" t="s">
        <v>950</v>
      </c>
      <c r="G19" s="719"/>
      <c r="H19" s="719"/>
      <c r="I19" s="719"/>
      <c r="J19" s="719"/>
    </row>
    <row r="20" spans="1:20" ht="32.1" customHeight="1" x14ac:dyDescent="0.25">
      <c r="A20" s="707" t="s">
        <v>958</v>
      </c>
      <c r="B20" s="712">
        <f>B52</f>
        <v>1.1392028024546756</v>
      </c>
      <c r="C20" s="712">
        <f t="shared" ref="C20:E20" si="0">C52</f>
        <v>6.1805724746045898E-2</v>
      </c>
      <c r="D20" s="712">
        <f t="shared" si="0"/>
        <v>0.80000000000000016</v>
      </c>
      <c r="E20" s="712">
        <f t="shared" si="0"/>
        <v>2.0010085272007219</v>
      </c>
      <c r="F20" s="723">
        <f>F52</f>
        <v>1.7184024968399572</v>
      </c>
      <c r="G20" s="775" t="s">
        <v>971</v>
      </c>
      <c r="H20" s="776"/>
      <c r="I20" s="730"/>
      <c r="J20" s="10"/>
    </row>
    <row r="25" spans="1:20" ht="35.1" customHeight="1" x14ac:dyDescent="0.25">
      <c r="A25" s="727" t="s">
        <v>917</v>
      </c>
      <c r="B25" s="727" t="s">
        <v>918</v>
      </c>
      <c r="C25" s="727" t="s">
        <v>919</v>
      </c>
      <c r="D25" s="727" t="s">
        <v>913</v>
      </c>
      <c r="E25" s="727" t="s">
        <v>818</v>
      </c>
      <c r="F25" s="727" t="s">
        <v>819</v>
      </c>
      <c r="G25" s="727" t="s">
        <v>920</v>
      </c>
      <c r="H25" s="727" t="s">
        <v>865</v>
      </c>
      <c r="I25" s="727" t="s">
        <v>925</v>
      </c>
      <c r="J25" s="727" t="s">
        <v>924</v>
      </c>
      <c r="K25" s="10"/>
      <c r="L25" s="10"/>
      <c r="M25" s="10"/>
      <c r="N25" s="10"/>
      <c r="O25" s="10"/>
      <c r="P25" s="10"/>
      <c r="Q25" s="10"/>
      <c r="R25" s="10"/>
      <c r="S25" s="10"/>
      <c r="T25" s="10"/>
    </row>
    <row r="26" spans="1:20" x14ac:dyDescent="0.25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</row>
    <row r="27" spans="1:20" x14ac:dyDescent="0.25">
      <c r="A27" s="10" t="s">
        <v>961</v>
      </c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</row>
    <row r="28" spans="1:20" x14ac:dyDescent="0.25">
      <c r="A28" s="686" t="s">
        <v>962</v>
      </c>
      <c r="B28" s="686" t="s">
        <v>963</v>
      </c>
      <c r="C28" s="686" t="s">
        <v>964</v>
      </c>
      <c r="D28" s="686" t="s">
        <v>913</v>
      </c>
      <c r="E28" s="686" t="s">
        <v>818</v>
      </c>
      <c r="F28" s="686" t="s">
        <v>819</v>
      </c>
      <c r="G28" s="686" t="s">
        <v>965</v>
      </c>
      <c r="H28" s="686" t="s">
        <v>966</v>
      </c>
      <c r="I28" s="686" t="s">
        <v>967</v>
      </c>
      <c r="J28" s="686" t="s">
        <v>968</v>
      </c>
      <c r="K28" s="686" t="s">
        <v>980</v>
      </c>
      <c r="L28" s="686" t="s">
        <v>981</v>
      </c>
      <c r="M28" s="10"/>
      <c r="N28" s="10"/>
      <c r="O28" s="10"/>
      <c r="P28" s="10"/>
      <c r="Q28" s="10"/>
      <c r="R28" s="10"/>
      <c r="S28" s="10"/>
      <c r="T28" s="10"/>
    </row>
    <row r="29" spans="1:20" x14ac:dyDescent="0.25">
      <c r="A29" s="728">
        <f>'Inputs 1.0'!E6</f>
        <v>1.03</v>
      </c>
      <c r="B29" s="728">
        <f>'Inputs 1.0'!E7</f>
        <v>1.94</v>
      </c>
      <c r="C29" s="728">
        <f>'Inputs 1.0'!E8</f>
        <v>1.97</v>
      </c>
      <c r="D29" s="728">
        <f>'Inputs 1.0'!E9</f>
        <v>0</v>
      </c>
      <c r="E29" s="728">
        <f>'Inputs 1.0'!E10</f>
        <v>1</v>
      </c>
      <c r="F29" s="728">
        <f>'Inputs 1.0'!E11</f>
        <v>0</v>
      </c>
      <c r="G29" s="728">
        <f>'Inputs 1.0'!E14</f>
        <v>16.155738605161996</v>
      </c>
      <c r="H29" s="728">
        <f>'Inputs 1.0'!E15</f>
        <v>14</v>
      </c>
      <c r="I29" s="728">
        <f>'Inputs 1.0'!E17</f>
        <v>235.22130697419001</v>
      </c>
      <c r="J29" s="728">
        <f>'Inputs 1.0'!E19</f>
        <v>556.51400329489297</v>
      </c>
      <c r="K29" s="761">
        <f>'Inputs 1.0'!$E$24</f>
        <v>379.79674777205003</v>
      </c>
      <c r="L29" s="761">
        <f>'Inputs 1.0'!$E$25</f>
        <v>379.79674777205014</v>
      </c>
      <c r="M29" s="694" t="s">
        <v>969</v>
      </c>
    </row>
    <row r="33" spans="1:16" x14ac:dyDescent="0.25">
      <c r="A33" s="701" t="s">
        <v>953</v>
      </c>
    </row>
    <row r="34" spans="1:16" s="209" customFormat="1" ht="31.5" x14ac:dyDescent="0.25">
      <c r="A34" s="691" t="s">
        <v>956</v>
      </c>
      <c r="B34" s="715" t="s">
        <v>858</v>
      </c>
      <c r="C34" s="716" t="s">
        <v>859</v>
      </c>
      <c r="D34" s="715" t="s">
        <v>860</v>
      </c>
      <c r="E34" s="716" t="s">
        <v>635</v>
      </c>
      <c r="F34" s="720" t="s">
        <v>946</v>
      </c>
      <c r="G34" s="721" t="s">
        <v>947</v>
      </c>
      <c r="H34" s="721" t="s">
        <v>948</v>
      </c>
      <c r="I34" s="721" t="s">
        <v>949</v>
      </c>
      <c r="J34" s="722"/>
    </row>
    <row r="35" spans="1:16" ht="36.950000000000003" customHeight="1" x14ac:dyDescent="0.25">
      <c r="A35" s="693" t="s">
        <v>951</v>
      </c>
      <c r="B35" s="697">
        <f t="shared" ref="B35:I35" si="1">B15</f>
        <v>1.1852424488698572</v>
      </c>
      <c r="C35" s="697">
        <f t="shared" si="1"/>
        <v>4.1315816045943921E-2</v>
      </c>
      <c r="D35" s="697">
        <f t="shared" si="1"/>
        <v>0.88928394728226801</v>
      </c>
      <c r="E35" s="697">
        <f t="shared" si="1"/>
        <v>2.1158422121980691</v>
      </c>
      <c r="F35" s="698">
        <f t="shared" si="1"/>
        <v>1368.2076285004568</v>
      </c>
      <c r="G35" s="698">
        <f t="shared" si="1"/>
        <v>4323.5361060614441</v>
      </c>
      <c r="H35" s="698">
        <f t="shared" si="1"/>
        <v>2442.4635298820194</v>
      </c>
      <c r="I35" s="698">
        <f t="shared" si="1"/>
        <v>7718.1847544271814</v>
      </c>
      <c r="J35" s="713"/>
      <c r="K35" s="695"/>
      <c r="L35" s="695"/>
      <c r="M35" s="695"/>
      <c r="N35" s="695"/>
      <c r="O35" s="695"/>
      <c r="P35" s="695"/>
    </row>
    <row r="36" spans="1:16" s="10" customFormat="1" x14ac:dyDescent="0.25">
      <c r="A36" s="704" t="s">
        <v>861</v>
      </c>
      <c r="B36" s="705">
        <f>B52</f>
        <v>1.1392028024546756</v>
      </c>
      <c r="C36" s="705">
        <f t="shared" ref="C36:E36" si="2">C52</f>
        <v>6.1805724746045898E-2</v>
      </c>
      <c r="D36" s="705">
        <f t="shared" si="2"/>
        <v>0.80000000000000016</v>
      </c>
      <c r="E36" s="705">
        <f t="shared" si="2"/>
        <v>2.0010085272007219</v>
      </c>
      <c r="F36" s="687"/>
      <c r="G36" s="687"/>
      <c r="H36" s="687"/>
      <c r="I36" s="687"/>
      <c r="J36" s="714"/>
    </row>
    <row r="40" spans="1:16" ht="18.75" x14ac:dyDescent="0.3">
      <c r="A40" s="777" t="s">
        <v>954</v>
      </c>
      <c r="B40" s="777"/>
      <c r="C40" s="777"/>
      <c r="D40" s="777"/>
      <c r="E40" s="777"/>
      <c r="F40" s="777"/>
      <c r="G40" s="777"/>
      <c r="H40" s="777"/>
      <c r="I40" s="777"/>
    </row>
    <row r="41" spans="1:16" x14ac:dyDescent="0.25">
      <c r="A41" s="597"/>
      <c r="B41" s="597"/>
      <c r="C41" s="597"/>
      <c r="D41" s="597"/>
      <c r="E41" s="597"/>
    </row>
    <row r="42" spans="1:16" s="627" customFormat="1" ht="15" x14ac:dyDescent="0.25"/>
    <row r="43" spans="1:16" s="10" customFormat="1" x14ac:dyDescent="0.25">
      <c r="A43" s="113"/>
      <c r="B43" s="690" t="s">
        <v>942</v>
      </c>
      <c r="C43" s="690" t="s">
        <v>943</v>
      </c>
      <c r="D43" s="691" t="s">
        <v>944</v>
      </c>
      <c r="E43" s="691" t="s">
        <v>945</v>
      </c>
      <c r="F43" s="692" t="s">
        <v>950</v>
      </c>
    </row>
    <row r="44" spans="1:16" s="10" customFormat="1" x14ac:dyDescent="0.25">
      <c r="A44" s="702" t="s">
        <v>931</v>
      </c>
      <c r="B44" s="696">
        <f>B35</f>
        <v>1.1852424488698572</v>
      </c>
      <c r="C44" s="696">
        <f>C35</f>
        <v>4.1315816045943921E-2</v>
      </c>
      <c r="D44" s="696">
        <f>D35</f>
        <v>0.88928394728226801</v>
      </c>
      <c r="E44" s="696">
        <f>E35</f>
        <v>2.1158422121980691</v>
      </c>
      <c r="F44" s="710">
        <f>J15</f>
        <v>1.7368049936799144</v>
      </c>
    </row>
    <row r="45" spans="1:16" s="10" customFormat="1" x14ac:dyDescent="0.25">
      <c r="A45" s="113" t="s">
        <v>927</v>
      </c>
      <c r="B45" s="703">
        <v>1.0931631560394943</v>
      </c>
      <c r="C45" s="703">
        <v>8.2295633446147876E-2</v>
      </c>
      <c r="D45" s="703">
        <v>0.71071605271773231</v>
      </c>
      <c r="E45" s="703">
        <v>1.8861748422033746</v>
      </c>
      <c r="F45" s="711">
        <v>1.7</v>
      </c>
      <c r="G45" s="708" t="s">
        <v>955</v>
      </c>
      <c r="H45" s="709"/>
      <c r="I45" s="709"/>
      <c r="J45" s="709"/>
    </row>
    <row r="46" spans="1:16" s="10" customFormat="1" x14ac:dyDescent="0.25">
      <c r="A46" s="113" t="s">
        <v>928</v>
      </c>
      <c r="B46" s="113" t="s">
        <v>101</v>
      </c>
      <c r="C46" s="113" t="s">
        <v>101</v>
      </c>
      <c r="D46" s="113" t="s">
        <v>101</v>
      </c>
      <c r="E46" s="113" t="s">
        <v>101</v>
      </c>
    </row>
    <row r="47" spans="1:16" s="10" customFormat="1" x14ac:dyDescent="0.25">
      <c r="A47" s="12" t="s">
        <v>929</v>
      </c>
      <c r="B47" s="113" t="s">
        <v>101</v>
      </c>
      <c r="C47" s="113" t="s">
        <v>101</v>
      </c>
      <c r="D47" s="113" t="s">
        <v>101</v>
      </c>
      <c r="E47" s="113" t="s">
        <v>101</v>
      </c>
    </row>
    <row r="48" spans="1:16" s="10" customFormat="1" x14ac:dyDescent="0.25">
      <c r="A48" s="12" t="s">
        <v>101</v>
      </c>
      <c r="B48" s="113" t="s">
        <v>101</v>
      </c>
      <c r="C48" s="113" t="s">
        <v>101</v>
      </c>
      <c r="D48" s="113" t="s">
        <v>101</v>
      </c>
      <c r="E48" s="113" t="s">
        <v>101</v>
      </c>
    </row>
    <row r="49" spans="1:12" s="10" customFormat="1" x14ac:dyDescent="0.25">
      <c r="A49" s="12" t="s">
        <v>101</v>
      </c>
      <c r="B49" s="113" t="s">
        <v>101</v>
      </c>
      <c r="C49" s="113" t="s">
        <v>101</v>
      </c>
      <c r="D49" s="113" t="s">
        <v>101</v>
      </c>
      <c r="E49" s="113" t="s">
        <v>101</v>
      </c>
    </row>
    <row r="50" spans="1:12" s="10" customFormat="1" x14ac:dyDescent="0.25">
      <c r="A50" s="12" t="s">
        <v>101</v>
      </c>
      <c r="B50" s="113" t="s">
        <v>101</v>
      </c>
      <c r="C50" s="113" t="s">
        <v>101</v>
      </c>
      <c r="D50" s="113" t="s">
        <v>101</v>
      </c>
      <c r="E50" s="113" t="s">
        <v>101</v>
      </c>
      <c r="I50" s="22"/>
      <c r="J50" s="22"/>
      <c r="K50" s="22"/>
      <c r="L50" s="22"/>
    </row>
    <row r="51" spans="1:12" s="10" customFormat="1" x14ac:dyDescent="0.25">
      <c r="A51" s="12" t="s">
        <v>101</v>
      </c>
      <c r="B51" s="113" t="s">
        <v>101</v>
      </c>
      <c r="C51" s="113" t="s">
        <v>101</v>
      </c>
      <c r="D51" s="113" t="s">
        <v>101</v>
      </c>
      <c r="E51" s="113" t="s">
        <v>101</v>
      </c>
    </row>
    <row r="52" spans="1:12" s="10" customFormat="1" x14ac:dyDescent="0.25">
      <c r="A52" s="724" t="s">
        <v>959</v>
      </c>
      <c r="B52" s="725">
        <f>AVERAGE(B44:B51)</f>
        <v>1.1392028024546756</v>
      </c>
      <c r="C52" s="725">
        <f t="shared" ref="C52:F52" si="3">AVERAGE(C44:C51)</f>
        <v>6.1805724746045898E-2</v>
      </c>
      <c r="D52" s="725">
        <f t="shared" si="3"/>
        <v>0.80000000000000016</v>
      </c>
      <c r="E52" s="726">
        <f t="shared" si="3"/>
        <v>2.0010085272007219</v>
      </c>
      <c r="F52" s="726">
        <f t="shared" si="3"/>
        <v>1.7184024968399572</v>
      </c>
      <c r="G52" s="3" t="s">
        <v>960</v>
      </c>
    </row>
    <row r="53" spans="1:12" s="10" customFormat="1" x14ac:dyDescent="0.25">
      <c r="G53" s="3" t="s">
        <v>972</v>
      </c>
    </row>
    <row r="54" spans="1:12" s="10" customFormat="1" x14ac:dyDescent="0.25"/>
    <row r="58" spans="1:12" ht="21" x14ac:dyDescent="0.35">
      <c r="A58" s="774" t="s">
        <v>908</v>
      </c>
      <c r="B58" s="774"/>
      <c r="C58" s="774"/>
      <c r="D58" s="774"/>
      <c r="E58" s="774"/>
      <c r="F58" s="774"/>
      <c r="G58" s="774"/>
      <c r="H58" s="774"/>
      <c r="I58" s="774"/>
    </row>
    <row r="60" spans="1:12" s="10" customFormat="1" x14ac:dyDescent="0.25">
      <c r="A60" s="10" t="s">
        <v>970</v>
      </c>
    </row>
    <row r="61" spans="1:12" s="10" customFormat="1" x14ac:dyDescent="0.25"/>
    <row r="62" spans="1:12" s="10" customFormat="1" ht="33" customHeight="1" x14ac:dyDescent="0.25">
      <c r="B62" s="706" t="s">
        <v>858</v>
      </c>
      <c r="C62" s="706" t="s">
        <v>859</v>
      </c>
      <c r="D62" s="706" t="s">
        <v>860</v>
      </c>
      <c r="E62" s="706" t="s">
        <v>635</v>
      </c>
    </row>
    <row r="63" spans="1:12" s="10" customFormat="1" x14ac:dyDescent="0.25">
      <c r="A63" s="10" t="s">
        <v>930</v>
      </c>
      <c r="B63" s="10">
        <v>1.05</v>
      </c>
      <c r="C63" s="10">
        <v>0.06</v>
      </c>
      <c r="D63" s="10">
        <v>0.8</v>
      </c>
      <c r="E63" s="10">
        <v>1.9100000000000001</v>
      </c>
    </row>
  </sheetData>
  <mergeCells count="4">
    <mergeCell ref="A58:I58"/>
    <mergeCell ref="K15:O15"/>
    <mergeCell ref="A40:I40"/>
    <mergeCell ref="G20:H20"/>
  </mergeCells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B2:AU18"/>
  <sheetViews>
    <sheetView workbookViewId="0">
      <selection activeCell="G2" sqref="G2"/>
    </sheetView>
  </sheetViews>
  <sheetFormatPr defaultColWidth="8.875" defaultRowHeight="15.75" x14ac:dyDescent="0.25"/>
  <cols>
    <col min="2" max="4" width="8.875" style="321"/>
    <col min="5" max="5" width="12" style="321" customWidth="1"/>
    <col min="6" max="7" width="8.875" style="321"/>
    <col min="8" max="12" width="5.875" style="321" customWidth="1"/>
    <col min="14" max="14" width="9" customWidth="1"/>
    <col min="15" max="15" width="24" customWidth="1"/>
    <col min="16" max="16" width="12.875" customWidth="1"/>
    <col min="17" max="17" width="11.125" customWidth="1"/>
    <col min="18" max="18" width="23" customWidth="1"/>
    <col min="20" max="20" width="16.375" customWidth="1"/>
  </cols>
  <sheetData>
    <row r="2" spans="2:47" x14ac:dyDescent="0.25">
      <c r="U2" t="s">
        <v>866</v>
      </c>
      <c r="AL2" t="s">
        <v>870</v>
      </c>
      <c r="AU2" t="s">
        <v>868</v>
      </c>
    </row>
    <row r="3" spans="2:47" x14ac:dyDescent="0.25">
      <c r="N3" s="778" t="s">
        <v>536</v>
      </c>
      <c r="O3" s="778"/>
      <c r="P3" s="778"/>
      <c r="Q3" s="778"/>
      <c r="R3" s="778"/>
      <c r="U3" t="s">
        <v>867</v>
      </c>
      <c r="AL3" t="s">
        <v>872</v>
      </c>
      <c r="AU3" s="621">
        <v>14</v>
      </c>
    </row>
    <row r="4" spans="2:47" ht="51.75" x14ac:dyDescent="0.25">
      <c r="N4" s="49">
        <v>1</v>
      </c>
      <c r="O4" s="58">
        <v>3</v>
      </c>
      <c r="P4" s="48" t="s">
        <v>636</v>
      </c>
      <c r="Q4" s="48" t="s">
        <v>637</v>
      </c>
      <c r="R4" s="48" t="s">
        <v>87</v>
      </c>
    </row>
    <row r="5" spans="2:47" ht="38.25" x14ac:dyDescent="0.25">
      <c r="N5" s="558">
        <v>1</v>
      </c>
      <c r="O5" s="559" t="s">
        <v>0</v>
      </c>
      <c r="P5" s="637">
        <f>Outcome_Y_Adjustment!I7+'Outcome_L Adjustment'!J3</f>
        <v>24915.060914993319</v>
      </c>
      <c r="Q5" s="638">
        <f>(P5/Budget_Supuestos!$L$155)</f>
        <v>2188.5430703834982</v>
      </c>
      <c r="R5" s="52" t="s">
        <v>85</v>
      </c>
    </row>
    <row r="6" spans="2:47" ht="51.75" x14ac:dyDescent="0.25">
      <c r="N6" s="54">
        <v>2</v>
      </c>
      <c r="O6" s="55" t="s">
        <v>89</v>
      </c>
      <c r="P6" s="637">
        <f>Outcome_Y_Adjustment!I8+'Outcome_L Adjustment'!J4</f>
        <v>25783.563451768718</v>
      </c>
      <c r="Q6" s="638">
        <f>(P6/Budget_Supuestos!$L$155)</f>
        <v>2264.8324768174375</v>
      </c>
      <c r="R6" s="56" t="s">
        <v>84</v>
      </c>
    </row>
    <row r="7" spans="2:47" ht="39" x14ac:dyDescent="0.25">
      <c r="N7" s="54">
        <v>3</v>
      </c>
      <c r="O7" s="57" t="s">
        <v>90</v>
      </c>
      <c r="P7" s="637">
        <f>Outcome_Y_Adjustment!I9+'Outcome_L Adjustment'!J5</f>
        <v>35616.300767461245</v>
      </c>
      <c r="Q7" s="638">
        <f>(P7/Budget_Supuestos!$L$155)</f>
        <v>3128.5417484335571</v>
      </c>
      <c r="R7" s="57" t="s">
        <v>86</v>
      </c>
    </row>
    <row r="8" spans="2:47" ht="89.25" x14ac:dyDescent="0.25">
      <c r="N8" s="50">
        <v>4</v>
      </c>
      <c r="O8" s="51" t="s">
        <v>91</v>
      </c>
      <c r="P8" s="637">
        <f>Outcome_Y_Adjustment!I10+'Outcome_L Adjustment'!J6</f>
        <v>44477.260879151574</v>
      </c>
      <c r="Q8" s="638">
        <f>(P8/Budget_Supuestos!$L$155)</f>
        <v>3906.8899497704615</v>
      </c>
      <c r="R8" s="53" t="s">
        <v>88</v>
      </c>
    </row>
    <row r="9" spans="2:47" x14ac:dyDescent="0.25">
      <c r="N9" s="562"/>
      <c r="O9" s="563"/>
      <c r="P9" s="46"/>
      <c r="Q9" s="46"/>
      <c r="R9" s="563"/>
    </row>
    <row r="10" spans="2:47" x14ac:dyDescent="0.25">
      <c r="N10" s="562"/>
      <c r="O10" s="563" t="s">
        <v>639</v>
      </c>
      <c r="P10" s="641">
        <f>'Outcome_L Adjustment'!$C$8</f>
        <v>3207</v>
      </c>
      <c r="Q10" s="46">
        <v>1454.6724605600966</v>
      </c>
      <c r="R10" s="563">
        <v>0.52610215571793728</v>
      </c>
    </row>
    <row r="11" spans="2:47" x14ac:dyDescent="0.25">
      <c r="N11" s="562"/>
      <c r="O11" s="563"/>
      <c r="P11" s="46"/>
      <c r="Q11" s="46"/>
      <c r="R11" s="563"/>
    </row>
    <row r="12" spans="2:47" ht="52.5" thickBot="1" x14ac:dyDescent="0.3">
      <c r="N12" s="779" t="s">
        <v>547</v>
      </c>
      <c r="O12" s="779"/>
      <c r="P12" s="48" t="s">
        <v>638</v>
      </c>
      <c r="Q12" s="48" t="s">
        <v>552</v>
      </c>
      <c r="R12" s="48" t="s">
        <v>87</v>
      </c>
      <c r="T12" s="48" t="s">
        <v>638</v>
      </c>
    </row>
    <row r="13" spans="2:47" ht="39" thickBot="1" x14ac:dyDescent="0.3">
      <c r="B13" s="610"/>
      <c r="C13" s="611" t="s">
        <v>858</v>
      </c>
      <c r="D13" s="612" t="s">
        <v>859</v>
      </c>
      <c r="E13" s="642" t="s">
        <v>860</v>
      </c>
      <c r="F13" s="643" t="s">
        <v>635</v>
      </c>
      <c r="N13" s="558">
        <v>1</v>
      </c>
      <c r="O13" s="559" t="s">
        <v>0</v>
      </c>
      <c r="P13" s="639">
        <f>P5/Conversiones!$F$24</f>
        <v>1368.2076285004568</v>
      </c>
      <c r="Q13" s="640">
        <f>(Q5/Conversiones!$C$14)/Conversiones!$F$24</f>
        <v>1.1852424488698572</v>
      </c>
      <c r="R13" s="52" t="s">
        <v>85</v>
      </c>
      <c r="T13">
        <f>P13*Conversiones!$D$24</f>
        <v>4323.5361060614441</v>
      </c>
    </row>
    <row r="14" spans="2:47" ht="52.5" thickBot="1" x14ac:dyDescent="0.3">
      <c r="B14" s="613" t="s">
        <v>905</v>
      </c>
      <c r="C14" s="614">
        <f>+Q13</f>
        <v>1.1852424488698572</v>
      </c>
      <c r="D14" s="614">
        <f>Q14-Q13</f>
        <v>4.1315816045943921E-2</v>
      </c>
      <c r="E14" s="614">
        <f>Q16-Q14</f>
        <v>0.88928394728226801</v>
      </c>
      <c r="F14" s="645">
        <f>SUM(C14:E14)</f>
        <v>2.1158422121980691</v>
      </c>
      <c r="N14" s="54">
        <v>2</v>
      </c>
      <c r="O14" s="55" t="s">
        <v>89</v>
      </c>
      <c r="P14" s="639">
        <f>P6/Conversiones!$F$24</f>
        <v>1415.901342765992</v>
      </c>
      <c r="Q14" s="640">
        <f>(Q6/Conversiones!$C$14)/Conversiones!$F$24</f>
        <v>1.2265582649158011</v>
      </c>
      <c r="R14" s="56" t="s">
        <v>84</v>
      </c>
      <c r="T14" s="321">
        <f>P14*Conversiones!$D$24</f>
        <v>4474.2482431405351</v>
      </c>
    </row>
    <row r="15" spans="2:47" ht="39.75" thickBot="1" x14ac:dyDescent="0.3">
      <c r="B15" s="615" t="s">
        <v>861</v>
      </c>
      <c r="C15" s="616">
        <v>1.05</v>
      </c>
      <c r="D15" s="616">
        <v>0.06</v>
      </c>
      <c r="E15" s="616">
        <v>0.8</v>
      </c>
      <c r="F15" s="644">
        <f>SUM(C15:E15)</f>
        <v>1.9100000000000001</v>
      </c>
      <c r="N15" s="54">
        <v>3</v>
      </c>
      <c r="O15" s="57" t="s">
        <v>90</v>
      </c>
      <c r="P15" s="639">
        <f>P7/Conversiones!$F$24</f>
        <v>1955.8649515354884</v>
      </c>
      <c r="Q15" s="640">
        <f>(Q7/Conversiones!$C$14)/Conversiones!$F$24</f>
        <v>1.6943146029359191</v>
      </c>
      <c r="R15" s="57" t="s">
        <v>86</v>
      </c>
      <c r="T15" s="321">
        <f>P15*Conversiones!$D$24</f>
        <v>6180.5332468521437</v>
      </c>
    </row>
    <row r="16" spans="2:47" ht="89.25" x14ac:dyDescent="0.25">
      <c r="N16" s="50">
        <v>4</v>
      </c>
      <c r="O16" s="51" t="s">
        <v>91</v>
      </c>
      <c r="P16" s="639">
        <f>P8/Conversiones!$F$24</f>
        <v>2442.4635298820194</v>
      </c>
      <c r="Q16" s="640">
        <f>(Q8/Conversiones!$C$14)/Conversiones!$F$24</f>
        <v>2.1158422121980691</v>
      </c>
      <c r="R16" s="53" t="s">
        <v>88</v>
      </c>
      <c r="T16" s="321">
        <f>P16*Conversiones!$D$24</f>
        <v>7718.1847544271814</v>
      </c>
    </row>
    <row r="17" spans="14:18" x14ac:dyDescent="0.25">
      <c r="N17" s="562"/>
      <c r="O17" s="563"/>
      <c r="P17" s="46"/>
      <c r="Q17" s="46"/>
      <c r="R17" s="563"/>
    </row>
    <row r="18" spans="14:18" ht="26.25" x14ac:dyDescent="0.25">
      <c r="N18" s="562"/>
      <c r="O18" s="563" t="s">
        <v>640</v>
      </c>
      <c r="P18" s="641">
        <f>'Outcome_L Adjustment'!$C$16</f>
        <v>1.7368049936799144</v>
      </c>
      <c r="Q18" s="46"/>
      <c r="R18" s="563"/>
    </row>
  </sheetData>
  <mergeCells count="2">
    <mergeCell ref="N3:R3"/>
    <mergeCell ref="N12:O12"/>
  </mergeCells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60B691"/>
  </sheetPr>
  <dimension ref="C2:I10"/>
  <sheetViews>
    <sheetView topLeftCell="A13" workbookViewId="0">
      <selection activeCell="H32" sqref="H32"/>
    </sheetView>
  </sheetViews>
  <sheetFormatPr defaultColWidth="10.875" defaultRowHeight="15.75" x14ac:dyDescent="0.25"/>
  <cols>
    <col min="1" max="2" width="10.875" style="321"/>
    <col min="3" max="3" width="22.125" style="321" customWidth="1"/>
    <col min="4" max="4" width="25.375" style="321" customWidth="1"/>
    <col min="5" max="5" width="14.5" style="321" bestFit="1" customWidth="1"/>
    <col min="6" max="6" width="13.875" style="321" customWidth="1"/>
    <col min="7" max="7" width="14.625" style="321" customWidth="1"/>
    <col min="8" max="8" width="16.875" style="321" customWidth="1"/>
    <col min="9" max="9" width="21.125" style="321" bestFit="1" customWidth="1"/>
    <col min="10" max="15" width="10.875" style="321"/>
    <col min="16" max="16" width="14.625" style="321" customWidth="1"/>
    <col min="17" max="16384" width="10.875" style="321"/>
  </cols>
  <sheetData>
    <row r="2" spans="3:9" ht="48" customHeight="1" x14ac:dyDescent="0.25">
      <c r="C2" s="14" t="s">
        <v>900</v>
      </c>
      <c r="D2" s="321">
        <f>'Inputs 1.0_metric_currency'!$D$15</f>
        <v>14</v>
      </c>
    </row>
    <row r="3" spans="3:9" x14ac:dyDescent="0.25">
      <c r="C3" s="321" t="s">
        <v>899</v>
      </c>
      <c r="D3" s="321">
        <f>D2*Conversiones!C14</f>
        <v>1419.6000000000001</v>
      </c>
    </row>
    <row r="5" spans="3:9" x14ac:dyDescent="0.25">
      <c r="G5" s="321" t="s">
        <v>897</v>
      </c>
      <c r="H5" s="321" t="s">
        <v>898</v>
      </c>
      <c r="I5" s="321" t="s">
        <v>901</v>
      </c>
    </row>
    <row r="6" spans="3:9" x14ac:dyDescent="0.25">
      <c r="D6" s="321" t="s">
        <v>894</v>
      </c>
      <c r="E6" s="321" t="s">
        <v>895</v>
      </c>
      <c r="F6" s="321" t="s">
        <v>896</v>
      </c>
      <c r="G6" s="321" t="s">
        <v>891</v>
      </c>
      <c r="H6" s="321" t="s">
        <v>887</v>
      </c>
      <c r="I6" s="321" t="s">
        <v>902</v>
      </c>
    </row>
    <row r="7" spans="3:9" x14ac:dyDescent="0.25">
      <c r="C7" s="321" t="s">
        <v>892</v>
      </c>
      <c r="D7" s="648">
        <v>4.24373358854431E-4</v>
      </c>
      <c r="E7" s="129">
        <v>-1.33320389343239</v>
      </c>
      <c r="F7" s="129">
        <v>2199.6534818641899</v>
      </c>
      <c r="G7" s="135">
        <f>$D$3</f>
        <v>1419.6000000000001</v>
      </c>
      <c r="H7" s="321">
        <f>$D7*(G7^2)+($E7*G7)+$F7</f>
        <v>1162.2616553057223</v>
      </c>
      <c r="I7" s="321">
        <f>H7*Conversiones!$F$24</f>
        <v>21164.784743117205</v>
      </c>
    </row>
    <row r="8" spans="3:9" x14ac:dyDescent="0.25">
      <c r="C8" s="321" t="s">
        <v>889</v>
      </c>
      <c r="D8" s="129">
        <v>4.3490951117416201E-4</v>
      </c>
      <c r="E8" s="129">
        <v>-1.3150529345405499</v>
      </c>
      <c r="F8" s="129">
        <v>2196.1780179068101</v>
      </c>
      <c r="G8" s="135">
        <f t="shared" ref="G8:G10" si="0">$D$3</f>
        <v>1419.6000000000001</v>
      </c>
      <c r="H8" s="321">
        <f t="shared" ref="H8:H10" si="1">$D8*(G8^2)+($E8*G8)+$F8</f>
        <v>1205.7864227454536</v>
      </c>
      <c r="I8" s="321">
        <f>H8*Conversiones!$F$24</f>
        <v>21957.370758194709</v>
      </c>
    </row>
    <row r="9" spans="3:9" x14ac:dyDescent="0.25">
      <c r="C9" s="321" t="s">
        <v>893</v>
      </c>
      <c r="D9" s="129">
        <v>3.8786404025222698E-4</v>
      </c>
      <c r="E9" s="129">
        <v>-0.98067578881525796</v>
      </c>
      <c r="F9" s="129">
        <v>2356.2688820439798</v>
      </c>
      <c r="G9" s="135">
        <f t="shared" si="0"/>
        <v>1419.6000000000001</v>
      </c>
      <c r="H9" s="321">
        <f t="shared" si="1"/>
        <v>1745.75003151495</v>
      </c>
      <c r="I9" s="321">
        <f>H9*Conversiones!$F$24</f>
        <v>31790.108073887241</v>
      </c>
    </row>
    <row r="10" spans="3:9" x14ac:dyDescent="0.25">
      <c r="C10" s="321" t="s">
        <v>635</v>
      </c>
      <c r="D10" s="129">
        <v>5.4575532838995605E-4</v>
      </c>
      <c r="E10" s="129">
        <v>-1.70794924924928</v>
      </c>
      <c r="F10" s="129">
        <v>3557.1122106624498</v>
      </c>
      <c r="G10" s="135">
        <f t="shared" si="0"/>
        <v>1419.6000000000001</v>
      </c>
      <c r="H10" s="321">
        <f t="shared" si="1"/>
        <v>2232.3486098614808</v>
      </c>
      <c r="I10" s="321">
        <f>H10*Conversiones!$F$24</f>
        <v>40651.068185577569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3DB885"/>
  </sheetPr>
  <dimension ref="A1:Q16"/>
  <sheetViews>
    <sheetView workbookViewId="0">
      <selection activeCell="C3" sqref="C3"/>
    </sheetView>
  </sheetViews>
  <sheetFormatPr defaultColWidth="8.875" defaultRowHeight="12.75" x14ac:dyDescent="0.2"/>
  <cols>
    <col min="1" max="1" width="4.375" style="562" customWidth="1"/>
    <col min="2" max="2" width="24.125" style="563" customWidth="1"/>
    <col min="3" max="3" width="15.875" style="46" customWidth="1"/>
    <col min="4" max="4" width="15.625" style="46" customWidth="1"/>
    <col min="5" max="5" width="32.875" style="563" customWidth="1"/>
    <col min="6" max="8" width="8.875" style="46"/>
    <col min="9" max="9" width="18.625" style="565" customWidth="1"/>
    <col min="10" max="10" width="27.625" style="46" customWidth="1"/>
    <col min="11" max="11" width="25.5" style="46" customWidth="1"/>
    <col min="12" max="12" width="22.625" style="46" customWidth="1"/>
    <col min="13" max="15" width="8.875" style="46"/>
    <col min="16" max="16" width="13.625" style="46" customWidth="1"/>
    <col min="17" max="16384" width="8.875" style="46"/>
  </cols>
  <sheetData>
    <row r="1" spans="1:17" s="113" customFormat="1" ht="33" customHeight="1" x14ac:dyDescent="0.25">
      <c r="A1" s="778" t="s">
        <v>536</v>
      </c>
      <c r="B1" s="778"/>
      <c r="C1" s="778"/>
      <c r="D1" s="778"/>
      <c r="E1" s="778"/>
      <c r="I1" s="622" t="s">
        <v>873</v>
      </c>
      <c r="J1" s="625" t="s">
        <v>877</v>
      </c>
      <c r="K1" s="780" t="s">
        <v>874</v>
      </c>
      <c r="L1" s="623" t="s">
        <v>816</v>
      </c>
      <c r="M1" s="113">
        <v>93.1</v>
      </c>
      <c r="P1" s="113" t="s">
        <v>875</v>
      </c>
      <c r="Q1" s="113">
        <f>M1/Conversiones!F24</f>
        <v>5.1125755079626574</v>
      </c>
    </row>
    <row r="2" spans="1:17" s="557" customFormat="1" ht="63" x14ac:dyDescent="0.25">
      <c r="A2" s="49">
        <v>1</v>
      </c>
      <c r="B2" s="58">
        <v>3</v>
      </c>
      <c r="C2" s="48" t="s">
        <v>636</v>
      </c>
      <c r="D2" s="48" t="s">
        <v>637</v>
      </c>
      <c r="E2" s="48" t="s">
        <v>87</v>
      </c>
      <c r="I2" s="48" t="s">
        <v>636</v>
      </c>
      <c r="J2" s="48" t="s">
        <v>878</v>
      </c>
      <c r="K2" s="780"/>
      <c r="L2" s="624" t="s">
        <v>865</v>
      </c>
      <c r="M2" s="557">
        <v>14</v>
      </c>
      <c r="P2" s="557" t="s">
        <v>876</v>
      </c>
      <c r="Q2" s="557">
        <f>M2*Conversiones!C14</f>
        <v>1419.6000000000001</v>
      </c>
    </row>
    <row r="3" spans="1:17" s="561" customFormat="1" ht="25.5" x14ac:dyDescent="0.25">
      <c r="A3" s="558">
        <v>1</v>
      </c>
      <c r="B3" s="559" t="s">
        <v>0</v>
      </c>
      <c r="C3" s="560">
        <f>(Budget_Presupuesto!K46*Budget_Supuestos!B6)/Budget_Supuestos!B6</f>
        <v>23645.488852817143</v>
      </c>
      <c r="D3" s="619">
        <f>(C3/Budget_Supuestos!$L$155)</f>
        <v>2077.023650523035</v>
      </c>
      <c r="E3" s="52" t="s">
        <v>85</v>
      </c>
      <c r="H3" s="558">
        <v>1</v>
      </c>
      <c r="I3" s="561">
        <v>19895.212680941029</v>
      </c>
      <c r="J3" s="626">
        <f>C3-I3</f>
        <v>3750.2761718761139</v>
      </c>
    </row>
    <row r="4" spans="1:17" s="561" customFormat="1" ht="51" x14ac:dyDescent="0.2">
      <c r="A4" s="54">
        <v>2</v>
      </c>
      <c r="B4" s="55" t="s">
        <v>89</v>
      </c>
      <c r="C4" s="59">
        <f>C3+((Budget_Presupuesto!K58-Budget_Presupuesto!K29)+Budget_Presupuesto!K72+ (Budget_Presupuesto!K73*Budget_Supuestos!B6))/Budget_Supuestos!B6</f>
        <v>24031.605779019661</v>
      </c>
      <c r="D4" s="619">
        <f>(C4/Budget_Supuestos!$L$155)</f>
        <v>2110.9402251636279</v>
      </c>
      <c r="E4" s="56" t="s">
        <v>84</v>
      </c>
      <c r="H4" s="54">
        <v>2</v>
      </c>
      <c r="I4" s="561">
        <v>20205.413085445653</v>
      </c>
      <c r="J4" s="626">
        <f t="shared" ref="J4:J6" si="0">C4-I4</f>
        <v>3826.1926935740084</v>
      </c>
    </row>
    <row r="5" spans="1:17" ht="25.5" x14ac:dyDescent="0.2">
      <c r="A5" s="54">
        <v>3</v>
      </c>
      <c r="B5" s="57" t="s">
        <v>90</v>
      </c>
      <c r="C5" s="59">
        <f>C4+(Budget_Presupuesto!K61*Budget_Supuestos!B6+Budget_Presupuesto!K62+Budget_Presupuesto!K63*Budget_Supuestos!B6)/Budget_Supuestos!B6</f>
        <v>35352.167591083169</v>
      </c>
      <c r="D5" s="619">
        <f>(C5/Budget_Supuestos!$L$155)</f>
        <v>3105.3402465470913</v>
      </c>
      <c r="E5" s="57" t="s">
        <v>86</v>
      </c>
      <c r="H5" s="54">
        <v>3</v>
      </c>
      <c r="I5" s="46">
        <v>31525.974897509164</v>
      </c>
      <c r="J5" s="626">
        <f t="shared" si="0"/>
        <v>3826.1926935740048</v>
      </c>
    </row>
    <row r="6" spans="1:17" ht="63.75" x14ac:dyDescent="0.2">
      <c r="A6" s="50">
        <v>4</v>
      </c>
      <c r="B6" s="51" t="s">
        <v>91</v>
      </c>
      <c r="C6" s="59">
        <f>C5+(Budget_Presupuesto!K67*Budget_Supuestos!B6+ Budget_Presupuesto!K68*Budget_Supuestos!B6+Budget_Presupuesto!K74)/Budget_Supuestos!B6</f>
        <v>44015.946012135799</v>
      </c>
      <c r="D6" s="619">
        <f>(C6/Budget_Supuestos!$L$155)</f>
        <v>3866.3679755751382</v>
      </c>
      <c r="E6" s="53" t="s">
        <v>88</v>
      </c>
      <c r="H6" s="50">
        <v>4</v>
      </c>
      <c r="I6" s="46">
        <v>40189.753318561794</v>
      </c>
      <c r="J6" s="626">
        <f t="shared" si="0"/>
        <v>3826.1926935740048</v>
      </c>
    </row>
    <row r="7" spans="1:17" x14ac:dyDescent="0.2">
      <c r="I7" s="46"/>
    </row>
    <row r="8" spans="1:17" x14ac:dyDescent="0.2">
      <c r="B8" s="563" t="s">
        <v>639</v>
      </c>
      <c r="C8" s="564">
        <f>Budget_Supuestos!B48</f>
        <v>3207</v>
      </c>
      <c r="D8" s="46">
        <f>C8/Conversiones!C11</f>
        <v>1454.6724605600966</v>
      </c>
      <c r="E8" s="563">
        <f>D8/Conversiones!E24</f>
        <v>0.52610215571793728</v>
      </c>
      <c r="I8" s="46"/>
    </row>
    <row r="9" spans="1:17" x14ac:dyDescent="0.2">
      <c r="I9" s="46"/>
    </row>
    <row r="10" spans="1:17" ht="38.25" x14ac:dyDescent="0.2">
      <c r="A10" s="779" t="s">
        <v>547</v>
      </c>
      <c r="B10" s="779"/>
      <c r="C10" s="48" t="s">
        <v>638</v>
      </c>
      <c r="D10" s="48" t="s">
        <v>552</v>
      </c>
      <c r="E10" s="48" t="s">
        <v>87</v>
      </c>
      <c r="I10" s="48" t="s">
        <v>638</v>
      </c>
    </row>
    <row r="11" spans="1:17" ht="25.5" x14ac:dyDescent="0.2">
      <c r="A11" s="558">
        <v>1</v>
      </c>
      <c r="B11" s="559" t="s">
        <v>0</v>
      </c>
      <c r="C11" s="59">
        <f>C3/Conversiones!$F$24</f>
        <v>1298.4892286006118</v>
      </c>
      <c r="D11" s="620">
        <f>(D3/Conversiones!$C$14)/Conversiones!$F$24</f>
        <v>1.1248472242655729</v>
      </c>
      <c r="E11" s="52" t="s">
        <v>85</v>
      </c>
      <c r="H11" s="558">
        <v>1</v>
      </c>
      <c r="I11" s="59">
        <f>I3/Conversiones!$F$24</f>
        <v>1092.5432554058775</v>
      </c>
      <c r="J11" s="626">
        <f>C11-I11</f>
        <v>205.94597319473428</v>
      </c>
    </row>
    <row r="12" spans="1:17" ht="51" x14ac:dyDescent="0.2">
      <c r="A12" s="54">
        <v>2</v>
      </c>
      <c r="B12" s="55" t="s">
        <v>89</v>
      </c>
      <c r="C12" s="59">
        <f>C4/Conversiones!$F$24</f>
        <v>1319.6927940153575</v>
      </c>
      <c r="D12" s="620">
        <f>(D4/Conversiones!$C$14)/Conversiones!$F$24</f>
        <v>1.1432153178746465</v>
      </c>
      <c r="E12" s="56" t="s">
        <v>84</v>
      </c>
      <c r="H12" s="54">
        <v>2</v>
      </c>
      <c r="I12" s="59">
        <f>I4/Conversiones!$F$24</f>
        <v>1109.5778739948189</v>
      </c>
      <c r="J12" s="626">
        <f t="shared" ref="J12:J14" si="1">C12-I12</f>
        <v>210.11492002053865</v>
      </c>
    </row>
    <row r="13" spans="1:17" ht="25.5" x14ac:dyDescent="0.2">
      <c r="A13" s="54">
        <v>3</v>
      </c>
      <c r="B13" s="57" t="s">
        <v>90</v>
      </c>
      <c r="C13" s="59">
        <f>C5/Conversiones!$F$24</f>
        <v>1941.3601093400971</v>
      </c>
      <c r="D13" s="620">
        <f>(D5/Conversiones!$C$14)/Conversiones!$F$24</f>
        <v>1.6817494378790785</v>
      </c>
      <c r="E13" s="57" t="s">
        <v>86</v>
      </c>
      <c r="H13" s="54">
        <v>3</v>
      </c>
      <c r="I13" s="59">
        <f>I5/Conversiones!$F$24</f>
        <v>1731.2451893195587</v>
      </c>
      <c r="J13" s="626">
        <f t="shared" si="1"/>
        <v>210.11492002053842</v>
      </c>
    </row>
    <row r="14" spans="1:17" ht="63.75" x14ac:dyDescent="0.2">
      <c r="A14" s="50">
        <v>4</v>
      </c>
      <c r="B14" s="51" t="s">
        <v>91</v>
      </c>
      <c r="C14" s="59">
        <f>C6/Conversiones!$F$24</f>
        <v>2417.1304784259087</v>
      </c>
      <c r="D14" s="620">
        <f>(D6/Conversiones!$C$14)/Conversiones!$F$24</f>
        <v>2.0938968529413784</v>
      </c>
      <c r="E14" s="53" t="s">
        <v>88</v>
      </c>
      <c r="H14" s="50">
        <v>4</v>
      </c>
      <c r="I14" s="59">
        <f>I6/Conversiones!$F$24</f>
        <v>2207.01555840537</v>
      </c>
      <c r="J14" s="626">
        <f t="shared" si="1"/>
        <v>210.11492002053865</v>
      </c>
    </row>
    <row r="16" spans="1:17" ht="25.5" x14ac:dyDescent="0.2">
      <c r="B16" s="563" t="s">
        <v>640</v>
      </c>
      <c r="C16" s="564">
        <f>(C8/Conversiones!C14)/Conversiones!F24</f>
        <v>1.7368049936799144</v>
      </c>
    </row>
  </sheetData>
  <mergeCells count="3">
    <mergeCell ref="A1:E1"/>
    <mergeCell ref="A10:B10"/>
    <mergeCell ref="K1:K2"/>
  </mergeCells>
  <pageMargins left="0.7" right="0.7" top="0.75" bottom="0.75" header="0.3" footer="0.3"/>
  <pageSetup orientation="portrait" horizontalDpi="300" verticalDpi="300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B050"/>
  </sheetPr>
  <dimension ref="C4:M19"/>
  <sheetViews>
    <sheetView workbookViewId="0">
      <selection activeCell="J5" sqref="J5"/>
    </sheetView>
  </sheetViews>
  <sheetFormatPr defaultColWidth="8.875" defaultRowHeight="15.75" x14ac:dyDescent="0.25"/>
  <cols>
    <col min="3" max="3" width="19.125" bestFit="1" customWidth="1"/>
    <col min="4" max="4" width="11.375" customWidth="1"/>
    <col min="5" max="5" width="11.125" customWidth="1"/>
    <col min="6" max="7" width="9.125" style="321" customWidth="1"/>
    <col min="8" max="8" width="11.625" customWidth="1"/>
    <col min="9" max="9" width="14" customWidth="1"/>
    <col min="10" max="10" width="11.375" customWidth="1"/>
    <col min="11" max="11" width="11.375" style="321" customWidth="1"/>
    <col min="12" max="12" width="11.125" style="321" customWidth="1"/>
  </cols>
  <sheetData>
    <row r="4" spans="3:13" ht="31.5" x14ac:dyDescent="0.25">
      <c r="D4" s="593" t="s">
        <v>839</v>
      </c>
      <c r="E4" s="594" t="s">
        <v>840</v>
      </c>
      <c r="H4" s="582" t="s">
        <v>834</v>
      </c>
      <c r="I4" s="582" t="s">
        <v>835</v>
      </c>
      <c r="J4" s="582" t="s">
        <v>833</v>
      </c>
      <c r="K4" s="582"/>
      <c r="L4" s="582"/>
      <c r="M4" s="592"/>
    </row>
    <row r="5" spans="3:13" x14ac:dyDescent="0.25">
      <c r="C5" s="321" t="s">
        <v>820</v>
      </c>
      <c r="D5" s="135">
        <f>'Inputs 1.0_metric_currency'!D6</f>
        <v>1.03</v>
      </c>
      <c r="E5" s="315">
        <f>D5/$D$8</f>
        <v>0.208502024291498</v>
      </c>
      <c r="F5" s="315"/>
      <c r="G5" s="315"/>
      <c r="H5" s="128">
        <f>'Inputs 1.0_metric_currency'!$D$15</f>
        <v>14</v>
      </c>
      <c r="I5" s="315" t="s">
        <v>836</v>
      </c>
      <c r="J5">
        <f>H5/5.1</f>
        <v>2.7450980392156863</v>
      </c>
      <c r="M5" s="315"/>
    </row>
    <row r="6" spans="3:13" x14ac:dyDescent="0.25">
      <c r="C6" s="321" t="s">
        <v>821</v>
      </c>
      <c r="D6" s="135">
        <f>'Inputs 1.0_metric_currency'!D7</f>
        <v>1.94</v>
      </c>
      <c r="E6" s="315">
        <f t="shared" ref="E6:E7" si="0">D6/$D$8</f>
        <v>0.39271255060728749</v>
      </c>
      <c r="F6" s="315"/>
      <c r="G6" s="315"/>
      <c r="I6" s="315" t="s">
        <v>837</v>
      </c>
      <c r="J6">
        <f>H5</f>
        <v>14</v>
      </c>
      <c r="M6" s="315"/>
    </row>
    <row r="7" spans="3:13" x14ac:dyDescent="0.25">
      <c r="C7" s="321" t="s">
        <v>822</v>
      </c>
      <c r="D7" s="135">
        <f>'Inputs 1.0_metric_currency'!D8</f>
        <v>1.97</v>
      </c>
      <c r="E7" s="315">
        <f t="shared" si="0"/>
        <v>0.39878542510121462</v>
      </c>
      <c r="F7" s="315"/>
      <c r="G7" s="315"/>
      <c r="I7" s="315" t="s">
        <v>838</v>
      </c>
      <c r="J7">
        <f>H5*1.1</f>
        <v>15.400000000000002</v>
      </c>
      <c r="M7" s="315"/>
    </row>
    <row r="8" spans="3:13" x14ac:dyDescent="0.25">
      <c r="C8" s="3" t="s">
        <v>823</v>
      </c>
      <c r="D8" s="3">
        <f>SUM(D5:D7)</f>
        <v>4.9399999999999995</v>
      </c>
      <c r="E8" s="3">
        <f>SUM(E5:E7)</f>
        <v>1</v>
      </c>
      <c r="F8" s="21"/>
      <c r="G8" s="21"/>
      <c r="H8" s="315"/>
    </row>
    <row r="9" spans="3:13" x14ac:dyDescent="0.25">
      <c r="J9">
        <f>AVERAGE(J5:J7)</f>
        <v>10.715032679738563</v>
      </c>
    </row>
    <row r="14" spans="3:13" x14ac:dyDescent="0.25">
      <c r="J14" t="s">
        <v>868</v>
      </c>
      <c r="K14" s="321" t="s">
        <v>869</v>
      </c>
      <c r="L14" s="321" t="s">
        <v>871</v>
      </c>
    </row>
    <row r="15" spans="3:13" x14ac:dyDescent="0.25">
      <c r="J15">
        <f>J5</f>
        <v>2.7450980392156863</v>
      </c>
      <c r="K15" s="321">
        <f>J15*Conversiones!$D$14</f>
        <v>125.1764705882353</v>
      </c>
      <c r="L15" s="321">
        <f>K15*Conversiones!$C$11</f>
        <v>275.96655058823529</v>
      </c>
    </row>
    <row r="16" spans="3:13" x14ac:dyDescent="0.25">
      <c r="J16" s="321">
        <f t="shared" ref="J16:J17" si="1">J6</f>
        <v>14</v>
      </c>
      <c r="K16" s="321">
        <f>J16*Conversiones!$D$14</f>
        <v>638.4</v>
      </c>
      <c r="L16" s="321">
        <f>K16*Conversiones!$C$11</f>
        <v>1407.4294079999997</v>
      </c>
    </row>
    <row r="17" spans="10:12" x14ac:dyDescent="0.25">
      <c r="J17" s="321">
        <f t="shared" si="1"/>
        <v>15.400000000000002</v>
      </c>
      <c r="K17" s="321">
        <f>J17*Conversiones!$D$14</f>
        <v>702.24000000000012</v>
      </c>
      <c r="L17" s="321">
        <f>K17*Conversiones!$C$11</f>
        <v>1548.1723488000002</v>
      </c>
    </row>
    <row r="19" spans="10:12" x14ac:dyDescent="0.25">
      <c r="J19" s="321">
        <f>AVERAGE(J15:J17)</f>
        <v>10.715032679738563</v>
      </c>
      <c r="K19" s="321">
        <f t="shared" ref="K19:L19" si="2">AVERAGE(K15:K17)</f>
        <v>488.60549019607851</v>
      </c>
      <c r="L19" s="321">
        <f t="shared" si="2"/>
        <v>1077.1894357960784</v>
      </c>
    </row>
  </sheetData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</sheetPr>
  <dimension ref="A1:U416"/>
  <sheetViews>
    <sheetView topLeftCell="C268" zoomScale="50" zoomScaleNormal="50" zoomScalePageLayoutView="50" workbookViewId="0">
      <selection activeCell="H294" sqref="H294"/>
    </sheetView>
  </sheetViews>
  <sheetFormatPr defaultColWidth="8.875" defaultRowHeight="15.75" x14ac:dyDescent="0.25"/>
  <cols>
    <col min="3" max="3" width="19.5" customWidth="1"/>
    <col min="4" max="4" width="19.875" customWidth="1"/>
    <col min="5" max="5" width="72.625" style="322" customWidth="1"/>
    <col min="6" max="6" width="18.125" style="322" customWidth="1"/>
    <col min="7" max="7" width="38.5" style="322" customWidth="1"/>
    <col min="8" max="8" width="35.625" customWidth="1"/>
    <col min="17" max="17" width="10.625" bestFit="1" customWidth="1"/>
  </cols>
  <sheetData>
    <row r="1" spans="3:7" x14ac:dyDescent="0.25">
      <c r="C1" s="355" t="s">
        <v>694</v>
      </c>
    </row>
    <row r="2" spans="3:7" s="321" customFormat="1" x14ac:dyDescent="0.25">
      <c r="C2" s="359" t="s">
        <v>717</v>
      </c>
      <c r="E2" s="322"/>
      <c r="F2" s="322"/>
      <c r="G2" s="322"/>
    </row>
    <row r="3" spans="3:7" s="321" customFormat="1" ht="72" x14ac:dyDescent="0.25">
      <c r="C3" s="567" t="s">
        <v>815</v>
      </c>
      <c r="E3" s="322"/>
      <c r="F3" s="322"/>
      <c r="G3" s="322"/>
    </row>
    <row r="4" spans="3:7" s="321" customFormat="1" ht="69" customHeight="1" x14ac:dyDescent="0.25">
      <c r="C4" s="566" t="s">
        <v>814</v>
      </c>
      <c r="E4" s="322"/>
      <c r="F4" s="322"/>
      <c r="G4" s="322"/>
    </row>
    <row r="5" spans="3:7" ht="52.5" customHeight="1" thickBot="1" x14ac:dyDescent="0.3">
      <c r="F5" s="437" t="s">
        <v>832</v>
      </c>
    </row>
    <row r="6" spans="3:7" ht="18" x14ac:dyDescent="0.25">
      <c r="C6" s="784" t="s">
        <v>652</v>
      </c>
      <c r="D6" s="792" t="s">
        <v>43</v>
      </c>
      <c r="E6" s="440" t="s">
        <v>361</v>
      </c>
      <c r="F6" s="441"/>
      <c r="G6" s="442"/>
    </row>
    <row r="7" spans="3:7" x14ac:dyDescent="0.25">
      <c r="C7" s="785"/>
      <c r="D7" s="787"/>
      <c r="E7" s="185" t="s">
        <v>362</v>
      </c>
      <c r="F7" s="374">
        <v>1.7166666666666668</v>
      </c>
      <c r="G7" s="443"/>
    </row>
    <row r="8" spans="3:7" ht="31.5" x14ac:dyDescent="0.25">
      <c r="C8" s="785"/>
      <c r="D8" s="787"/>
      <c r="E8" s="185" t="s">
        <v>363</v>
      </c>
      <c r="F8" s="374">
        <v>1.5224333333333333</v>
      </c>
      <c r="G8" s="443" t="s">
        <v>653</v>
      </c>
    </row>
    <row r="9" spans="3:7" ht="31.5" x14ac:dyDescent="0.25">
      <c r="C9" s="785"/>
      <c r="D9" s="787"/>
      <c r="E9" s="373" t="s">
        <v>654</v>
      </c>
      <c r="F9" s="374">
        <v>4.0277777777777777</v>
      </c>
      <c r="G9" s="443" t="s">
        <v>653</v>
      </c>
    </row>
    <row r="10" spans="3:7" ht="31.5" x14ac:dyDescent="0.25">
      <c r="C10" s="785"/>
      <c r="D10" s="787"/>
      <c r="E10" s="373" t="s">
        <v>364</v>
      </c>
      <c r="F10" s="374">
        <v>8.8199999999999985</v>
      </c>
      <c r="G10" s="443" t="s">
        <v>653</v>
      </c>
    </row>
    <row r="11" spans="3:7" ht="31.5" x14ac:dyDescent="0.25">
      <c r="C11" s="785"/>
      <c r="D11" s="787"/>
      <c r="E11" s="373" t="s">
        <v>655</v>
      </c>
      <c r="F11" s="374">
        <v>0.88333333333333341</v>
      </c>
      <c r="G11" s="443" t="s">
        <v>653</v>
      </c>
    </row>
    <row r="12" spans="3:7" ht="18" x14ac:dyDescent="0.25">
      <c r="C12" s="785"/>
      <c r="D12" s="787"/>
      <c r="E12" s="404" t="s">
        <v>397</v>
      </c>
      <c r="G12" s="443"/>
    </row>
    <row r="13" spans="3:7" ht="31.5" x14ac:dyDescent="0.25">
      <c r="C13" s="785"/>
      <c r="D13" s="787"/>
      <c r="E13" s="185" t="s">
        <v>368</v>
      </c>
      <c r="F13" s="374">
        <v>9.612244897959183</v>
      </c>
      <c r="G13" s="443" t="s">
        <v>653</v>
      </c>
    </row>
    <row r="14" spans="3:7" ht="31.5" x14ac:dyDescent="0.25">
      <c r="C14" s="785"/>
      <c r="D14" s="787"/>
      <c r="E14" s="185" t="s">
        <v>580</v>
      </c>
      <c r="F14" s="374">
        <v>8.92</v>
      </c>
      <c r="G14" s="443" t="s">
        <v>653</v>
      </c>
    </row>
    <row r="15" spans="3:7" ht="31.5" x14ac:dyDescent="0.25">
      <c r="C15" s="785"/>
      <c r="D15" s="787"/>
      <c r="E15" s="405" t="s">
        <v>596</v>
      </c>
      <c r="F15" s="374">
        <v>16.983333333333334</v>
      </c>
      <c r="G15" s="443" t="s">
        <v>653</v>
      </c>
    </row>
    <row r="16" spans="3:7" ht="31.5" x14ac:dyDescent="0.25">
      <c r="C16" s="785"/>
      <c r="D16" s="787"/>
      <c r="E16" s="373" t="s">
        <v>41</v>
      </c>
      <c r="F16" s="374">
        <v>6.3366000000000007</v>
      </c>
      <c r="G16" s="443" t="s">
        <v>653</v>
      </c>
    </row>
    <row r="17" spans="3:7" ht="31.5" x14ac:dyDescent="0.25">
      <c r="C17" s="785"/>
      <c r="D17" s="787"/>
      <c r="E17" s="373" t="s">
        <v>209</v>
      </c>
      <c r="F17" s="374">
        <v>14.78</v>
      </c>
      <c r="G17" s="443" t="s">
        <v>653</v>
      </c>
    </row>
    <row r="18" spans="3:7" ht="31.5" x14ac:dyDescent="0.25">
      <c r="C18" s="785"/>
      <c r="D18" s="787"/>
      <c r="E18" s="373" t="s">
        <v>621</v>
      </c>
      <c r="F18" s="374">
        <v>5.45</v>
      </c>
      <c r="G18" s="443" t="s">
        <v>653</v>
      </c>
    </row>
    <row r="19" spans="3:7" ht="31.5" x14ac:dyDescent="0.25">
      <c r="C19" s="785"/>
      <c r="D19" s="787"/>
      <c r="E19" s="373" t="s">
        <v>37</v>
      </c>
      <c r="F19" s="374">
        <v>24.527333333333331</v>
      </c>
      <c r="G19" s="443" t="s">
        <v>653</v>
      </c>
    </row>
    <row r="20" spans="3:7" ht="31.5" x14ac:dyDescent="0.25">
      <c r="C20" s="785"/>
      <c r="D20" s="787"/>
      <c r="E20" s="373" t="s">
        <v>622</v>
      </c>
      <c r="F20" s="374">
        <v>2.4115333333333338</v>
      </c>
      <c r="G20" s="443" t="s">
        <v>653</v>
      </c>
    </row>
    <row r="21" spans="3:7" ht="31.5" x14ac:dyDescent="0.25">
      <c r="C21" s="785"/>
      <c r="D21" s="787"/>
      <c r="E21" s="373" t="s">
        <v>38</v>
      </c>
      <c r="F21" s="374">
        <v>1.4444444444444449</v>
      </c>
      <c r="G21" s="443" t="s">
        <v>653</v>
      </c>
    </row>
    <row r="22" spans="3:7" ht="31.5" x14ac:dyDescent="0.25">
      <c r="C22" s="785"/>
      <c r="D22" s="787"/>
      <c r="E22" s="373" t="s">
        <v>210</v>
      </c>
      <c r="F22" s="374">
        <v>0.3</v>
      </c>
      <c r="G22" s="443" t="s">
        <v>653</v>
      </c>
    </row>
    <row r="23" spans="3:7" ht="54" customHeight="1" x14ac:dyDescent="0.25">
      <c r="C23" s="785"/>
      <c r="D23" s="787"/>
      <c r="E23" s="353" t="s">
        <v>656</v>
      </c>
      <c r="G23" s="443"/>
    </row>
    <row r="24" spans="3:7" ht="31.5" x14ac:dyDescent="0.25">
      <c r="C24" s="785"/>
      <c r="D24" s="787"/>
      <c r="E24" s="185" t="s">
        <v>581</v>
      </c>
      <c r="F24" s="374">
        <v>18.78</v>
      </c>
      <c r="G24" s="443" t="s">
        <v>653</v>
      </c>
    </row>
    <row r="25" spans="3:7" ht="31.5" x14ac:dyDescent="0.25">
      <c r="C25" s="785"/>
      <c r="D25" s="787"/>
      <c r="E25" s="373" t="s">
        <v>582</v>
      </c>
      <c r="F25" s="374">
        <v>13.48</v>
      </c>
      <c r="G25" s="443" t="s">
        <v>653</v>
      </c>
    </row>
    <row r="26" spans="3:7" ht="31.5" x14ac:dyDescent="0.25">
      <c r="C26" s="785"/>
      <c r="D26" s="787"/>
      <c r="E26" s="373" t="s">
        <v>623</v>
      </c>
      <c r="F26" s="374">
        <v>3.5</v>
      </c>
      <c r="G26" s="443" t="s">
        <v>653</v>
      </c>
    </row>
    <row r="27" spans="3:7" ht="31.5" x14ac:dyDescent="0.25">
      <c r="C27" s="785"/>
      <c r="D27" s="787"/>
      <c r="E27" s="373" t="s">
        <v>583</v>
      </c>
      <c r="F27" s="374">
        <v>6.12</v>
      </c>
      <c r="G27" s="443" t="s">
        <v>653</v>
      </c>
    </row>
    <row r="28" spans="3:7" ht="31.5" x14ac:dyDescent="0.25">
      <c r="C28" s="785"/>
      <c r="D28" s="787"/>
      <c r="E28" s="373" t="s">
        <v>624</v>
      </c>
      <c r="F28" s="374">
        <v>10.78</v>
      </c>
      <c r="G28" s="443" t="s">
        <v>653</v>
      </c>
    </row>
    <row r="29" spans="3:7" ht="31.5" x14ac:dyDescent="0.25">
      <c r="C29" s="785"/>
      <c r="D29" s="787"/>
      <c r="E29" s="373" t="s">
        <v>584</v>
      </c>
      <c r="F29" s="374">
        <v>27.38</v>
      </c>
      <c r="G29" s="443" t="s">
        <v>653</v>
      </c>
    </row>
    <row r="30" spans="3:7" ht="31.5" x14ac:dyDescent="0.25">
      <c r="C30" s="785"/>
      <c r="D30" s="787"/>
      <c r="E30" s="373" t="s">
        <v>378</v>
      </c>
      <c r="F30" s="374">
        <v>12.901333333333334</v>
      </c>
      <c r="G30" s="443" t="s">
        <v>653</v>
      </c>
    </row>
    <row r="31" spans="3:7" ht="31.5" x14ac:dyDescent="0.25">
      <c r="C31" s="785"/>
      <c r="D31" s="787"/>
      <c r="E31" s="373" t="s">
        <v>379</v>
      </c>
      <c r="F31" s="374">
        <v>23.34</v>
      </c>
      <c r="G31" s="443" t="s">
        <v>653</v>
      </c>
    </row>
    <row r="32" spans="3:7" ht="31.5" x14ac:dyDescent="0.25">
      <c r="C32" s="785"/>
      <c r="D32" s="787"/>
      <c r="E32" s="373" t="s">
        <v>380</v>
      </c>
      <c r="F32" s="374">
        <v>13.32</v>
      </c>
      <c r="G32" s="443" t="s">
        <v>653</v>
      </c>
    </row>
    <row r="33" spans="3:7" ht="31.5" x14ac:dyDescent="0.25">
      <c r="C33" s="785"/>
      <c r="D33" s="787"/>
      <c r="E33" s="373" t="s">
        <v>381</v>
      </c>
      <c r="F33" s="374">
        <v>4.66</v>
      </c>
      <c r="G33" s="443" t="s">
        <v>653</v>
      </c>
    </row>
    <row r="34" spans="3:7" ht="32.25" thickBot="1" x14ac:dyDescent="0.3">
      <c r="C34" s="785"/>
      <c r="D34" s="788"/>
      <c r="E34" s="445" t="s">
        <v>550</v>
      </c>
      <c r="F34" s="446">
        <v>1.2998000000000003</v>
      </c>
      <c r="G34" s="443" t="s">
        <v>653</v>
      </c>
    </row>
    <row r="35" spans="3:7" ht="18" x14ac:dyDescent="0.25">
      <c r="C35" s="785"/>
      <c r="D35" s="792" t="s">
        <v>44</v>
      </c>
      <c r="E35" s="447" t="s">
        <v>657</v>
      </c>
      <c r="F35" s="441"/>
      <c r="G35" s="358"/>
    </row>
    <row r="36" spans="3:7" ht="31.5" x14ac:dyDescent="0.25">
      <c r="C36" s="785"/>
      <c r="D36" s="787"/>
      <c r="E36" s="373" t="s">
        <v>383</v>
      </c>
      <c r="F36" s="374">
        <v>47.428571428571431</v>
      </c>
      <c r="G36" s="443" t="s">
        <v>653</v>
      </c>
    </row>
    <row r="37" spans="3:7" ht="31.5" x14ac:dyDescent="0.25">
      <c r="C37" s="785"/>
      <c r="D37" s="787"/>
      <c r="E37" s="373" t="s">
        <v>384</v>
      </c>
      <c r="F37" s="374">
        <v>5.32</v>
      </c>
      <c r="G37" s="443" t="s">
        <v>653</v>
      </c>
    </row>
    <row r="38" spans="3:7" ht="31.5" x14ac:dyDescent="0.25">
      <c r="C38" s="785"/>
      <c r="D38" s="787"/>
      <c r="E38" s="373" t="s">
        <v>385</v>
      </c>
      <c r="F38" s="374">
        <v>0.24</v>
      </c>
      <c r="G38" s="443" t="s">
        <v>653</v>
      </c>
    </row>
    <row r="39" spans="3:7" ht="31.5" x14ac:dyDescent="0.25">
      <c r="C39" s="785"/>
      <c r="D39" s="787"/>
      <c r="E39" s="373" t="s">
        <v>386</v>
      </c>
      <c r="F39" s="374">
        <v>6.2</v>
      </c>
      <c r="G39" s="443" t="s">
        <v>653</v>
      </c>
    </row>
    <row r="40" spans="3:7" s="321" customFormat="1" ht="32.25" thickBot="1" x14ac:dyDescent="0.3">
      <c r="C40" s="785"/>
      <c r="D40" s="788"/>
      <c r="E40" s="445" t="s">
        <v>210</v>
      </c>
      <c r="F40" s="446">
        <v>2.1</v>
      </c>
      <c r="G40" s="443" t="s">
        <v>653</v>
      </c>
    </row>
    <row r="41" spans="3:7" s="321" customFormat="1" ht="20.25" x14ac:dyDescent="0.3">
      <c r="C41" s="785"/>
      <c r="D41" s="454"/>
      <c r="E41" s="448" t="s">
        <v>753</v>
      </c>
      <c r="F41" s="449"/>
      <c r="G41" s="442"/>
    </row>
    <row r="42" spans="3:7" s="321" customFormat="1" ht="56.25" x14ac:dyDescent="0.3">
      <c r="C42" s="785"/>
      <c r="D42" s="787" t="s">
        <v>43</v>
      </c>
      <c r="E42" s="367" t="s">
        <v>754</v>
      </c>
      <c r="F42" s="374"/>
      <c r="G42" s="444"/>
    </row>
    <row r="43" spans="3:7" s="321" customFormat="1" ht="31.5" x14ac:dyDescent="0.25">
      <c r="C43" s="785"/>
      <c r="D43" s="787"/>
      <c r="E43" s="12" t="s">
        <v>474</v>
      </c>
      <c r="F43" s="374">
        <v>79.78</v>
      </c>
      <c r="G43" s="443" t="s">
        <v>690</v>
      </c>
    </row>
    <row r="44" spans="3:7" s="321" customFormat="1" ht="31.5" x14ac:dyDescent="0.25">
      <c r="C44" s="785"/>
      <c r="D44" s="787"/>
      <c r="E44" s="12" t="s">
        <v>578</v>
      </c>
      <c r="F44" s="374">
        <v>113.84</v>
      </c>
      <c r="G44" s="443" t="s">
        <v>690</v>
      </c>
    </row>
    <row r="45" spans="3:7" s="321" customFormat="1" ht="31.5" x14ac:dyDescent="0.25">
      <c r="C45" s="785"/>
      <c r="D45" s="787"/>
      <c r="E45" s="12" t="s">
        <v>579</v>
      </c>
      <c r="F45" s="374">
        <v>172.32</v>
      </c>
      <c r="G45" s="443" t="s">
        <v>690</v>
      </c>
    </row>
    <row r="46" spans="3:7" s="321" customFormat="1" ht="31.5" x14ac:dyDescent="0.25">
      <c r="C46" s="785"/>
      <c r="D46" s="787"/>
      <c r="E46" s="12" t="s">
        <v>193</v>
      </c>
      <c r="F46" s="374">
        <v>0</v>
      </c>
      <c r="G46" s="443" t="s">
        <v>690</v>
      </c>
    </row>
    <row r="47" spans="3:7" s="321" customFormat="1" ht="56.25" x14ac:dyDescent="0.3">
      <c r="C47" s="785"/>
      <c r="D47" s="787"/>
      <c r="E47" s="367" t="s">
        <v>755</v>
      </c>
      <c r="F47" s="374"/>
      <c r="G47" s="444"/>
    </row>
    <row r="48" spans="3:7" s="321" customFormat="1" ht="31.5" x14ac:dyDescent="0.25">
      <c r="C48" s="785"/>
      <c r="D48" s="787"/>
      <c r="E48" s="12" t="s">
        <v>476</v>
      </c>
      <c r="F48" s="374">
        <v>475.84</v>
      </c>
      <c r="G48" s="443" t="s">
        <v>690</v>
      </c>
    </row>
    <row r="49" spans="3:8" s="321" customFormat="1" x14ac:dyDescent="0.25">
      <c r="C49" s="785"/>
      <c r="D49" s="787"/>
      <c r="E49" s="12" t="s">
        <v>477</v>
      </c>
      <c r="F49" s="374">
        <f>F59/4</f>
        <v>338.87500000000006</v>
      </c>
      <c r="G49" s="443"/>
    </row>
    <row r="50" spans="3:8" s="321" customFormat="1" ht="31.5" x14ac:dyDescent="0.25">
      <c r="C50" s="785"/>
      <c r="D50" s="787"/>
      <c r="E50" s="12" t="s">
        <v>442</v>
      </c>
      <c r="F50" s="374">
        <v>0</v>
      </c>
      <c r="G50" s="443" t="s">
        <v>690</v>
      </c>
    </row>
    <row r="51" spans="3:8" s="321" customFormat="1" ht="56.25" x14ac:dyDescent="0.3">
      <c r="C51" s="785"/>
      <c r="D51" s="787"/>
      <c r="E51" s="367" t="s">
        <v>756</v>
      </c>
      <c r="F51" s="374"/>
      <c r="G51" s="444"/>
    </row>
    <row r="52" spans="3:8" s="321" customFormat="1" ht="31.5" x14ac:dyDescent="0.25">
      <c r="C52" s="785"/>
      <c r="D52" s="787"/>
      <c r="E52" s="12" t="s">
        <v>479</v>
      </c>
      <c r="F52" s="374">
        <v>266.39999999999998</v>
      </c>
      <c r="G52" s="443" t="s">
        <v>690</v>
      </c>
    </row>
    <row r="53" spans="3:8" s="321" customFormat="1" ht="31.5" x14ac:dyDescent="0.25">
      <c r="C53" s="785"/>
      <c r="D53" s="787"/>
      <c r="E53" s="12" t="s">
        <v>480</v>
      </c>
      <c r="F53" s="374">
        <v>142.12</v>
      </c>
      <c r="G53" s="443" t="s">
        <v>690</v>
      </c>
    </row>
    <row r="54" spans="3:8" s="321" customFormat="1" ht="31.5" x14ac:dyDescent="0.25">
      <c r="C54" s="785"/>
      <c r="D54" s="787"/>
      <c r="E54" s="12" t="s">
        <v>481</v>
      </c>
      <c r="F54" s="374">
        <v>1817.6</v>
      </c>
      <c r="G54" s="443" t="s">
        <v>690</v>
      </c>
    </row>
    <row r="55" spans="3:8" s="321" customFormat="1" ht="32.25" thickBot="1" x14ac:dyDescent="0.3">
      <c r="C55" s="785"/>
      <c r="D55" s="788"/>
      <c r="E55" s="450" t="s">
        <v>442</v>
      </c>
      <c r="F55" s="446">
        <v>0</v>
      </c>
      <c r="G55" s="451" t="s">
        <v>690</v>
      </c>
    </row>
    <row r="56" spans="3:8" s="321" customFormat="1" ht="25.5" customHeight="1" x14ac:dyDescent="0.3">
      <c r="C56" s="789" t="s">
        <v>799</v>
      </c>
      <c r="D56" s="792" t="s">
        <v>778</v>
      </c>
      <c r="E56" s="452" t="s">
        <v>757</v>
      </c>
      <c r="F56" s="449"/>
      <c r="G56" s="442"/>
    </row>
    <row r="57" spans="3:8" s="321" customFormat="1" ht="31.5" x14ac:dyDescent="0.25">
      <c r="C57" s="790"/>
      <c r="D57" s="787"/>
      <c r="E57" s="406" t="s">
        <v>483</v>
      </c>
      <c r="F57" s="374">
        <v>439.4133333333333</v>
      </c>
      <c r="G57" s="443" t="s">
        <v>690</v>
      </c>
    </row>
    <row r="58" spans="3:8" s="321" customFormat="1" ht="31.5" x14ac:dyDescent="0.25">
      <c r="C58" s="790"/>
      <c r="D58" s="787"/>
      <c r="E58" s="407" t="s">
        <v>484</v>
      </c>
      <c r="F58" s="374">
        <v>1195.8</v>
      </c>
      <c r="G58" s="443" t="s">
        <v>690</v>
      </c>
    </row>
    <row r="59" spans="3:8" s="321" customFormat="1" ht="31.5" x14ac:dyDescent="0.25">
      <c r="C59" s="790"/>
      <c r="D59" s="787"/>
      <c r="E59" s="407" t="s">
        <v>758</v>
      </c>
      <c r="F59" s="756">
        <f>'Inputs 1.0_metric_currency'!D17</f>
        <v>1355.5000000000002</v>
      </c>
      <c r="G59" s="443" t="s">
        <v>690</v>
      </c>
    </row>
    <row r="60" spans="3:8" s="321" customFormat="1" ht="36" x14ac:dyDescent="0.25">
      <c r="C60" s="790"/>
      <c r="D60" s="787"/>
      <c r="E60" s="407" t="s">
        <v>759</v>
      </c>
      <c r="F60" s="374">
        <v>751.2</v>
      </c>
      <c r="G60" s="443" t="s">
        <v>690</v>
      </c>
    </row>
    <row r="61" spans="3:8" s="321" customFormat="1" ht="32.25" thickBot="1" x14ac:dyDescent="0.3">
      <c r="C61" s="791"/>
      <c r="D61" s="788"/>
      <c r="E61" s="453" t="s">
        <v>488</v>
      </c>
      <c r="F61" s="446">
        <v>0</v>
      </c>
      <c r="G61" s="451" t="s">
        <v>690</v>
      </c>
    </row>
    <row r="62" spans="3:8" ht="18" x14ac:dyDescent="0.25">
      <c r="C62" s="781" t="s">
        <v>666</v>
      </c>
      <c r="D62" s="781" t="s">
        <v>667</v>
      </c>
      <c r="E62" s="447" t="s">
        <v>658</v>
      </c>
      <c r="F62" s="441"/>
      <c r="G62" s="442"/>
    </row>
    <row r="63" spans="3:8" ht="31.5" x14ac:dyDescent="0.25">
      <c r="C63" s="782"/>
      <c r="D63" s="782"/>
      <c r="E63" s="318" t="s">
        <v>405</v>
      </c>
      <c r="F63" s="374">
        <v>40.340000000000003</v>
      </c>
      <c r="G63" s="443" t="s">
        <v>653</v>
      </c>
      <c r="H63" s="318"/>
    </row>
    <row r="64" spans="3:8" ht="31.5" x14ac:dyDescent="0.25">
      <c r="C64" s="782"/>
      <c r="D64" s="782"/>
      <c r="E64" s="318" t="s">
        <v>659</v>
      </c>
      <c r="F64" s="374">
        <v>0.04</v>
      </c>
      <c r="G64" s="443" t="s">
        <v>653</v>
      </c>
    </row>
    <row r="65" spans="3:8" ht="31.5" x14ac:dyDescent="0.25">
      <c r="C65" s="782"/>
      <c r="D65" s="782"/>
      <c r="E65" s="318" t="s">
        <v>406</v>
      </c>
      <c r="F65" s="374">
        <v>5.75</v>
      </c>
      <c r="G65" s="443" t="s">
        <v>653</v>
      </c>
    </row>
    <row r="66" spans="3:8" ht="31.5" x14ac:dyDescent="0.25">
      <c r="C66" s="782"/>
      <c r="D66" s="782"/>
      <c r="E66" s="318" t="s">
        <v>407</v>
      </c>
      <c r="F66" s="374">
        <v>0</v>
      </c>
      <c r="G66" s="443" t="s">
        <v>653</v>
      </c>
    </row>
    <row r="67" spans="3:8" ht="31.5" x14ac:dyDescent="0.25">
      <c r="C67" s="782"/>
      <c r="D67" s="782"/>
      <c r="E67" s="318" t="s">
        <v>386</v>
      </c>
      <c r="F67" s="374">
        <v>3.4</v>
      </c>
      <c r="G67" s="443" t="s">
        <v>653</v>
      </c>
    </row>
    <row r="68" spans="3:8" ht="31.5" x14ac:dyDescent="0.25">
      <c r="C68" s="782"/>
      <c r="D68" s="782"/>
      <c r="E68" s="318" t="s">
        <v>408</v>
      </c>
      <c r="F68" s="374">
        <v>4</v>
      </c>
      <c r="G68" s="443" t="s">
        <v>653</v>
      </c>
    </row>
    <row r="69" spans="3:8" ht="31.5" x14ac:dyDescent="0.25">
      <c r="C69" s="782"/>
      <c r="D69" s="782"/>
      <c r="E69" s="318" t="s">
        <v>409</v>
      </c>
      <c r="F69" s="374">
        <v>13</v>
      </c>
      <c r="G69" s="443" t="s">
        <v>653</v>
      </c>
    </row>
    <row r="70" spans="3:8" ht="31.5" x14ac:dyDescent="0.25">
      <c r="C70" s="782"/>
      <c r="D70" s="782"/>
      <c r="E70" s="319" t="s">
        <v>410</v>
      </c>
      <c r="F70" s="374">
        <v>0.3</v>
      </c>
      <c r="G70" s="443" t="s">
        <v>653</v>
      </c>
    </row>
    <row r="71" spans="3:8" ht="31.5" x14ac:dyDescent="0.25">
      <c r="C71" s="782"/>
      <c r="D71" s="782"/>
      <c r="E71" s="318" t="s">
        <v>411</v>
      </c>
      <c r="F71" s="374">
        <v>8.9</v>
      </c>
      <c r="G71" s="443" t="s">
        <v>653</v>
      </c>
    </row>
    <row r="72" spans="3:8" ht="31.5" x14ac:dyDescent="0.25">
      <c r="C72" s="782"/>
      <c r="D72" s="782"/>
      <c r="E72" s="319" t="s">
        <v>210</v>
      </c>
      <c r="F72" s="374">
        <v>7.84</v>
      </c>
      <c r="G72" s="443" t="s">
        <v>653</v>
      </c>
    </row>
    <row r="73" spans="3:8" ht="18" x14ac:dyDescent="0.25">
      <c r="C73" s="782"/>
      <c r="D73" s="782"/>
      <c r="E73" s="353" t="s">
        <v>660</v>
      </c>
      <c r="G73" s="444"/>
    </row>
    <row r="74" spans="3:8" ht="31.5" x14ac:dyDescent="0.25">
      <c r="C74" s="782"/>
      <c r="D74" s="782"/>
      <c r="E74" s="205" t="s">
        <v>661</v>
      </c>
      <c r="F74" s="322">
        <v>3.4</v>
      </c>
      <c r="G74" s="443" t="s">
        <v>690</v>
      </c>
      <c r="H74" s="321"/>
    </row>
    <row r="75" spans="3:8" s="321" customFormat="1" ht="31.5" x14ac:dyDescent="0.25">
      <c r="C75" s="782"/>
      <c r="D75" s="782"/>
      <c r="E75" s="318" t="s">
        <v>807</v>
      </c>
      <c r="F75" s="8">
        <v>25</v>
      </c>
      <c r="G75" s="443" t="s">
        <v>653</v>
      </c>
    </row>
    <row r="76" spans="3:8" s="321" customFormat="1" ht="31.5" x14ac:dyDescent="0.25">
      <c r="C76" s="782"/>
      <c r="D76" s="782"/>
      <c r="E76" s="318" t="s">
        <v>809</v>
      </c>
      <c r="F76" s="8">
        <v>0</v>
      </c>
      <c r="G76" s="443" t="s">
        <v>690</v>
      </c>
    </row>
    <row r="77" spans="3:8" s="321" customFormat="1" ht="31.5" x14ac:dyDescent="0.25">
      <c r="C77" s="782"/>
      <c r="D77" s="782"/>
      <c r="E77" s="318" t="s">
        <v>672</v>
      </c>
      <c r="F77" s="374">
        <v>3.4</v>
      </c>
      <c r="G77" s="443" t="s">
        <v>690</v>
      </c>
    </row>
    <row r="78" spans="3:8" s="321" customFormat="1" ht="31.5" x14ac:dyDescent="0.25">
      <c r="C78" s="782"/>
      <c r="D78" s="782"/>
      <c r="E78" s="319" t="s">
        <v>856</v>
      </c>
      <c r="F78" s="374">
        <f>Proportions!J5</f>
        <v>2.7450980392156863</v>
      </c>
      <c r="G78" s="443" t="s">
        <v>690</v>
      </c>
    </row>
    <row r="79" spans="3:8" ht="18" x14ac:dyDescent="0.25">
      <c r="C79" s="782"/>
      <c r="D79" s="782"/>
      <c r="E79" s="353" t="s">
        <v>662</v>
      </c>
      <c r="G79" s="444"/>
    </row>
    <row r="80" spans="3:8" ht="31.5" x14ac:dyDescent="0.25">
      <c r="C80" s="782"/>
      <c r="D80" s="782"/>
      <c r="E80" s="318" t="s">
        <v>625</v>
      </c>
      <c r="F80" s="374">
        <v>3</v>
      </c>
      <c r="G80" s="443" t="s">
        <v>715</v>
      </c>
    </row>
    <row r="81" spans="3:7" ht="31.5" x14ac:dyDescent="0.25">
      <c r="C81" s="782"/>
      <c r="D81" s="782"/>
      <c r="E81" s="318" t="s">
        <v>663</v>
      </c>
      <c r="F81" s="374">
        <v>3</v>
      </c>
      <c r="G81" s="443" t="s">
        <v>715</v>
      </c>
    </row>
    <row r="82" spans="3:7" ht="31.5" x14ac:dyDescent="0.25">
      <c r="C82" s="782"/>
      <c r="D82" s="782"/>
      <c r="E82" s="318" t="s">
        <v>628</v>
      </c>
      <c r="F82" s="374">
        <v>5.8</v>
      </c>
      <c r="G82" s="443" t="s">
        <v>715</v>
      </c>
    </row>
    <row r="83" spans="3:7" ht="31.5" x14ac:dyDescent="0.25">
      <c r="C83" s="782"/>
      <c r="D83" s="782"/>
      <c r="E83" s="318" t="s">
        <v>626</v>
      </c>
      <c r="F83" s="374">
        <v>1.2</v>
      </c>
      <c r="G83" s="443" t="s">
        <v>715</v>
      </c>
    </row>
    <row r="84" spans="3:7" ht="31.5" x14ac:dyDescent="0.25">
      <c r="C84" s="782"/>
      <c r="D84" s="782"/>
      <c r="E84" s="319" t="s">
        <v>664</v>
      </c>
      <c r="F84" s="374">
        <v>1.8</v>
      </c>
      <c r="G84" s="443" t="s">
        <v>715</v>
      </c>
    </row>
    <row r="85" spans="3:7" ht="31.5" x14ac:dyDescent="0.25">
      <c r="C85" s="782"/>
      <c r="D85" s="782"/>
      <c r="E85" s="318" t="s">
        <v>424</v>
      </c>
      <c r="F85" s="322">
        <v>1</v>
      </c>
      <c r="G85" s="443" t="s">
        <v>715</v>
      </c>
    </row>
    <row r="86" spans="3:7" ht="31.5" x14ac:dyDescent="0.25">
      <c r="C86" s="782"/>
      <c r="D86" s="782"/>
      <c r="E86" s="318" t="s">
        <v>629</v>
      </c>
      <c r="F86" s="374">
        <v>0.28000000000000003</v>
      </c>
      <c r="G86" s="443" t="s">
        <v>715</v>
      </c>
    </row>
    <row r="87" spans="3:7" ht="31.5" x14ac:dyDescent="0.25">
      <c r="C87" s="782"/>
      <c r="D87" s="782"/>
      <c r="E87" s="318" t="s">
        <v>665</v>
      </c>
      <c r="F87" s="374">
        <v>1.9</v>
      </c>
      <c r="G87" s="443" t="s">
        <v>715</v>
      </c>
    </row>
    <row r="88" spans="3:7" ht="32.25" thickBot="1" x14ac:dyDescent="0.3">
      <c r="C88" s="783"/>
      <c r="D88" s="783"/>
      <c r="E88" s="455" t="s">
        <v>550</v>
      </c>
      <c r="F88" s="446">
        <v>0.1</v>
      </c>
      <c r="G88" s="451" t="s">
        <v>715</v>
      </c>
    </row>
    <row r="89" spans="3:7" ht="18" x14ac:dyDescent="0.25">
      <c r="C89" s="781" t="s">
        <v>668</v>
      </c>
      <c r="D89" s="781" t="s">
        <v>825</v>
      </c>
      <c r="E89" s="447" t="s">
        <v>658</v>
      </c>
      <c r="F89" s="441"/>
      <c r="G89" s="442"/>
    </row>
    <row r="90" spans="3:7" ht="31.5" x14ac:dyDescent="0.25">
      <c r="C90" s="782"/>
      <c r="D90" s="782"/>
      <c r="E90" s="318" t="s">
        <v>405</v>
      </c>
      <c r="F90" s="374">
        <v>31</v>
      </c>
      <c r="G90" s="443" t="s">
        <v>653</v>
      </c>
    </row>
    <row r="91" spans="3:7" ht="31.5" x14ac:dyDescent="0.25">
      <c r="C91" s="782"/>
      <c r="D91" s="782"/>
      <c r="E91" s="318" t="s">
        <v>659</v>
      </c>
      <c r="F91" s="374">
        <v>0.04</v>
      </c>
      <c r="G91" s="443" t="s">
        <v>653</v>
      </c>
    </row>
    <row r="92" spans="3:7" ht="31.5" x14ac:dyDescent="0.25">
      <c r="C92" s="782"/>
      <c r="D92" s="782"/>
      <c r="E92" s="318" t="s">
        <v>406</v>
      </c>
      <c r="F92" s="374">
        <v>5.5</v>
      </c>
      <c r="G92" s="443" t="s">
        <v>653</v>
      </c>
    </row>
    <row r="93" spans="3:7" ht="31.5" x14ac:dyDescent="0.25">
      <c r="C93" s="782"/>
      <c r="D93" s="782"/>
      <c r="E93" s="318" t="s">
        <v>407</v>
      </c>
      <c r="F93" s="374">
        <v>0</v>
      </c>
      <c r="G93" s="443" t="s">
        <v>653</v>
      </c>
    </row>
    <row r="94" spans="3:7" ht="31.5" x14ac:dyDescent="0.25">
      <c r="C94" s="782"/>
      <c r="D94" s="782"/>
      <c r="E94" s="318" t="s">
        <v>386</v>
      </c>
      <c r="F94" s="374">
        <v>3.4</v>
      </c>
      <c r="G94" s="443" t="s">
        <v>653</v>
      </c>
    </row>
    <row r="95" spans="3:7" ht="31.5" x14ac:dyDescent="0.25">
      <c r="C95" s="782"/>
      <c r="D95" s="782"/>
      <c r="E95" s="318" t="s">
        <v>408</v>
      </c>
      <c r="F95" s="374">
        <v>2.5</v>
      </c>
      <c r="G95" s="443" t="s">
        <v>653</v>
      </c>
    </row>
    <row r="96" spans="3:7" ht="31.5" x14ac:dyDescent="0.25">
      <c r="C96" s="782"/>
      <c r="D96" s="782"/>
      <c r="E96" s="318" t="s">
        <v>409</v>
      </c>
      <c r="F96" s="374">
        <v>11.7</v>
      </c>
      <c r="G96" s="443" t="s">
        <v>653</v>
      </c>
    </row>
    <row r="97" spans="3:7" s="321" customFormat="1" ht="31.5" x14ac:dyDescent="0.25">
      <c r="C97" s="782"/>
      <c r="D97" s="782"/>
      <c r="E97" s="319" t="s">
        <v>410</v>
      </c>
      <c r="F97" s="374">
        <v>0.36</v>
      </c>
      <c r="G97" s="443" t="s">
        <v>653</v>
      </c>
    </row>
    <row r="98" spans="3:7" s="321" customFormat="1" ht="31.5" x14ac:dyDescent="0.25">
      <c r="C98" s="782"/>
      <c r="D98" s="782"/>
      <c r="E98" s="318" t="s">
        <v>411</v>
      </c>
      <c r="F98" s="374">
        <v>3.91</v>
      </c>
      <c r="G98" s="443" t="s">
        <v>653</v>
      </c>
    </row>
    <row r="99" spans="3:7" s="321" customFormat="1" ht="31.5" x14ac:dyDescent="0.25">
      <c r="C99" s="782"/>
      <c r="D99" s="782"/>
      <c r="E99" s="319" t="s">
        <v>210</v>
      </c>
      <c r="F99" s="374">
        <v>7.36</v>
      </c>
      <c r="G99" s="443" t="s">
        <v>653</v>
      </c>
    </row>
    <row r="100" spans="3:7" s="321" customFormat="1" ht="18" x14ac:dyDescent="0.25">
      <c r="C100" s="782"/>
      <c r="D100" s="782"/>
      <c r="E100" s="353" t="s">
        <v>660</v>
      </c>
      <c r="F100" s="322"/>
      <c r="G100" s="444"/>
    </row>
    <row r="101" spans="3:7" s="321" customFormat="1" ht="31.5" x14ac:dyDescent="0.25">
      <c r="C101" s="782"/>
      <c r="D101" s="782"/>
      <c r="E101" s="205" t="s">
        <v>677</v>
      </c>
      <c r="F101" s="322">
        <v>10</v>
      </c>
      <c r="G101" s="443" t="s">
        <v>690</v>
      </c>
    </row>
    <row r="102" spans="3:7" s="321" customFormat="1" ht="31.5" x14ac:dyDescent="0.25">
      <c r="C102" s="782"/>
      <c r="D102" s="782"/>
      <c r="E102" s="318" t="s">
        <v>807</v>
      </c>
      <c r="F102" s="8">
        <v>65</v>
      </c>
      <c r="G102" s="443" t="s">
        <v>653</v>
      </c>
    </row>
    <row r="103" spans="3:7" s="321" customFormat="1" ht="31.5" x14ac:dyDescent="0.25">
      <c r="C103" s="782"/>
      <c r="D103" s="782"/>
      <c r="E103" s="318" t="s">
        <v>809</v>
      </c>
      <c r="F103" s="8">
        <v>0</v>
      </c>
      <c r="G103" s="443" t="s">
        <v>690</v>
      </c>
    </row>
    <row r="104" spans="3:7" s="321" customFormat="1" ht="31.5" x14ac:dyDescent="0.25">
      <c r="C104" s="782"/>
      <c r="D104" s="782"/>
      <c r="E104" s="318" t="s">
        <v>672</v>
      </c>
      <c r="F104" s="374">
        <v>10</v>
      </c>
      <c r="G104" s="443" t="s">
        <v>690</v>
      </c>
    </row>
    <row r="105" spans="3:7" s="321" customFormat="1" ht="31.5" x14ac:dyDescent="0.25">
      <c r="C105" s="782"/>
      <c r="D105" s="782"/>
      <c r="E105" s="319" t="s">
        <v>856</v>
      </c>
      <c r="F105" s="374">
        <f>Proportions!J6</f>
        <v>14</v>
      </c>
      <c r="G105" s="443" t="s">
        <v>690</v>
      </c>
    </row>
    <row r="106" spans="3:7" ht="18" x14ac:dyDescent="0.25">
      <c r="C106" s="782"/>
      <c r="D106" s="782"/>
      <c r="E106" s="353" t="s">
        <v>678</v>
      </c>
      <c r="G106" s="444"/>
    </row>
    <row r="107" spans="3:7" ht="31.5" x14ac:dyDescent="0.25">
      <c r="C107" s="782"/>
      <c r="D107" s="782"/>
      <c r="E107" s="318" t="s">
        <v>625</v>
      </c>
      <c r="F107" s="374">
        <v>6.5</v>
      </c>
      <c r="G107" s="443" t="s">
        <v>716</v>
      </c>
    </row>
    <row r="108" spans="3:7" ht="31.5" x14ac:dyDescent="0.25">
      <c r="C108" s="782"/>
      <c r="D108" s="782"/>
      <c r="E108" s="318" t="s">
        <v>663</v>
      </c>
      <c r="F108" s="374">
        <v>6</v>
      </c>
      <c r="G108" s="443" t="s">
        <v>716</v>
      </c>
    </row>
    <row r="109" spans="3:7" ht="31.5" x14ac:dyDescent="0.25">
      <c r="C109" s="782"/>
      <c r="D109" s="782"/>
      <c r="E109" s="318" t="s">
        <v>628</v>
      </c>
      <c r="F109" s="374">
        <v>8.5</v>
      </c>
      <c r="G109" s="443" t="s">
        <v>716</v>
      </c>
    </row>
    <row r="110" spans="3:7" s="321" customFormat="1" ht="31.5" x14ac:dyDescent="0.25">
      <c r="C110" s="782"/>
      <c r="D110" s="782"/>
      <c r="E110" s="318" t="s">
        <v>626</v>
      </c>
      <c r="F110" s="374">
        <v>2.13</v>
      </c>
      <c r="G110" s="443" t="s">
        <v>716</v>
      </c>
    </row>
    <row r="111" spans="3:7" s="321" customFormat="1" ht="31.5" x14ac:dyDescent="0.25">
      <c r="C111" s="782"/>
      <c r="D111" s="782"/>
      <c r="E111" s="319" t="s">
        <v>664</v>
      </c>
      <c r="F111" s="374">
        <v>4.8</v>
      </c>
      <c r="G111" s="443" t="s">
        <v>716</v>
      </c>
    </row>
    <row r="112" spans="3:7" s="321" customFormat="1" ht="31.5" x14ac:dyDescent="0.25">
      <c r="C112" s="782"/>
      <c r="D112" s="782"/>
      <c r="E112" s="318" t="s">
        <v>424</v>
      </c>
      <c r="F112" s="374">
        <v>2.2999999999999998</v>
      </c>
      <c r="G112" s="443" t="s">
        <v>716</v>
      </c>
    </row>
    <row r="113" spans="3:7" s="321" customFormat="1" ht="31.5" x14ac:dyDescent="0.25">
      <c r="C113" s="782"/>
      <c r="D113" s="782"/>
      <c r="E113" s="318" t="s">
        <v>629</v>
      </c>
      <c r="F113" s="374">
        <v>0.43</v>
      </c>
      <c r="G113" s="443" t="s">
        <v>716</v>
      </c>
    </row>
    <row r="114" spans="3:7" s="321" customFormat="1" ht="31.5" x14ac:dyDescent="0.25">
      <c r="C114" s="782"/>
      <c r="D114" s="782"/>
      <c r="E114" s="318" t="s">
        <v>665</v>
      </c>
      <c r="F114" s="374">
        <v>3</v>
      </c>
      <c r="G114" s="443" t="s">
        <v>716</v>
      </c>
    </row>
    <row r="115" spans="3:7" s="321" customFormat="1" ht="32.25" thickBot="1" x14ac:dyDescent="0.3">
      <c r="C115" s="783"/>
      <c r="D115" s="783"/>
      <c r="E115" s="455" t="s">
        <v>550</v>
      </c>
      <c r="F115" s="446">
        <v>0.1</v>
      </c>
      <c r="G115" s="451" t="s">
        <v>716</v>
      </c>
    </row>
    <row r="116" spans="3:7" ht="18" x14ac:dyDescent="0.25">
      <c r="C116" s="781" t="s">
        <v>669</v>
      </c>
      <c r="D116" s="781" t="s">
        <v>824</v>
      </c>
      <c r="E116" s="447" t="s">
        <v>658</v>
      </c>
      <c r="F116" s="441"/>
      <c r="G116" s="442"/>
    </row>
    <row r="117" spans="3:7" ht="31.5" x14ac:dyDescent="0.25">
      <c r="C117" s="782"/>
      <c r="D117" s="782"/>
      <c r="E117" s="318" t="s">
        <v>405</v>
      </c>
      <c r="F117" s="374">
        <v>28</v>
      </c>
      <c r="G117" s="443" t="s">
        <v>653</v>
      </c>
    </row>
    <row r="118" spans="3:7" ht="31.5" x14ac:dyDescent="0.25">
      <c r="C118" s="782"/>
      <c r="D118" s="782"/>
      <c r="E118" s="318" t="s">
        <v>659</v>
      </c>
      <c r="F118" s="374">
        <v>0.04</v>
      </c>
      <c r="G118" s="443" t="s">
        <v>653</v>
      </c>
    </row>
    <row r="119" spans="3:7" ht="31.5" x14ac:dyDescent="0.25">
      <c r="C119" s="782"/>
      <c r="D119" s="782"/>
      <c r="E119" s="318" t="s">
        <v>406</v>
      </c>
      <c r="F119" s="374">
        <v>5.78</v>
      </c>
      <c r="G119" s="443" t="s">
        <v>653</v>
      </c>
    </row>
    <row r="120" spans="3:7" ht="31.5" x14ac:dyDescent="0.25">
      <c r="C120" s="782"/>
      <c r="D120" s="782"/>
      <c r="E120" s="318" t="s">
        <v>407</v>
      </c>
      <c r="F120" s="374">
        <v>0</v>
      </c>
      <c r="G120" s="443" t="s">
        <v>653</v>
      </c>
    </row>
    <row r="121" spans="3:7" ht="31.5" x14ac:dyDescent="0.25">
      <c r="C121" s="782"/>
      <c r="D121" s="782"/>
      <c r="E121" s="318" t="s">
        <v>386</v>
      </c>
      <c r="F121" s="374">
        <v>3.71</v>
      </c>
      <c r="G121" s="443" t="s">
        <v>653</v>
      </c>
    </row>
    <row r="122" spans="3:7" ht="31.5" x14ac:dyDescent="0.25">
      <c r="C122" s="782"/>
      <c r="D122" s="782"/>
      <c r="E122" s="318" t="s">
        <v>408</v>
      </c>
      <c r="F122" s="374">
        <v>2.2000000000000002</v>
      </c>
      <c r="G122" s="443" t="s">
        <v>653</v>
      </c>
    </row>
    <row r="123" spans="3:7" ht="31.5" x14ac:dyDescent="0.25">
      <c r="C123" s="782"/>
      <c r="D123" s="782"/>
      <c r="E123" s="318" t="s">
        <v>409</v>
      </c>
      <c r="F123" s="374">
        <v>12.2</v>
      </c>
      <c r="G123" s="443" t="s">
        <v>653</v>
      </c>
    </row>
    <row r="124" spans="3:7" ht="31.5" x14ac:dyDescent="0.25">
      <c r="C124" s="782"/>
      <c r="D124" s="782"/>
      <c r="E124" s="319" t="s">
        <v>410</v>
      </c>
      <c r="F124" s="374">
        <v>0.36</v>
      </c>
      <c r="G124" s="443" t="s">
        <v>653</v>
      </c>
    </row>
    <row r="125" spans="3:7" ht="31.5" x14ac:dyDescent="0.25">
      <c r="C125" s="782"/>
      <c r="D125" s="782"/>
      <c r="E125" s="318" t="s">
        <v>411</v>
      </c>
      <c r="F125" s="374">
        <v>4.54</v>
      </c>
      <c r="G125" s="443" t="s">
        <v>653</v>
      </c>
    </row>
    <row r="126" spans="3:7" ht="31.5" x14ac:dyDescent="0.25">
      <c r="C126" s="782"/>
      <c r="D126" s="782"/>
      <c r="E126" s="319" t="s">
        <v>210</v>
      </c>
      <c r="F126" s="374">
        <v>7.91</v>
      </c>
      <c r="G126" s="443" t="s">
        <v>653</v>
      </c>
    </row>
    <row r="127" spans="3:7" ht="18" x14ac:dyDescent="0.25">
      <c r="C127" s="782"/>
      <c r="D127" s="782"/>
      <c r="E127" s="353" t="s">
        <v>660</v>
      </c>
      <c r="G127" s="456"/>
    </row>
    <row r="128" spans="3:7" ht="31.5" x14ac:dyDescent="0.25">
      <c r="C128" s="782"/>
      <c r="D128" s="782"/>
      <c r="E128" s="205" t="s">
        <v>677</v>
      </c>
      <c r="F128" s="374">
        <v>16</v>
      </c>
      <c r="G128" s="443" t="s">
        <v>690</v>
      </c>
    </row>
    <row r="129" spans="3:8" ht="31.5" x14ac:dyDescent="0.25">
      <c r="C129" s="782"/>
      <c r="D129" s="782"/>
      <c r="E129" s="318" t="s">
        <v>807</v>
      </c>
      <c r="F129" s="8">
        <v>53</v>
      </c>
      <c r="G129" s="443" t="s">
        <v>653</v>
      </c>
    </row>
    <row r="130" spans="3:8" s="321" customFormat="1" ht="31.5" x14ac:dyDescent="0.25">
      <c r="C130" s="782"/>
      <c r="D130" s="782"/>
      <c r="E130" s="318" t="s">
        <v>809</v>
      </c>
      <c r="F130" s="374">
        <v>0</v>
      </c>
      <c r="G130" s="443" t="s">
        <v>690</v>
      </c>
    </row>
    <row r="131" spans="3:8" ht="31.5" x14ac:dyDescent="0.25">
      <c r="C131" s="782"/>
      <c r="D131" s="782"/>
      <c r="E131" s="318" t="s">
        <v>672</v>
      </c>
      <c r="F131" s="374">
        <v>16</v>
      </c>
      <c r="G131" s="443" t="s">
        <v>690</v>
      </c>
      <c r="H131" s="321"/>
    </row>
    <row r="132" spans="3:8" ht="31.5" x14ac:dyDescent="0.25">
      <c r="C132" s="782"/>
      <c r="D132" s="782"/>
      <c r="E132" s="319" t="s">
        <v>856</v>
      </c>
      <c r="F132" s="374">
        <f>Proportions!J7</f>
        <v>15.400000000000002</v>
      </c>
      <c r="G132" s="443" t="s">
        <v>690</v>
      </c>
      <c r="H132" s="321"/>
    </row>
    <row r="133" spans="3:8" ht="18" x14ac:dyDescent="0.25">
      <c r="C133" s="782"/>
      <c r="D133" s="782"/>
      <c r="E133" s="353" t="s">
        <v>678</v>
      </c>
      <c r="G133" s="444"/>
    </row>
    <row r="134" spans="3:8" ht="31.5" x14ac:dyDescent="0.25">
      <c r="C134" s="782"/>
      <c r="D134" s="782"/>
      <c r="E134" s="318" t="s">
        <v>625</v>
      </c>
      <c r="F134" s="374">
        <v>4.5999999999999996</v>
      </c>
      <c r="G134" s="443" t="s">
        <v>716</v>
      </c>
    </row>
    <row r="135" spans="3:8" ht="31.5" x14ac:dyDescent="0.25">
      <c r="C135" s="782"/>
      <c r="D135" s="782"/>
      <c r="E135" s="318" t="s">
        <v>663</v>
      </c>
      <c r="F135" s="374">
        <v>2.2999999999999998</v>
      </c>
      <c r="G135" s="443" t="s">
        <v>716</v>
      </c>
    </row>
    <row r="136" spans="3:8" ht="31.5" x14ac:dyDescent="0.25">
      <c r="C136" s="782"/>
      <c r="D136" s="782"/>
      <c r="E136" s="318" t="s">
        <v>628</v>
      </c>
      <c r="F136" s="374">
        <v>1.2</v>
      </c>
      <c r="G136" s="443" t="s">
        <v>716</v>
      </c>
    </row>
    <row r="137" spans="3:8" ht="31.5" x14ac:dyDescent="0.25">
      <c r="C137" s="782"/>
      <c r="D137" s="782"/>
      <c r="E137" s="318" t="s">
        <v>626</v>
      </c>
      <c r="F137" s="374">
        <v>0.83</v>
      </c>
      <c r="G137" s="443" t="s">
        <v>716</v>
      </c>
    </row>
    <row r="138" spans="3:8" ht="31.5" x14ac:dyDescent="0.25">
      <c r="C138" s="782"/>
      <c r="D138" s="782"/>
      <c r="E138" s="319" t="s">
        <v>664</v>
      </c>
      <c r="F138" s="374">
        <v>0</v>
      </c>
      <c r="G138" s="443" t="s">
        <v>716</v>
      </c>
    </row>
    <row r="139" spans="3:8" ht="31.5" x14ac:dyDescent="0.25">
      <c r="C139" s="782"/>
      <c r="D139" s="782"/>
      <c r="E139" s="318" t="s">
        <v>424</v>
      </c>
      <c r="F139" s="374">
        <v>0.21</v>
      </c>
      <c r="G139" s="443" t="s">
        <v>716</v>
      </c>
    </row>
    <row r="140" spans="3:8" ht="31.5" x14ac:dyDescent="0.25">
      <c r="C140" s="782"/>
      <c r="D140" s="782"/>
      <c r="E140" s="318" t="s">
        <v>629</v>
      </c>
      <c r="F140" s="374">
        <v>0</v>
      </c>
      <c r="G140" s="443" t="s">
        <v>716</v>
      </c>
    </row>
    <row r="141" spans="3:8" ht="31.5" x14ac:dyDescent="0.25">
      <c r="C141" s="782"/>
      <c r="D141" s="782"/>
      <c r="E141" s="318" t="s">
        <v>665</v>
      </c>
      <c r="F141" s="374">
        <v>0.7</v>
      </c>
      <c r="G141" s="443" t="s">
        <v>716</v>
      </c>
    </row>
    <row r="142" spans="3:8" ht="32.25" thickBot="1" x14ac:dyDescent="0.3">
      <c r="C142" s="783"/>
      <c r="D142" s="783"/>
      <c r="E142" s="455" t="s">
        <v>550</v>
      </c>
      <c r="F142" s="446">
        <v>0</v>
      </c>
      <c r="G142" s="451" t="s">
        <v>716</v>
      </c>
    </row>
    <row r="143" spans="3:8" s="321" customFormat="1" ht="31.5" x14ac:dyDescent="0.25">
      <c r="C143" s="781" t="s">
        <v>760</v>
      </c>
      <c r="D143" s="457"/>
      <c r="E143" s="458" t="s">
        <v>671</v>
      </c>
      <c r="F143" s="449">
        <v>1.5</v>
      </c>
      <c r="G143" s="358" t="s">
        <v>690</v>
      </c>
    </row>
    <row r="144" spans="3:8" s="321" customFormat="1" ht="31.5" x14ac:dyDescent="0.25">
      <c r="C144" s="782"/>
      <c r="D144" s="459"/>
      <c r="E144" s="205" t="s">
        <v>798</v>
      </c>
      <c r="F144" s="374">
        <v>80</v>
      </c>
      <c r="G144" s="443" t="s">
        <v>690</v>
      </c>
    </row>
    <row r="145" spans="1:21" ht="20.25" x14ac:dyDescent="0.3">
      <c r="C145" s="782"/>
      <c r="D145" s="322"/>
      <c r="E145" s="409" t="s">
        <v>670</v>
      </c>
      <c r="G145" s="444"/>
    </row>
    <row r="146" spans="1:21" ht="36.75" x14ac:dyDescent="0.3">
      <c r="C146" s="782"/>
      <c r="D146" s="322"/>
      <c r="E146" s="357" t="s">
        <v>673</v>
      </c>
      <c r="F146" s="317">
        <v>25.8</v>
      </c>
      <c r="G146" s="443" t="s">
        <v>690</v>
      </c>
    </row>
    <row r="147" spans="1:21" ht="31.5" x14ac:dyDescent="0.25">
      <c r="C147" s="782"/>
      <c r="D147" s="322"/>
      <c r="E147" s="410" t="s">
        <v>674</v>
      </c>
      <c r="F147" s="317">
        <v>2015</v>
      </c>
      <c r="G147" s="443" t="s">
        <v>690</v>
      </c>
    </row>
    <row r="148" spans="1:21" ht="20.25" x14ac:dyDescent="0.3">
      <c r="C148" s="782"/>
      <c r="D148" s="322"/>
      <c r="E148" s="409" t="s">
        <v>56</v>
      </c>
      <c r="F148" s="317"/>
      <c r="G148" s="456"/>
    </row>
    <row r="149" spans="1:21" ht="31.5" x14ac:dyDescent="0.25">
      <c r="C149" s="782"/>
      <c r="D149" s="322"/>
      <c r="E149" s="411" t="s">
        <v>675</v>
      </c>
      <c r="F149" s="317">
        <v>16750</v>
      </c>
      <c r="G149" s="443" t="s">
        <v>690</v>
      </c>
    </row>
    <row r="150" spans="1:21" ht="31.5" x14ac:dyDescent="0.25">
      <c r="C150" s="782"/>
      <c r="D150" s="322"/>
      <c r="E150" s="406" t="s">
        <v>676</v>
      </c>
      <c r="F150" s="317">
        <v>3365</v>
      </c>
      <c r="G150" s="443" t="s">
        <v>690</v>
      </c>
    </row>
    <row r="151" spans="1:21" ht="31.5" x14ac:dyDescent="0.25">
      <c r="C151" s="782"/>
      <c r="D151" s="322"/>
      <c r="E151" s="406" t="s">
        <v>828</v>
      </c>
      <c r="F151" s="317">
        <v>7.87</v>
      </c>
      <c r="G151" s="443" t="s">
        <v>690</v>
      </c>
    </row>
    <row r="152" spans="1:21" ht="47.25" x14ac:dyDescent="0.25">
      <c r="C152" s="782"/>
      <c r="D152" s="322"/>
      <c r="E152" s="406" t="s">
        <v>827</v>
      </c>
      <c r="F152" s="587">
        <f>F153+F154+F155</f>
        <v>4.9399999999999995</v>
      </c>
      <c r="G152" s="443" t="s">
        <v>831</v>
      </c>
      <c r="L152" s="322"/>
      <c r="M152" s="322"/>
      <c r="N152" s="322"/>
      <c r="O152" s="322"/>
      <c r="P152" s="322"/>
      <c r="Q152" s="322"/>
      <c r="R152" s="322"/>
    </row>
    <row r="153" spans="1:21" s="321" customFormat="1" ht="31.5" customHeight="1" x14ac:dyDescent="0.25">
      <c r="C153" s="782"/>
      <c r="D153" s="322"/>
      <c r="E153" s="406" t="s">
        <v>826</v>
      </c>
      <c r="F153" s="588">
        <f>'Inputs 1.0_metric_currency'!D6</f>
        <v>1.03</v>
      </c>
      <c r="G153" s="443" t="s">
        <v>690</v>
      </c>
      <c r="L153" s="322"/>
      <c r="M153" s="322"/>
      <c r="N153" s="322"/>
      <c r="O153" s="8"/>
      <c r="P153" s="8"/>
      <c r="Q153" s="322"/>
      <c r="R153" s="580"/>
    </row>
    <row r="154" spans="1:21" s="321" customFormat="1" ht="31.5" customHeight="1" x14ac:dyDescent="0.25">
      <c r="C154" s="782"/>
      <c r="D154" s="322"/>
      <c r="E154" s="406" t="s">
        <v>829</v>
      </c>
      <c r="F154" s="588">
        <f>'Inputs 1.0_metric_currency'!D7</f>
        <v>1.94</v>
      </c>
      <c r="G154" s="443" t="s">
        <v>690</v>
      </c>
      <c r="L154" s="322"/>
      <c r="M154" s="322"/>
      <c r="N154" s="322"/>
      <c r="O154" s="8"/>
      <c r="P154" s="8"/>
      <c r="Q154" s="322"/>
      <c r="R154" s="580"/>
    </row>
    <row r="155" spans="1:21" s="321" customFormat="1" ht="31.5" customHeight="1" x14ac:dyDescent="0.25">
      <c r="C155" s="782"/>
      <c r="D155" s="322"/>
      <c r="E155" s="406" t="s">
        <v>830</v>
      </c>
      <c r="F155" s="588">
        <f>'Inputs 1.0_metric_currency'!D8</f>
        <v>1.97</v>
      </c>
      <c r="G155" s="443" t="s">
        <v>690</v>
      </c>
      <c r="L155" s="322"/>
      <c r="M155" s="580"/>
      <c r="N155" s="322"/>
      <c r="O155" s="8"/>
      <c r="P155" s="8"/>
      <c r="Q155" s="322"/>
      <c r="R155" s="580"/>
    </row>
    <row r="156" spans="1:21" ht="18" x14ac:dyDescent="0.25">
      <c r="A156">
        <v>899</v>
      </c>
      <c r="C156" s="782"/>
      <c r="D156" s="322"/>
      <c r="E156" s="412" t="s">
        <v>679</v>
      </c>
      <c r="G156" s="444"/>
      <c r="L156" s="322"/>
      <c r="M156" s="580"/>
      <c r="N156" s="322"/>
      <c r="O156" s="580"/>
      <c r="P156" s="322"/>
      <c r="Q156" s="322"/>
      <c r="R156" s="322"/>
    </row>
    <row r="157" spans="1:21" ht="31.5" x14ac:dyDescent="0.25">
      <c r="C157" s="782"/>
      <c r="D157" s="402"/>
      <c r="E157" s="376" t="s">
        <v>689</v>
      </c>
      <c r="F157" s="317">
        <v>0.45</v>
      </c>
      <c r="G157" s="443" t="s">
        <v>691</v>
      </c>
      <c r="H157" s="786" t="s">
        <v>779</v>
      </c>
      <c r="L157" s="322"/>
      <c r="M157" s="580"/>
      <c r="N157" s="322"/>
      <c r="O157" s="322"/>
      <c r="P157" s="322"/>
      <c r="Q157" s="322"/>
      <c r="R157" s="322"/>
    </row>
    <row r="158" spans="1:21" ht="31.5" x14ac:dyDescent="0.25">
      <c r="C158" s="782"/>
      <c r="D158" s="402"/>
      <c r="E158" s="354" t="s">
        <v>549</v>
      </c>
      <c r="F158" s="317">
        <v>0.4</v>
      </c>
      <c r="G158" s="443" t="s">
        <v>691</v>
      </c>
      <c r="H158" s="786"/>
      <c r="L158" s="322"/>
      <c r="M158" s="580"/>
      <c r="N158" s="322"/>
      <c r="O158" s="322"/>
      <c r="P158" s="322"/>
      <c r="Q158" s="322"/>
      <c r="R158" s="322"/>
    </row>
    <row r="159" spans="1:21" ht="31.5" x14ac:dyDescent="0.25">
      <c r="C159" s="782"/>
      <c r="D159" s="402"/>
      <c r="E159" s="354" t="s">
        <v>590</v>
      </c>
      <c r="F159" s="317">
        <v>3.0000000000000001E-3</v>
      </c>
      <c r="G159" s="443" t="s">
        <v>691</v>
      </c>
      <c r="H159" s="786"/>
      <c r="L159" s="322"/>
      <c r="M159" s="580"/>
      <c r="N159" s="580"/>
      <c r="O159" s="580"/>
      <c r="P159" s="322"/>
      <c r="Q159" s="322"/>
      <c r="R159" s="322"/>
    </row>
    <row r="160" spans="1:21" ht="31.5" x14ac:dyDescent="0.25">
      <c r="C160" s="782"/>
      <c r="D160" s="402"/>
      <c r="E160" s="354" t="s">
        <v>548</v>
      </c>
      <c r="F160" s="317">
        <v>2E-3</v>
      </c>
      <c r="G160" s="443" t="s">
        <v>691</v>
      </c>
      <c r="H160" s="786"/>
      <c r="L160" s="322"/>
      <c r="M160" s="580"/>
      <c r="N160" s="322"/>
      <c r="O160" s="322"/>
      <c r="P160" s="322"/>
      <c r="Q160" s="322"/>
      <c r="R160" s="322"/>
      <c r="S160" s="322"/>
      <c r="U160" s="322"/>
    </row>
    <row r="161" spans="3:21" ht="31.5" x14ac:dyDescent="0.25">
      <c r="C161" s="782"/>
      <c r="D161" s="402"/>
      <c r="E161" s="354" t="s">
        <v>602</v>
      </c>
      <c r="F161" s="317">
        <v>5.2999999999999999E-2</v>
      </c>
      <c r="G161" s="443" t="s">
        <v>691</v>
      </c>
      <c r="H161" s="786"/>
      <c r="L161" s="322"/>
      <c r="M161" s="580"/>
      <c r="N161" s="322"/>
      <c r="O161" s="580"/>
      <c r="P161" s="8"/>
      <c r="Q161" s="322"/>
      <c r="R161" s="8"/>
      <c r="S161" s="322"/>
      <c r="U161" s="322"/>
    </row>
    <row r="162" spans="3:21" ht="31.5" x14ac:dyDescent="0.25">
      <c r="C162" s="782"/>
      <c r="D162" s="402"/>
      <c r="E162" s="354" t="s">
        <v>680</v>
      </c>
      <c r="F162" s="317">
        <v>0</v>
      </c>
      <c r="G162" s="443" t="s">
        <v>691</v>
      </c>
      <c r="H162" s="786"/>
      <c r="L162" s="322"/>
      <c r="M162" s="581"/>
      <c r="N162" s="580"/>
      <c r="O162" s="322"/>
      <c r="P162" s="8"/>
      <c r="Q162" s="322"/>
      <c r="R162" s="8"/>
      <c r="S162" s="322"/>
      <c r="U162" s="322"/>
    </row>
    <row r="163" spans="3:21" ht="31.5" x14ac:dyDescent="0.25">
      <c r="C163" s="782"/>
      <c r="D163" s="402"/>
      <c r="E163" s="354" t="s">
        <v>603</v>
      </c>
      <c r="F163" s="317">
        <v>0</v>
      </c>
      <c r="G163" s="443" t="s">
        <v>691</v>
      </c>
      <c r="H163" s="786"/>
      <c r="L163" s="322"/>
      <c r="M163" s="581"/>
      <c r="N163" s="322"/>
      <c r="O163" s="322"/>
      <c r="P163" s="8"/>
      <c r="Q163" s="322"/>
      <c r="R163" s="8"/>
      <c r="S163" s="322"/>
      <c r="U163" s="322"/>
    </row>
    <row r="164" spans="3:21" ht="31.5" x14ac:dyDescent="0.25">
      <c r="C164" s="782"/>
      <c r="D164" s="402"/>
      <c r="E164" s="354" t="s">
        <v>5</v>
      </c>
      <c r="F164" s="317">
        <v>3.0000000000000001E-3</v>
      </c>
      <c r="G164" s="443" t="s">
        <v>691</v>
      </c>
      <c r="H164" s="786"/>
      <c r="L164" s="322"/>
      <c r="M164" s="581"/>
      <c r="N164" s="580"/>
      <c r="O164" s="322"/>
      <c r="P164" s="8"/>
      <c r="Q164" s="322"/>
      <c r="R164" s="8"/>
      <c r="S164" s="322"/>
      <c r="U164" s="322"/>
    </row>
    <row r="165" spans="3:21" ht="31.5" x14ac:dyDescent="0.25">
      <c r="C165" s="782"/>
      <c r="D165" s="402"/>
      <c r="E165" s="354" t="s">
        <v>681</v>
      </c>
      <c r="F165" s="317">
        <v>0</v>
      </c>
      <c r="G165" s="443" t="s">
        <v>691</v>
      </c>
      <c r="H165" s="786"/>
      <c r="L165" s="322"/>
      <c r="M165" s="580"/>
      <c r="N165" s="322"/>
      <c r="O165" s="322"/>
      <c r="P165" s="322"/>
      <c r="Q165" s="322"/>
      <c r="R165" s="322"/>
      <c r="T165" s="322"/>
    </row>
    <row r="166" spans="3:21" ht="31.5" x14ac:dyDescent="0.25">
      <c r="C166" s="782"/>
      <c r="D166" s="402"/>
      <c r="E166" s="354" t="s">
        <v>555</v>
      </c>
      <c r="F166" s="317">
        <v>0</v>
      </c>
      <c r="G166" s="443" t="s">
        <v>691</v>
      </c>
      <c r="H166" s="786"/>
      <c r="L166" s="322"/>
      <c r="M166" s="322"/>
      <c r="N166" s="322"/>
      <c r="O166" s="322"/>
      <c r="P166" s="322"/>
      <c r="Q166" s="322"/>
      <c r="R166" s="322"/>
    </row>
    <row r="167" spans="3:21" ht="31.5" x14ac:dyDescent="0.25">
      <c r="C167" s="782"/>
      <c r="D167" s="402"/>
      <c r="E167" s="354" t="s">
        <v>553</v>
      </c>
      <c r="F167" s="317">
        <v>0</v>
      </c>
      <c r="G167" s="443" t="s">
        <v>691</v>
      </c>
      <c r="H167" s="786"/>
    </row>
    <row r="168" spans="3:21" ht="31.5" x14ac:dyDescent="0.25">
      <c r="C168" s="782"/>
      <c r="D168" s="402"/>
      <c r="E168" s="354" t="s">
        <v>554</v>
      </c>
      <c r="F168" s="317">
        <v>0</v>
      </c>
      <c r="G168" s="443" t="s">
        <v>691</v>
      </c>
      <c r="H168" s="786"/>
    </row>
    <row r="169" spans="3:21" ht="31.5" x14ac:dyDescent="0.25">
      <c r="C169" s="782"/>
      <c r="D169" s="402"/>
      <c r="E169" s="354" t="s">
        <v>682</v>
      </c>
      <c r="F169" s="317">
        <v>0</v>
      </c>
      <c r="G169" s="443" t="s">
        <v>691</v>
      </c>
      <c r="H169" s="786"/>
    </row>
    <row r="170" spans="3:21" ht="31.5" x14ac:dyDescent="0.25">
      <c r="C170" s="782"/>
      <c r="D170" s="322"/>
      <c r="E170" s="354" t="s">
        <v>606</v>
      </c>
      <c r="F170" s="317">
        <v>0</v>
      </c>
      <c r="G170" s="443" t="s">
        <v>691</v>
      </c>
      <c r="H170" s="786"/>
    </row>
    <row r="171" spans="3:21" ht="31.5" x14ac:dyDescent="0.25">
      <c r="C171" s="782"/>
      <c r="D171" s="322"/>
      <c r="E171" s="354" t="s">
        <v>683</v>
      </c>
      <c r="F171" s="317">
        <v>0</v>
      </c>
      <c r="G171" s="443" t="s">
        <v>691</v>
      </c>
      <c r="H171" s="786"/>
    </row>
    <row r="172" spans="3:21" ht="31.5" x14ac:dyDescent="0.25">
      <c r="C172" s="782"/>
      <c r="D172" s="322"/>
      <c r="E172" s="354" t="s">
        <v>684</v>
      </c>
      <c r="F172" s="317">
        <v>0</v>
      </c>
      <c r="G172" s="443" t="s">
        <v>691</v>
      </c>
      <c r="H172" s="786"/>
    </row>
    <row r="173" spans="3:21" ht="31.5" x14ac:dyDescent="0.25">
      <c r="C173" s="782"/>
      <c r="D173" s="322"/>
      <c r="E173" s="354" t="s">
        <v>685</v>
      </c>
      <c r="F173" s="317">
        <v>0</v>
      </c>
      <c r="G173" s="443" t="s">
        <v>691</v>
      </c>
      <c r="H173" s="786"/>
    </row>
    <row r="174" spans="3:21" ht="31.5" x14ac:dyDescent="0.25">
      <c r="C174" s="782"/>
      <c r="D174" s="322"/>
      <c r="E174" s="354" t="s">
        <v>686</v>
      </c>
      <c r="F174" s="317">
        <v>0</v>
      </c>
      <c r="G174" s="443" t="s">
        <v>691</v>
      </c>
      <c r="H174" s="786"/>
    </row>
    <row r="175" spans="3:21" ht="31.5" x14ac:dyDescent="0.25">
      <c r="C175" s="782"/>
      <c r="D175" s="322"/>
      <c r="E175" s="354" t="s">
        <v>687</v>
      </c>
      <c r="F175" s="317">
        <v>0</v>
      </c>
      <c r="G175" s="443" t="s">
        <v>691</v>
      </c>
      <c r="H175" s="786"/>
    </row>
    <row r="176" spans="3:21" ht="31.5" x14ac:dyDescent="0.25">
      <c r="C176" s="782"/>
      <c r="D176" s="322"/>
      <c r="E176" s="376" t="s">
        <v>688</v>
      </c>
      <c r="F176" s="317">
        <v>0.08</v>
      </c>
      <c r="G176" s="443" t="s">
        <v>691</v>
      </c>
      <c r="H176" s="786"/>
    </row>
    <row r="177" spans="3:8" x14ac:dyDescent="0.25">
      <c r="C177" s="782"/>
      <c r="D177" s="322"/>
      <c r="E177" s="413" t="s">
        <v>57</v>
      </c>
      <c r="G177" s="444"/>
    </row>
    <row r="178" spans="3:8" ht="31.5" x14ac:dyDescent="0.25">
      <c r="C178" s="782"/>
      <c r="D178" s="322"/>
      <c r="E178" s="368" t="s">
        <v>692</v>
      </c>
      <c r="F178" s="733">
        <f>'Inputs 1.0_metric_currency'!D10</f>
        <v>1</v>
      </c>
      <c r="G178" s="443" t="s">
        <v>697</v>
      </c>
    </row>
    <row r="179" spans="3:8" ht="31.5" x14ac:dyDescent="0.25">
      <c r="C179" s="782"/>
      <c r="D179" s="322"/>
      <c r="E179" s="368" t="s">
        <v>693</v>
      </c>
      <c r="F179" s="733">
        <f>'Inputs 1.0_metric_currency'!D11</f>
        <v>0</v>
      </c>
      <c r="G179" s="443" t="s">
        <v>697</v>
      </c>
    </row>
    <row r="180" spans="3:8" ht="31.5" x14ac:dyDescent="0.25">
      <c r="C180" s="782"/>
      <c r="D180" s="322"/>
      <c r="E180" s="368" t="s">
        <v>514</v>
      </c>
      <c r="F180" s="733">
        <f>'Inputs 1.0_metric_currency'!D12</f>
        <v>0</v>
      </c>
      <c r="G180" s="443" t="s">
        <v>697</v>
      </c>
    </row>
    <row r="181" spans="3:8" x14ac:dyDescent="0.25">
      <c r="C181" s="782"/>
      <c r="D181" s="322"/>
      <c r="E181" s="413" t="s">
        <v>695</v>
      </c>
      <c r="G181" s="444"/>
    </row>
    <row r="182" spans="3:8" ht="31.5" x14ac:dyDescent="0.25">
      <c r="C182" s="782"/>
      <c r="D182" s="322"/>
      <c r="E182" s="414" t="s">
        <v>255</v>
      </c>
      <c r="F182" s="317">
        <v>100</v>
      </c>
      <c r="G182" s="443" t="s">
        <v>691</v>
      </c>
      <c r="H182" s="786" t="s">
        <v>779</v>
      </c>
    </row>
    <row r="183" spans="3:8" ht="31.5" x14ac:dyDescent="0.25">
      <c r="C183" s="782"/>
      <c r="D183" s="322"/>
      <c r="E183" s="414" t="s">
        <v>517</v>
      </c>
      <c r="F183" s="317">
        <v>0</v>
      </c>
      <c r="G183" s="443" t="s">
        <v>691</v>
      </c>
      <c r="H183" s="786"/>
    </row>
    <row r="184" spans="3:8" ht="31.5" x14ac:dyDescent="0.25">
      <c r="C184" s="782"/>
      <c r="D184" s="322"/>
      <c r="E184" s="414" t="s">
        <v>256</v>
      </c>
      <c r="F184" s="317">
        <v>0</v>
      </c>
      <c r="G184" s="443" t="s">
        <v>691</v>
      </c>
      <c r="H184" s="786"/>
    </row>
    <row r="185" spans="3:8" ht="31.5" x14ac:dyDescent="0.25">
      <c r="C185" s="782"/>
      <c r="D185" s="322"/>
      <c r="E185" s="414" t="s">
        <v>518</v>
      </c>
      <c r="F185" s="317">
        <v>0</v>
      </c>
      <c r="G185" s="443" t="s">
        <v>691</v>
      </c>
      <c r="H185" s="786"/>
    </row>
    <row r="186" spans="3:8" ht="36" x14ac:dyDescent="0.25">
      <c r="C186" s="782"/>
      <c r="D186" s="322"/>
      <c r="E186" s="407" t="s">
        <v>696</v>
      </c>
      <c r="F186" s="322">
        <v>1</v>
      </c>
      <c r="G186" s="443" t="s">
        <v>780</v>
      </c>
    </row>
    <row r="187" spans="3:8" ht="36" x14ac:dyDescent="0.25">
      <c r="C187" s="782"/>
      <c r="D187" s="429" t="s">
        <v>698</v>
      </c>
      <c r="E187" s="407" t="s">
        <v>696</v>
      </c>
      <c r="F187" s="317">
        <v>100</v>
      </c>
      <c r="G187" s="443" t="s">
        <v>691</v>
      </c>
    </row>
    <row r="188" spans="3:8" x14ac:dyDescent="0.25">
      <c r="C188" s="782"/>
      <c r="D188" s="322"/>
      <c r="E188" s="413" t="s">
        <v>699</v>
      </c>
      <c r="G188" s="460"/>
    </row>
    <row r="189" spans="3:8" ht="31.5" x14ac:dyDescent="0.25">
      <c r="C189" s="782"/>
      <c r="D189" s="322"/>
      <c r="E189" s="415" t="s">
        <v>700</v>
      </c>
      <c r="F189" s="322">
        <v>1</v>
      </c>
      <c r="G189" s="443" t="s">
        <v>780</v>
      </c>
      <c r="H189" s="321"/>
    </row>
    <row r="190" spans="3:8" ht="31.5" x14ac:dyDescent="0.25">
      <c r="C190" s="782"/>
      <c r="D190" s="322"/>
      <c r="E190" s="416" t="s">
        <v>701</v>
      </c>
      <c r="F190" s="322">
        <v>1192.4000000000001</v>
      </c>
      <c r="G190" s="443" t="s">
        <v>690</v>
      </c>
      <c r="H190" s="321"/>
    </row>
    <row r="191" spans="3:8" ht="31.5" x14ac:dyDescent="0.25">
      <c r="C191" s="782"/>
      <c r="D191" s="322"/>
      <c r="E191" s="415" t="s">
        <v>702</v>
      </c>
      <c r="F191" s="322">
        <v>1</v>
      </c>
      <c r="G191" s="443" t="s">
        <v>780</v>
      </c>
      <c r="H191" s="321"/>
    </row>
    <row r="192" spans="3:8" ht="31.5" x14ac:dyDescent="0.25">
      <c r="C192" s="782"/>
      <c r="D192" s="322"/>
      <c r="E192" s="416" t="s">
        <v>703</v>
      </c>
      <c r="F192" s="322">
        <v>6268</v>
      </c>
      <c r="G192" s="443" t="s">
        <v>690</v>
      </c>
      <c r="H192" s="321"/>
    </row>
    <row r="193" spans="3:8" ht="31.5" x14ac:dyDescent="0.25">
      <c r="C193" s="782"/>
      <c r="D193" s="322"/>
      <c r="E193" s="415" t="s">
        <v>704</v>
      </c>
      <c r="F193" s="322">
        <v>1</v>
      </c>
      <c r="G193" s="443" t="s">
        <v>780</v>
      </c>
      <c r="H193" s="321"/>
    </row>
    <row r="194" spans="3:8" ht="31.5" x14ac:dyDescent="0.25">
      <c r="C194" s="782"/>
      <c r="D194" s="322"/>
      <c r="E194" s="416" t="s">
        <v>705</v>
      </c>
      <c r="F194" s="322">
        <v>5.17</v>
      </c>
      <c r="G194" s="443" t="s">
        <v>690</v>
      </c>
      <c r="H194" s="321"/>
    </row>
    <row r="195" spans="3:8" ht="23.25" x14ac:dyDescent="0.35">
      <c r="C195" s="782"/>
      <c r="D195" s="322"/>
      <c r="E195" s="413" t="s">
        <v>59</v>
      </c>
      <c r="G195" s="461"/>
    </row>
    <row r="196" spans="3:8" ht="36" x14ac:dyDescent="0.25">
      <c r="C196" s="782"/>
      <c r="D196" s="322"/>
      <c r="E196" s="357" t="s">
        <v>783</v>
      </c>
      <c r="F196" s="757">
        <f>'Inputs 1.0_metric_currency'!$D$19</f>
        <v>3207</v>
      </c>
      <c r="G196" s="443" t="s">
        <v>690</v>
      </c>
      <c r="H196" s="793" t="s">
        <v>855</v>
      </c>
    </row>
    <row r="197" spans="3:8" ht="54" x14ac:dyDescent="0.25">
      <c r="C197" s="782"/>
      <c r="D197" s="322"/>
      <c r="E197" s="417" t="s">
        <v>708</v>
      </c>
      <c r="F197" s="322">
        <v>1</v>
      </c>
      <c r="G197" s="443" t="s">
        <v>780</v>
      </c>
      <c r="H197" s="793"/>
    </row>
    <row r="198" spans="3:8" ht="31.5" x14ac:dyDescent="0.25">
      <c r="C198" s="782"/>
      <c r="D198" s="322"/>
      <c r="E198" s="417" t="s">
        <v>706</v>
      </c>
      <c r="F198" s="322">
        <v>164.4</v>
      </c>
      <c r="G198" s="443" t="s">
        <v>690</v>
      </c>
      <c r="H198" s="793"/>
    </row>
    <row r="199" spans="3:8" s="321" customFormat="1" ht="31.5" x14ac:dyDescent="0.25">
      <c r="C199" s="782"/>
      <c r="D199" s="322"/>
      <c r="E199" s="417" t="s">
        <v>707</v>
      </c>
      <c r="F199" s="322">
        <v>0</v>
      </c>
      <c r="G199" s="443" t="s">
        <v>690</v>
      </c>
      <c r="H199" s="793"/>
    </row>
    <row r="200" spans="3:8" s="321" customFormat="1" ht="31.5" x14ac:dyDescent="0.25">
      <c r="C200" s="782"/>
      <c r="D200" s="322"/>
      <c r="E200" s="417" t="s">
        <v>784</v>
      </c>
      <c r="F200" s="322">
        <v>205</v>
      </c>
      <c r="G200" s="443" t="s">
        <v>690</v>
      </c>
      <c r="H200" s="793"/>
    </row>
    <row r="201" spans="3:8" s="321" customFormat="1" ht="31.5" x14ac:dyDescent="0.25">
      <c r="C201" s="782"/>
      <c r="D201" s="322"/>
      <c r="E201" s="417" t="s">
        <v>785</v>
      </c>
      <c r="F201" s="322">
        <v>0</v>
      </c>
      <c r="G201" s="443" t="s">
        <v>690</v>
      </c>
      <c r="H201" s="793"/>
    </row>
    <row r="202" spans="3:8" ht="54" x14ac:dyDescent="0.25">
      <c r="C202" s="782"/>
      <c r="D202" s="322"/>
      <c r="E202" s="357" t="s">
        <v>709</v>
      </c>
      <c r="F202" s="322">
        <f>'Inputs 1.0_metric_currency'!D14</f>
        <v>93.09999999999998</v>
      </c>
      <c r="G202" s="443" t="s">
        <v>690</v>
      </c>
      <c r="H202" s="793"/>
    </row>
    <row r="203" spans="3:8" ht="36" x14ac:dyDescent="0.25">
      <c r="C203" s="782"/>
      <c r="D203" s="322"/>
      <c r="E203" s="357" t="s">
        <v>710</v>
      </c>
      <c r="F203" s="322">
        <v>107</v>
      </c>
      <c r="G203" s="443" t="s">
        <v>690</v>
      </c>
      <c r="H203" s="793"/>
    </row>
    <row r="204" spans="3:8" ht="36" x14ac:dyDescent="0.25">
      <c r="C204" s="782"/>
      <c r="D204" s="322"/>
      <c r="E204" s="357" t="s">
        <v>711</v>
      </c>
      <c r="F204" s="322">
        <v>0</v>
      </c>
      <c r="G204" s="443" t="s">
        <v>690</v>
      </c>
      <c r="H204" s="793"/>
    </row>
    <row r="205" spans="3:8" ht="31.5" x14ac:dyDescent="0.25">
      <c r="C205" s="782"/>
      <c r="D205" s="322"/>
      <c r="E205" s="357" t="s">
        <v>712</v>
      </c>
      <c r="F205" s="322">
        <v>817</v>
      </c>
      <c r="G205" s="443" t="s">
        <v>690</v>
      </c>
      <c r="H205" s="793"/>
    </row>
    <row r="206" spans="3:8" ht="54" x14ac:dyDescent="0.25">
      <c r="C206" s="782"/>
      <c r="D206" s="322"/>
      <c r="E206" s="357" t="s">
        <v>713</v>
      </c>
      <c r="F206" s="322">
        <v>2012</v>
      </c>
      <c r="G206" s="443" t="s">
        <v>690</v>
      </c>
      <c r="H206" s="793"/>
    </row>
    <row r="207" spans="3:8" ht="36" x14ac:dyDescent="0.25">
      <c r="C207" s="782"/>
      <c r="D207" s="322"/>
      <c r="E207" s="357" t="s">
        <v>714</v>
      </c>
      <c r="F207" s="322">
        <v>0.5</v>
      </c>
      <c r="G207" s="443" t="s">
        <v>691</v>
      </c>
      <c r="H207" s="793"/>
    </row>
    <row r="208" spans="3:8" ht="37.5" x14ac:dyDescent="0.3">
      <c r="C208" s="782"/>
      <c r="D208" s="322"/>
      <c r="E208" s="418" t="s">
        <v>718</v>
      </c>
      <c r="F208" s="438"/>
      <c r="G208" s="444"/>
      <c r="H208" s="793"/>
    </row>
    <row r="209" spans="3:9" ht="31.5" x14ac:dyDescent="0.25">
      <c r="C209" s="782"/>
      <c r="D209" s="322"/>
      <c r="E209" s="419" t="s">
        <v>719</v>
      </c>
      <c r="F209" s="375">
        <v>1</v>
      </c>
      <c r="G209" s="443" t="s">
        <v>780</v>
      </c>
      <c r="H209" s="793" t="s">
        <v>855</v>
      </c>
      <c r="I209">
        <f>Budget_Supuestos!D432</f>
        <v>0</v>
      </c>
    </row>
    <row r="210" spans="3:9" ht="31.5" x14ac:dyDescent="0.25">
      <c r="C210" s="782"/>
      <c r="D210" s="322"/>
      <c r="E210" s="419" t="s">
        <v>720</v>
      </c>
      <c r="F210" s="375">
        <v>0</v>
      </c>
      <c r="G210" s="443" t="s">
        <v>780</v>
      </c>
      <c r="H210" s="793"/>
    </row>
    <row r="211" spans="3:9" ht="31.5" x14ac:dyDescent="0.25">
      <c r="C211" s="782"/>
      <c r="D211" s="322"/>
      <c r="E211" s="420" t="s">
        <v>543</v>
      </c>
      <c r="F211" s="375">
        <v>0</v>
      </c>
      <c r="G211" s="443" t="s">
        <v>780</v>
      </c>
      <c r="H211" s="793"/>
    </row>
    <row r="212" spans="3:9" ht="31.5" x14ac:dyDescent="0.25">
      <c r="C212" s="782"/>
      <c r="D212" s="322"/>
      <c r="E212" s="421" t="s">
        <v>721</v>
      </c>
      <c r="F212" s="375">
        <v>1</v>
      </c>
      <c r="G212" s="443" t="s">
        <v>780</v>
      </c>
      <c r="H212" s="793"/>
    </row>
    <row r="213" spans="3:9" ht="31.5" x14ac:dyDescent="0.25">
      <c r="C213" s="782"/>
      <c r="D213" s="322"/>
      <c r="E213" s="419" t="s">
        <v>722</v>
      </c>
      <c r="F213" s="375">
        <v>0</v>
      </c>
      <c r="G213" s="443" t="s">
        <v>780</v>
      </c>
      <c r="H213" s="793"/>
    </row>
    <row r="214" spans="3:9" ht="31.5" x14ac:dyDescent="0.25">
      <c r="C214" s="782"/>
      <c r="D214" s="322"/>
      <c r="E214" s="422" t="s">
        <v>542</v>
      </c>
      <c r="F214" s="375">
        <v>0</v>
      </c>
      <c r="G214" s="443" t="s">
        <v>780</v>
      </c>
      <c r="H214" s="793"/>
    </row>
    <row r="215" spans="3:9" ht="31.5" x14ac:dyDescent="0.25">
      <c r="C215" s="782"/>
      <c r="D215" s="322"/>
      <c r="E215" s="370" t="s">
        <v>723</v>
      </c>
      <c r="F215" s="375">
        <v>0</v>
      </c>
      <c r="G215" s="443" t="s">
        <v>780</v>
      </c>
      <c r="H215" s="793"/>
    </row>
    <row r="216" spans="3:9" ht="31.5" x14ac:dyDescent="0.25">
      <c r="C216" s="782"/>
      <c r="D216" s="322"/>
      <c r="E216" s="421" t="s">
        <v>544</v>
      </c>
      <c r="F216" s="375">
        <v>0</v>
      </c>
      <c r="G216" s="443" t="s">
        <v>780</v>
      </c>
      <c r="H216" s="793"/>
    </row>
    <row r="217" spans="3:9" ht="31.5" x14ac:dyDescent="0.25">
      <c r="C217" s="782"/>
      <c r="D217" s="322"/>
      <c r="E217" s="421" t="s">
        <v>210</v>
      </c>
      <c r="F217" s="375">
        <v>0</v>
      </c>
      <c r="G217" s="443" t="s">
        <v>780</v>
      </c>
      <c r="H217" s="793"/>
    </row>
    <row r="218" spans="3:9" ht="23.25" x14ac:dyDescent="0.35">
      <c r="C218" s="782"/>
      <c r="D218" s="322"/>
      <c r="E218" s="423" t="s">
        <v>724</v>
      </c>
      <c r="G218" s="444"/>
    </row>
    <row r="219" spans="3:9" ht="36" x14ac:dyDescent="0.25">
      <c r="C219" s="782"/>
      <c r="D219" s="322"/>
      <c r="E219" s="424" t="s">
        <v>725</v>
      </c>
      <c r="F219" s="375">
        <v>0</v>
      </c>
      <c r="G219" s="443" t="s">
        <v>780</v>
      </c>
    </row>
    <row r="220" spans="3:9" ht="31.5" x14ac:dyDescent="0.25">
      <c r="C220" s="782"/>
      <c r="D220" s="322" t="s">
        <v>787</v>
      </c>
      <c r="E220" s="394" t="s">
        <v>726</v>
      </c>
      <c r="F220" s="322" t="s">
        <v>788</v>
      </c>
      <c r="G220" s="443" t="s">
        <v>729</v>
      </c>
    </row>
    <row r="221" spans="3:9" ht="31.5" x14ac:dyDescent="0.25">
      <c r="C221" s="782"/>
      <c r="D221" s="322"/>
      <c r="E221" s="394" t="s">
        <v>727</v>
      </c>
      <c r="F221" s="375">
        <v>4</v>
      </c>
      <c r="G221" s="443" t="s">
        <v>690</v>
      </c>
    </row>
    <row r="222" spans="3:9" ht="31.5" x14ac:dyDescent="0.25">
      <c r="C222" s="782"/>
      <c r="D222" s="322"/>
      <c r="E222" s="394" t="s">
        <v>728</v>
      </c>
      <c r="F222" s="322">
        <v>8255</v>
      </c>
      <c r="G222" s="443" t="s">
        <v>690</v>
      </c>
    </row>
    <row r="223" spans="3:9" s="321" customFormat="1" ht="36" x14ac:dyDescent="0.25">
      <c r="C223" s="782"/>
      <c r="D223" s="322"/>
      <c r="E223" s="394" t="s">
        <v>789</v>
      </c>
      <c r="F223" s="375">
        <v>1</v>
      </c>
      <c r="G223" s="443" t="s">
        <v>780</v>
      </c>
    </row>
    <row r="224" spans="3:9" s="321" customFormat="1" ht="31.5" x14ac:dyDescent="0.25">
      <c r="C224" s="782"/>
      <c r="D224" s="322"/>
      <c r="E224" s="394" t="s">
        <v>790</v>
      </c>
      <c r="F224" s="322" t="s">
        <v>793</v>
      </c>
      <c r="G224" s="443" t="s">
        <v>729</v>
      </c>
    </row>
    <row r="225" spans="3:8" s="321" customFormat="1" ht="31.5" x14ac:dyDescent="0.25">
      <c r="C225" s="782"/>
      <c r="D225" s="322"/>
      <c r="E225" s="394" t="s">
        <v>16</v>
      </c>
      <c r="F225" s="375">
        <v>2015</v>
      </c>
      <c r="G225" s="443" t="s">
        <v>690</v>
      </c>
    </row>
    <row r="226" spans="3:8" s="321" customFormat="1" ht="18" x14ac:dyDescent="0.25">
      <c r="C226" s="782"/>
      <c r="D226" s="322"/>
      <c r="E226" s="394" t="s">
        <v>794</v>
      </c>
      <c r="F226" s="375">
        <v>2</v>
      </c>
      <c r="G226" s="443"/>
    </row>
    <row r="227" spans="3:8" s="321" customFormat="1" ht="31.5" x14ac:dyDescent="0.25">
      <c r="C227" s="782"/>
      <c r="D227" s="322"/>
      <c r="E227" s="394" t="s">
        <v>791</v>
      </c>
      <c r="F227" s="322">
        <v>2.7</v>
      </c>
      <c r="G227" s="443" t="s">
        <v>690</v>
      </c>
    </row>
    <row r="228" spans="3:8" s="321" customFormat="1" ht="31.5" x14ac:dyDescent="0.25">
      <c r="C228" s="782"/>
      <c r="D228" s="322"/>
      <c r="E228" s="394" t="s">
        <v>792</v>
      </c>
      <c r="F228" s="375">
        <v>1</v>
      </c>
      <c r="G228" s="443" t="s">
        <v>690</v>
      </c>
    </row>
    <row r="229" spans="3:8" ht="23.25" x14ac:dyDescent="0.35">
      <c r="C229" s="782"/>
      <c r="D229" s="322"/>
      <c r="E229" s="423" t="s">
        <v>730</v>
      </c>
      <c r="G229" s="444"/>
    </row>
    <row r="230" spans="3:8" ht="31.5" x14ac:dyDescent="0.25">
      <c r="C230" s="782"/>
      <c r="D230" s="322"/>
      <c r="E230" s="375" t="s">
        <v>731</v>
      </c>
      <c r="F230" s="322">
        <v>1</v>
      </c>
      <c r="G230" s="443" t="s">
        <v>780</v>
      </c>
      <c r="H230" s="321"/>
    </row>
    <row r="231" spans="3:8" ht="31.5" x14ac:dyDescent="0.25">
      <c r="C231" s="782"/>
      <c r="D231" s="322"/>
      <c r="E231" s="397" t="s">
        <v>732</v>
      </c>
      <c r="F231" s="397" t="s">
        <v>795</v>
      </c>
      <c r="G231" s="443" t="s">
        <v>729</v>
      </c>
    </row>
    <row r="232" spans="3:8" ht="31.5" x14ac:dyDescent="0.25">
      <c r="C232" s="782"/>
      <c r="D232" s="322"/>
      <c r="E232" s="397" t="s">
        <v>733</v>
      </c>
      <c r="F232" s="567">
        <v>2015.4</v>
      </c>
      <c r="G232" s="443" t="s">
        <v>690</v>
      </c>
    </row>
    <row r="233" spans="3:8" ht="31.5" x14ac:dyDescent="0.25">
      <c r="C233" s="782"/>
      <c r="D233" s="322"/>
      <c r="E233" s="397" t="s">
        <v>289</v>
      </c>
      <c r="F233" s="397">
        <v>14000</v>
      </c>
      <c r="G233" s="443" t="s">
        <v>690</v>
      </c>
    </row>
    <row r="234" spans="3:8" ht="31.5" x14ac:dyDescent="0.25">
      <c r="C234" s="782"/>
      <c r="D234" s="322"/>
      <c r="E234" s="397" t="s">
        <v>734</v>
      </c>
      <c r="F234" s="567">
        <v>2017</v>
      </c>
      <c r="G234" s="443" t="s">
        <v>690</v>
      </c>
    </row>
    <row r="235" spans="3:8" s="321" customFormat="1" ht="18" x14ac:dyDescent="0.25">
      <c r="C235" s="782"/>
      <c r="D235" s="322"/>
      <c r="E235" s="397" t="s">
        <v>797</v>
      </c>
      <c r="F235" s="566">
        <f>F234-F232</f>
        <v>1.5999999999999091</v>
      </c>
      <c r="G235" s="443"/>
    </row>
    <row r="236" spans="3:8" ht="31.5" x14ac:dyDescent="0.25">
      <c r="C236" s="782"/>
      <c r="D236" s="322"/>
      <c r="E236" s="425" t="s">
        <v>735</v>
      </c>
      <c r="F236" s="322" t="s">
        <v>796</v>
      </c>
      <c r="G236" s="443" t="s">
        <v>737</v>
      </c>
    </row>
    <row r="237" spans="3:8" ht="31.5" x14ac:dyDescent="0.25">
      <c r="C237" s="782"/>
      <c r="D237" s="322"/>
      <c r="E237" s="425" t="s">
        <v>738</v>
      </c>
      <c r="F237" s="403">
        <v>300</v>
      </c>
      <c r="G237" s="443" t="s">
        <v>690</v>
      </c>
    </row>
    <row r="238" spans="3:8" ht="31.5" x14ac:dyDescent="0.25">
      <c r="C238" s="782"/>
      <c r="D238" s="322"/>
      <c r="E238" s="425" t="s">
        <v>736</v>
      </c>
      <c r="F238" s="322" t="s">
        <v>796</v>
      </c>
      <c r="G238" s="443" t="s">
        <v>737</v>
      </c>
      <c r="H238" s="321"/>
    </row>
    <row r="239" spans="3:8" ht="31.5" x14ac:dyDescent="0.25">
      <c r="C239" s="782"/>
      <c r="D239" s="322"/>
      <c r="E239" s="426" t="s">
        <v>736</v>
      </c>
      <c r="F239" s="403">
        <v>1.01</v>
      </c>
      <c r="G239" s="443" t="s">
        <v>690</v>
      </c>
    </row>
    <row r="240" spans="3:8" s="321" customFormat="1" ht="31.5" x14ac:dyDescent="0.25">
      <c r="C240" s="782"/>
      <c r="D240" s="322"/>
      <c r="E240" s="375" t="s">
        <v>812</v>
      </c>
      <c r="F240" s="403">
        <v>1</v>
      </c>
      <c r="G240" s="443" t="s">
        <v>780</v>
      </c>
    </row>
    <row r="241" spans="3:10" s="321" customFormat="1" ht="31.5" x14ac:dyDescent="0.25">
      <c r="C241" s="782"/>
      <c r="D241" s="322"/>
      <c r="E241" s="397" t="s">
        <v>732</v>
      </c>
      <c r="F241" s="403" t="s">
        <v>813</v>
      </c>
      <c r="G241" s="443" t="s">
        <v>729</v>
      </c>
    </row>
    <row r="242" spans="3:10" s="321" customFormat="1" ht="31.5" x14ac:dyDescent="0.25">
      <c r="C242" s="782"/>
      <c r="D242" s="322"/>
      <c r="E242" s="397" t="s">
        <v>733</v>
      </c>
      <c r="F242" s="567">
        <v>2014.8</v>
      </c>
      <c r="G242" s="443" t="s">
        <v>690</v>
      </c>
    </row>
    <row r="243" spans="3:10" s="321" customFormat="1" ht="31.5" x14ac:dyDescent="0.25">
      <c r="C243" s="782"/>
      <c r="D243" s="322"/>
      <c r="E243" s="397" t="s">
        <v>289</v>
      </c>
      <c r="F243" s="403">
        <v>5260</v>
      </c>
      <c r="G243" s="443" t="s">
        <v>690</v>
      </c>
    </row>
    <row r="244" spans="3:10" s="321" customFormat="1" ht="31.5" x14ac:dyDescent="0.25">
      <c r="C244" s="782"/>
      <c r="D244" s="322"/>
      <c r="E244" s="397" t="s">
        <v>734</v>
      </c>
      <c r="F244" s="567">
        <v>2017</v>
      </c>
      <c r="G244" s="443" t="s">
        <v>690</v>
      </c>
    </row>
    <row r="245" spans="3:10" s="321" customFormat="1" ht="18" x14ac:dyDescent="0.25">
      <c r="C245" s="782"/>
      <c r="D245" s="322"/>
      <c r="E245" s="397" t="s">
        <v>797</v>
      </c>
      <c r="F245" s="566">
        <f>F244-F242</f>
        <v>2.2000000000000455</v>
      </c>
      <c r="G245" s="443"/>
    </row>
    <row r="246" spans="3:10" s="321" customFormat="1" ht="31.5" x14ac:dyDescent="0.25">
      <c r="C246" s="782"/>
      <c r="D246" s="322"/>
      <c r="E246" s="425" t="s">
        <v>735</v>
      </c>
      <c r="F246" s="403" t="s">
        <v>796</v>
      </c>
      <c r="G246" s="443" t="s">
        <v>737</v>
      </c>
    </row>
    <row r="247" spans="3:10" s="321" customFormat="1" ht="31.5" x14ac:dyDescent="0.25">
      <c r="C247" s="782"/>
      <c r="D247" s="322"/>
      <c r="E247" s="425" t="s">
        <v>738</v>
      </c>
      <c r="F247" s="403">
        <v>230</v>
      </c>
      <c r="G247" s="443" t="s">
        <v>690</v>
      </c>
    </row>
    <row r="248" spans="3:10" s="321" customFormat="1" ht="31.5" x14ac:dyDescent="0.25">
      <c r="C248" s="782"/>
      <c r="D248" s="322"/>
      <c r="E248" s="425" t="s">
        <v>736</v>
      </c>
      <c r="F248" s="403" t="s">
        <v>796</v>
      </c>
      <c r="G248" s="443" t="s">
        <v>737</v>
      </c>
    </row>
    <row r="249" spans="3:10" s="321" customFormat="1" ht="31.5" x14ac:dyDescent="0.25">
      <c r="C249" s="782"/>
      <c r="D249" s="322"/>
      <c r="E249" s="426" t="s">
        <v>736</v>
      </c>
      <c r="F249" s="403">
        <v>3.21</v>
      </c>
      <c r="G249" s="443" t="s">
        <v>690</v>
      </c>
    </row>
    <row r="250" spans="3:10" ht="26.25" x14ac:dyDescent="0.4">
      <c r="C250" s="782"/>
      <c r="D250" s="322"/>
      <c r="E250" s="427" t="s">
        <v>739</v>
      </c>
      <c r="F250" s="439"/>
      <c r="G250" s="443"/>
      <c r="H250" s="365"/>
      <c r="I250" s="365"/>
      <c r="J250" s="365"/>
    </row>
    <row r="251" spans="3:10" ht="18.75" x14ac:dyDescent="0.3">
      <c r="C251" s="782"/>
      <c r="D251" s="322"/>
      <c r="E251" s="428" t="s">
        <v>740</v>
      </c>
      <c r="G251" s="444"/>
    </row>
    <row r="252" spans="3:10" ht="31.5" x14ac:dyDescent="0.25">
      <c r="C252" s="782"/>
      <c r="D252" s="322"/>
      <c r="E252" s="425" t="s">
        <v>29</v>
      </c>
      <c r="F252" s="322">
        <v>487</v>
      </c>
      <c r="G252" s="443" t="s">
        <v>781</v>
      </c>
      <c r="H252" s="321"/>
    </row>
    <row r="253" spans="3:10" ht="31.5" x14ac:dyDescent="0.25">
      <c r="C253" s="782"/>
      <c r="D253" s="322"/>
      <c r="E253" s="425" t="s">
        <v>321</v>
      </c>
      <c r="F253" s="322">
        <v>430</v>
      </c>
      <c r="G253" s="443" t="s">
        <v>781</v>
      </c>
    </row>
    <row r="254" spans="3:10" ht="31.5" x14ac:dyDescent="0.25">
      <c r="C254" s="782"/>
      <c r="D254" s="322"/>
      <c r="E254" s="425" t="s">
        <v>19</v>
      </c>
      <c r="F254" s="322">
        <v>630</v>
      </c>
      <c r="G254" s="443" t="s">
        <v>781</v>
      </c>
    </row>
    <row r="255" spans="3:10" ht="31.5" x14ac:dyDescent="0.25">
      <c r="C255" s="782"/>
      <c r="D255" s="322"/>
      <c r="E255" s="426" t="s">
        <v>322</v>
      </c>
      <c r="F255" s="322">
        <v>0</v>
      </c>
      <c r="G255" s="443" t="s">
        <v>781</v>
      </c>
    </row>
    <row r="256" spans="3:10" ht="31.5" x14ac:dyDescent="0.25">
      <c r="C256" s="782"/>
      <c r="D256" s="322"/>
      <c r="E256" s="397" t="s">
        <v>323</v>
      </c>
      <c r="F256" s="322">
        <v>70</v>
      </c>
      <c r="G256" s="443" t="s">
        <v>781</v>
      </c>
    </row>
    <row r="257" spans="3:7" ht="31.5" x14ac:dyDescent="0.25">
      <c r="C257" s="782"/>
      <c r="D257" s="322"/>
      <c r="E257" s="397" t="s">
        <v>324</v>
      </c>
      <c r="F257" s="322">
        <v>80</v>
      </c>
      <c r="G257" s="443" t="s">
        <v>781</v>
      </c>
    </row>
    <row r="258" spans="3:7" ht="31.5" x14ac:dyDescent="0.25">
      <c r="C258" s="782"/>
      <c r="D258" s="322"/>
      <c r="E258" s="397" t="s">
        <v>550</v>
      </c>
      <c r="F258" s="322">
        <v>1510</v>
      </c>
      <c r="G258" s="443" t="s">
        <v>781</v>
      </c>
    </row>
    <row r="259" spans="3:7" ht="18.75" x14ac:dyDescent="0.3">
      <c r="C259" s="782"/>
      <c r="D259" s="322"/>
      <c r="E259" s="428" t="s">
        <v>741</v>
      </c>
      <c r="G259" s="444"/>
    </row>
    <row r="260" spans="3:7" ht="31.5" x14ac:dyDescent="0.25">
      <c r="C260" s="782"/>
      <c r="D260" s="113"/>
      <c r="E260" s="425" t="s">
        <v>325</v>
      </c>
      <c r="F260" s="322">
        <v>2228</v>
      </c>
      <c r="G260" s="443" t="s">
        <v>781</v>
      </c>
    </row>
    <row r="261" spans="3:7" ht="31.5" x14ac:dyDescent="0.25">
      <c r="C261" s="782"/>
      <c r="D261" s="113"/>
      <c r="E261" s="425" t="s">
        <v>21</v>
      </c>
      <c r="F261" s="322">
        <v>979.7</v>
      </c>
      <c r="G261" s="443" t="s">
        <v>781</v>
      </c>
    </row>
    <row r="262" spans="3:7" ht="31.5" x14ac:dyDescent="0.25">
      <c r="C262" s="782"/>
      <c r="D262" s="113"/>
      <c r="E262" s="425" t="s">
        <v>326</v>
      </c>
      <c r="F262" s="322">
        <v>1815</v>
      </c>
      <c r="G262" s="443" t="s">
        <v>781</v>
      </c>
    </row>
    <row r="263" spans="3:7" ht="31.5" x14ac:dyDescent="0.25">
      <c r="C263" s="782"/>
      <c r="D263" s="113"/>
      <c r="E263" s="426" t="s">
        <v>22</v>
      </c>
      <c r="F263" s="322">
        <v>391</v>
      </c>
      <c r="G263" s="443" t="s">
        <v>781</v>
      </c>
    </row>
    <row r="264" spans="3:7" ht="31.5" x14ac:dyDescent="0.25">
      <c r="C264" s="782"/>
      <c r="D264" s="113"/>
      <c r="E264" s="397" t="s">
        <v>327</v>
      </c>
      <c r="F264" s="322">
        <v>240</v>
      </c>
      <c r="G264" s="443" t="s">
        <v>781</v>
      </c>
    </row>
    <row r="265" spans="3:7" ht="31.5" x14ac:dyDescent="0.25">
      <c r="C265" s="782"/>
      <c r="D265" s="113"/>
      <c r="E265" s="397" t="s">
        <v>611</v>
      </c>
      <c r="F265" s="322">
        <v>1066</v>
      </c>
      <c r="G265" s="443" t="s">
        <v>781</v>
      </c>
    </row>
    <row r="266" spans="3:7" ht="31.5" x14ac:dyDescent="0.25">
      <c r="C266" s="782"/>
      <c r="D266" s="113"/>
      <c r="E266" s="397" t="s">
        <v>328</v>
      </c>
      <c r="F266" s="322">
        <v>38.25</v>
      </c>
      <c r="G266" s="443" t="s">
        <v>781</v>
      </c>
    </row>
    <row r="267" spans="3:7" ht="31.5" x14ac:dyDescent="0.25">
      <c r="C267" s="782"/>
      <c r="D267" s="113"/>
      <c r="E267" s="425" t="s">
        <v>339</v>
      </c>
      <c r="F267" s="322">
        <v>3436</v>
      </c>
      <c r="G267" s="443" t="s">
        <v>781</v>
      </c>
    </row>
    <row r="268" spans="3:7" ht="31.5" x14ac:dyDescent="0.25">
      <c r="C268" s="782"/>
      <c r="D268" s="113"/>
      <c r="E268" s="425" t="s">
        <v>329</v>
      </c>
      <c r="F268" s="322">
        <v>482.5</v>
      </c>
      <c r="G268" s="443" t="s">
        <v>781</v>
      </c>
    </row>
    <row r="269" spans="3:7" ht="31.5" x14ac:dyDescent="0.25">
      <c r="C269" s="782"/>
      <c r="D269" s="113"/>
      <c r="E269" s="425" t="s">
        <v>330</v>
      </c>
      <c r="F269" s="322">
        <v>0</v>
      </c>
      <c r="G269" s="443" t="s">
        <v>781</v>
      </c>
    </row>
    <row r="270" spans="3:7" s="321" customFormat="1" ht="18" x14ac:dyDescent="0.25">
      <c r="C270" s="782"/>
      <c r="D270" s="113"/>
      <c r="E270" s="426" t="s">
        <v>331</v>
      </c>
      <c r="F270" s="322">
        <v>240</v>
      </c>
      <c r="G270" s="443"/>
    </row>
    <row r="271" spans="3:7" s="321" customFormat="1" ht="18" x14ac:dyDescent="0.25">
      <c r="C271" s="782"/>
      <c r="D271" s="113"/>
      <c r="E271" s="397" t="s">
        <v>332</v>
      </c>
      <c r="F271" s="322">
        <v>0</v>
      </c>
      <c r="G271" s="443"/>
    </row>
    <row r="272" spans="3:7" ht="31.5" x14ac:dyDescent="0.25">
      <c r="C272" s="782"/>
      <c r="D272" s="113"/>
      <c r="E272" s="397" t="s">
        <v>210</v>
      </c>
      <c r="F272" s="322">
        <v>575.5</v>
      </c>
      <c r="G272" s="443" t="s">
        <v>781</v>
      </c>
    </row>
    <row r="273" spans="3:8" ht="36.950000000000003" customHeight="1" x14ac:dyDescent="0.3">
      <c r="C273" s="782"/>
      <c r="D273" s="322"/>
      <c r="E273" s="367" t="s">
        <v>742</v>
      </c>
      <c r="F273" s="746"/>
      <c r="G273" s="747"/>
    </row>
    <row r="274" spans="3:8" ht="32.25" x14ac:dyDescent="0.3">
      <c r="C274" s="782"/>
      <c r="D274" s="322"/>
      <c r="E274" s="740" t="s">
        <v>974</v>
      </c>
      <c r="F274" s="736">
        <v>3517.9888313706347</v>
      </c>
      <c r="G274" s="443" t="s">
        <v>781</v>
      </c>
    </row>
    <row r="275" spans="3:8" ht="31.5" x14ac:dyDescent="0.25">
      <c r="C275" s="782"/>
      <c r="D275" s="322"/>
      <c r="E275" s="151" t="s">
        <v>565</v>
      </c>
      <c r="F275" s="322">
        <v>0</v>
      </c>
      <c r="G275" s="443" t="s">
        <v>781</v>
      </c>
    </row>
    <row r="276" spans="3:8" ht="31.5" x14ac:dyDescent="0.25">
      <c r="C276" s="782"/>
      <c r="D276" s="322"/>
      <c r="E276" s="151" t="s">
        <v>566</v>
      </c>
      <c r="F276" s="322">
        <v>0</v>
      </c>
      <c r="G276" s="443" t="s">
        <v>781</v>
      </c>
      <c r="H276" s="151"/>
    </row>
    <row r="277" spans="3:8" s="321" customFormat="1" x14ac:dyDescent="0.25">
      <c r="C277" s="782"/>
      <c r="D277" s="322"/>
      <c r="E277" s="151" t="s">
        <v>567</v>
      </c>
      <c r="F277" s="322">
        <v>0</v>
      </c>
      <c r="G277" s="443"/>
      <c r="H277" s="151"/>
    </row>
    <row r="278" spans="3:8" s="321" customFormat="1" ht="29.1" customHeight="1" x14ac:dyDescent="0.3">
      <c r="C278" s="782"/>
      <c r="D278" s="322"/>
      <c r="E278" s="741" t="s">
        <v>568</v>
      </c>
      <c r="F278" s="735">
        <v>3517.9888313706347</v>
      </c>
      <c r="G278" s="443"/>
      <c r="H278" s="151"/>
    </row>
    <row r="279" spans="3:8" s="321" customFormat="1" x14ac:dyDescent="0.25">
      <c r="C279" s="782"/>
      <c r="D279" s="322"/>
      <c r="E279" s="166" t="s">
        <v>323</v>
      </c>
      <c r="F279" s="322">
        <v>0</v>
      </c>
      <c r="G279" s="443"/>
      <c r="H279" s="151"/>
    </row>
    <row r="280" spans="3:8" s="321" customFormat="1" x14ac:dyDescent="0.25">
      <c r="C280" s="782"/>
      <c r="D280" s="322"/>
      <c r="E280" s="166" t="s">
        <v>569</v>
      </c>
      <c r="F280" s="322">
        <v>0</v>
      </c>
      <c r="G280" s="443"/>
      <c r="H280" s="151"/>
    </row>
    <row r="281" spans="3:8" ht="36.950000000000003" customHeight="1" x14ac:dyDescent="0.3">
      <c r="C281" s="782"/>
      <c r="D281" s="322"/>
      <c r="E281" s="366" t="s">
        <v>743</v>
      </c>
      <c r="F281" s="746"/>
      <c r="G281" s="747"/>
      <c r="H281" s="151"/>
    </row>
    <row r="282" spans="3:8" s="321" customFormat="1" ht="41.1" customHeight="1" x14ac:dyDescent="0.3">
      <c r="C282" s="782"/>
      <c r="D282" s="322"/>
      <c r="E282" s="745" t="s">
        <v>975</v>
      </c>
      <c r="F282" s="736">
        <v>1037.7938970930632</v>
      </c>
      <c r="G282" s="444"/>
      <c r="H282" s="151"/>
    </row>
    <row r="283" spans="3:8" s="321" customFormat="1" x14ac:dyDescent="0.25">
      <c r="C283" s="782"/>
      <c r="D283" s="322"/>
      <c r="E283" s="151" t="s">
        <v>565</v>
      </c>
      <c r="F283" s="322">
        <v>0</v>
      </c>
      <c r="G283" s="444"/>
      <c r="H283" s="151"/>
    </row>
    <row r="284" spans="3:8" s="321" customFormat="1" x14ac:dyDescent="0.25">
      <c r="C284" s="782"/>
      <c r="D284" s="322"/>
      <c r="E284" s="151" t="s">
        <v>566</v>
      </c>
      <c r="F284" s="322">
        <v>0</v>
      </c>
      <c r="G284" s="444"/>
      <c r="H284" s="151"/>
    </row>
    <row r="285" spans="3:8" s="321" customFormat="1" x14ac:dyDescent="0.25">
      <c r="C285" s="782"/>
      <c r="D285" s="322"/>
      <c r="E285" s="151" t="s">
        <v>567</v>
      </c>
      <c r="F285" s="322">
        <v>0</v>
      </c>
      <c r="G285" s="444"/>
      <c r="H285" s="151"/>
    </row>
    <row r="286" spans="3:8" s="321" customFormat="1" ht="30" customHeight="1" x14ac:dyDescent="0.3">
      <c r="C286" s="782"/>
      <c r="D286" s="322"/>
      <c r="E286" s="741" t="s">
        <v>335</v>
      </c>
      <c r="F286" s="736">
        <v>1037.7938970930632</v>
      </c>
      <c r="G286" s="444"/>
      <c r="H286" s="151"/>
    </row>
    <row r="287" spans="3:8" s="321" customFormat="1" x14ac:dyDescent="0.25">
      <c r="C287" s="782"/>
      <c r="D287" s="322"/>
      <c r="E287" s="166" t="s">
        <v>342</v>
      </c>
      <c r="F287" s="322">
        <v>0</v>
      </c>
      <c r="G287" s="444"/>
      <c r="H287" s="151"/>
    </row>
    <row r="288" spans="3:8" s="321" customFormat="1" x14ac:dyDescent="0.25">
      <c r="C288" s="782"/>
      <c r="D288" s="322"/>
      <c r="E288" s="166" t="s">
        <v>336</v>
      </c>
      <c r="F288" s="322">
        <v>0</v>
      </c>
      <c r="G288" s="444"/>
      <c r="H288" s="151"/>
    </row>
    <row r="289" spans="3:8" ht="51" customHeight="1" x14ac:dyDescent="0.3">
      <c r="C289" s="782"/>
      <c r="D289" s="322"/>
      <c r="E289" s="369" t="s">
        <v>744</v>
      </c>
      <c r="F289" s="746"/>
      <c r="G289" s="747"/>
    </row>
    <row r="290" spans="3:8" ht="33.75" x14ac:dyDescent="0.4">
      <c r="C290" s="782"/>
      <c r="D290" s="322"/>
      <c r="E290" s="744" t="s">
        <v>976</v>
      </c>
      <c r="F290" s="763">
        <f>'Inputs 1.0_metric_currency'!$D$25</f>
        <v>2188.6388534585549</v>
      </c>
      <c r="G290" s="443" t="s">
        <v>781</v>
      </c>
      <c r="H290" s="762"/>
    </row>
    <row r="291" spans="3:8" s="321" customFormat="1" x14ac:dyDescent="0.25">
      <c r="C291" s="782"/>
      <c r="D291" s="322"/>
      <c r="E291" s="151" t="s">
        <v>565</v>
      </c>
      <c r="F291" s="322">
        <v>0</v>
      </c>
      <c r="G291" s="443"/>
    </row>
    <row r="292" spans="3:8" s="321" customFormat="1" x14ac:dyDescent="0.25">
      <c r="C292" s="782"/>
      <c r="D292" s="322"/>
      <c r="E292" s="151" t="s">
        <v>566</v>
      </c>
      <c r="F292" s="322">
        <v>0</v>
      </c>
      <c r="G292" s="443"/>
    </row>
    <row r="293" spans="3:8" s="321" customFormat="1" x14ac:dyDescent="0.25">
      <c r="C293" s="782"/>
      <c r="D293" s="322"/>
      <c r="E293" s="151" t="s">
        <v>567</v>
      </c>
      <c r="F293" s="322">
        <v>0</v>
      </c>
      <c r="G293" s="443"/>
    </row>
    <row r="294" spans="3:8" s="321" customFormat="1" x14ac:dyDescent="0.25">
      <c r="C294" s="782"/>
      <c r="D294" s="322"/>
      <c r="E294" s="181" t="s">
        <v>332</v>
      </c>
      <c r="F294" s="322">
        <v>0</v>
      </c>
      <c r="G294" s="443"/>
    </row>
    <row r="295" spans="3:8" s="321" customFormat="1" ht="39" customHeight="1" x14ac:dyDescent="0.4">
      <c r="C295" s="782"/>
      <c r="D295" s="322"/>
      <c r="E295" s="743" t="s">
        <v>353</v>
      </c>
      <c r="F295" s="764">
        <f>'Inputs 1.0_metric_currency'!$D$24</f>
        <v>2188.638853458554</v>
      </c>
      <c r="G295" s="443"/>
    </row>
    <row r="296" spans="3:8" s="321" customFormat="1" x14ac:dyDescent="0.25">
      <c r="C296" s="782"/>
      <c r="D296" s="322"/>
      <c r="E296" s="166" t="s">
        <v>352</v>
      </c>
      <c r="F296" s="322">
        <v>0</v>
      </c>
      <c r="G296" s="443"/>
    </row>
    <row r="297" spans="3:8" s="321" customFormat="1" ht="20.25" x14ac:dyDescent="0.3">
      <c r="C297" s="782"/>
      <c r="D297" s="322"/>
      <c r="E297" s="742" t="s">
        <v>360</v>
      </c>
      <c r="F297" s="736">
        <v>0</v>
      </c>
      <c r="G297" s="443"/>
    </row>
    <row r="298" spans="3:8" s="321" customFormat="1" x14ac:dyDescent="0.25">
      <c r="C298" s="782"/>
      <c r="D298" s="322"/>
      <c r="E298" s="181" t="s">
        <v>354</v>
      </c>
      <c r="F298" s="322">
        <v>0</v>
      </c>
      <c r="G298" s="443"/>
    </row>
    <row r="299" spans="3:8" s="321" customFormat="1" x14ac:dyDescent="0.25">
      <c r="C299" s="782"/>
      <c r="D299" s="322"/>
      <c r="E299" s="181" t="s">
        <v>322</v>
      </c>
      <c r="F299" s="322">
        <v>0</v>
      </c>
      <c r="G299" s="443"/>
    </row>
    <row r="300" spans="3:8" s="321" customFormat="1" x14ac:dyDescent="0.25">
      <c r="C300" s="782"/>
      <c r="D300" s="322"/>
      <c r="E300" s="181" t="s">
        <v>355</v>
      </c>
      <c r="F300" s="322">
        <v>0</v>
      </c>
      <c r="G300" s="443"/>
    </row>
    <row r="301" spans="3:8" s="321" customFormat="1" ht="20.25" x14ac:dyDescent="0.3">
      <c r="C301" s="782"/>
      <c r="D301" s="322"/>
      <c r="E301" s="748" t="s">
        <v>356</v>
      </c>
      <c r="F301" s="736">
        <v>0</v>
      </c>
      <c r="G301" s="443"/>
    </row>
    <row r="302" spans="3:8" s="321" customFormat="1" x14ac:dyDescent="0.25">
      <c r="C302" s="782"/>
      <c r="D302" s="322"/>
      <c r="E302" s="183" t="s">
        <v>357</v>
      </c>
      <c r="F302" s="322">
        <v>0</v>
      </c>
      <c r="G302" s="443"/>
    </row>
    <row r="303" spans="3:8" ht="31.5" x14ac:dyDescent="0.25">
      <c r="C303" s="782"/>
      <c r="D303" s="322"/>
      <c r="E303" s="317" t="s">
        <v>592</v>
      </c>
      <c r="F303" s="322">
        <v>0</v>
      </c>
      <c r="G303" s="443" t="s">
        <v>781</v>
      </c>
    </row>
    <row r="304" spans="3:8" ht="31.5" x14ac:dyDescent="0.25">
      <c r="C304" s="782"/>
      <c r="D304" s="322"/>
      <c r="E304" s="430" t="s">
        <v>745</v>
      </c>
      <c r="F304" s="322">
        <v>0</v>
      </c>
      <c r="G304" s="443" t="s">
        <v>781</v>
      </c>
    </row>
    <row r="305" spans="3:11" ht="20.25" x14ac:dyDescent="0.3">
      <c r="C305" s="782"/>
      <c r="D305" s="322"/>
      <c r="E305" s="371" t="s">
        <v>746</v>
      </c>
      <c r="F305" s="372"/>
      <c r="G305" s="462"/>
      <c r="H305" s="372"/>
      <c r="I305" s="372"/>
      <c r="J305" s="315"/>
      <c r="K305" s="315"/>
    </row>
    <row r="306" spans="3:11" ht="31.5" x14ac:dyDescent="0.25">
      <c r="C306" s="782"/>
      <c r="D306" s="322"/>
      <c r="E306" s="113" t="s">
        <v>436</v>
      </c>
      <c r="F306" s="322">
        <v>1434</v>
      </c>
      <c r="G306" s="443" t="s">
        <v>781</v>
      </c>
    </row>
    <row r="307" spans="3:11" s="321" customFormat="1" ht="31.5" x14ac:dyDescent="0.25">
      <c r="C307" s="782"/>
      <c r="D307" s="322"/>
      <c r="E307" s="113" t="s">
        <v>810</v>
      </c>
      <c r="F307" s="166">
        <v>5.36</v>
      </c>
      <c r="G307" s="443" t="s">
        <v>690</v>
      </c>
    </row>
    <row r="308" spans="3:11" ht="31.5" x14ac:dyDescent="0.25">
      <c r="C308" s="782"/>
      <c r="D308" s="322"/>
      <c r="E308" s="113" t="s">
        <v>8</v>
      </c>
      <c r="F308" s="322">
        <v>340</v>
      </c>
      <c r="G308" s="443" t="s">
        <v>781</v>
      </c>
    </row>
    <row r="309" spans="3:11" ht="31.5" x14ac:dyDescent="0.25">
      <c r="C309" s="782"/>
      <c r="D309" s="322"/>
      <c r="E309" s="113" t="s">
        <v>810</v>
      </c>
      <c r="F309" s="8">
        <v>1.29</v>
      </c>
      <c r="G309" s="443" t="s">
        <v>690</v>
      </c>
    </row>
    <row r="310" spans="3:11" s="321" customFormat="1" ht="31.5" x14ac:dyDescent="0.25">
      <c r="C310" s="782"/>
      <c r="D310" s="322"/>
      <c r="E310" s="113" t="s">
        <v>437</v>
      </c>
      <c r="F310" s="322">
        <v>184</v>
      </c>
      <c r="G310" s="443" t="s">
        <v>781</v>
      </c>
    </row>
    <row r="311" spans="3:11" s="321" customFormat="1" ht="31.5" x14ac:dyDescent="0.25">
      <c r="C311" s="782"/>
      <c r="D311" s="322"/>
      <c r="E311" s="113" t="s">
        <v>810</v>
      </c>
      <c r="F311" s="8">
        <v>4.09</v>
      </c>
      <c r="G311" s="443" t="s">
        <v>690</v>
      </c>
    </row>
    <row r="312" spans="3:11" s="321" customFormat="1" ht="31.5" x14ac:dyDescent="0.25">
      <c r="C312" s="782"/>
      <c r="D312" s="322"/>
      <c r="E312" s="113" t="s">
        <v>202</v>
      </c>
      <c r="F312" s="322">
        <v>190</v>
      </c>
      <c r="G312" s="443" t="s">
        <v>781</v>
      </c>
    </row>
    <row r="313" spans="3:11" s="321" customFormat="1" ht="31.5" x14ac:dyDescent="0.25">
      <c r="C313" s="782"/>
      <c r="D313" s="322"/>
      <c r="E313" s="113" t="s">
        <v>810</v>
      </c>
      <c r="F313" s="8">
        <v>4.8</v>
      </c>
      <c r="G313" s="443" t="s">
        <v>690</v>
      </c>
    </row>
    <row r="314" spans="3:11" s="321" customFormat="1" ht="31.5" x14ac:dyDescent="0.25">
      <c r="C314" s="782"/>
      <c r="D314" s="322"/>
      <c r="E314" s="113" t="s">
        <v>24</v>
      </c>
      <c r="F314" s="322">
        <v>943</v>
      </c>
      <c r="G314" s="443" t="s">
        <v>781</v>
      </c>
    </row>
    <row r="315" spans="3:11" s="321" customFormat="1" ht="31.5" x14ac:dyDescent="0.25">
      <c r="C315" s="782"/>
      <c r="D315" s="322"/>
      <c r="E315" s="113" t="s">
        <v>810</v>
      </c>
      <c r="F315" s="8">
        <v>4.84</v>
      </c>
      <c r="G315" s="443" t="s">
        <v>690</v>
      </c>
    </row>
    <row r="316" spans="3:11" s="321" customFormat="1" ht="31.5" x14ac:dyDescent="0.25">
      <c r="C316" s="782"/>
      <c r="D316" s="322"/>
      <c r="E316" s="113" t="s">
        <v>25</v>
      </c>
      <c r="F316" s="322">
        <v>289</v>
      </c>
      <c r="G316" s="443" t="s">
        <v>781</v>
      </c>
    </row>
    <row r="317" spans="3:11" s="321" customFormat="1" ht="31.5" x14ac:dyDescent="0.25">
      <c r="C317" s="782"/>
      <c r="D317" s="322"/>
      <c r="E317" s="113" t="s">
        <v>810</v>
      </c>
      <c r="F317" s="8">
        <v>0.63</v>
      </c>
      <c r="G317" s="443" t="s">
        <v>690</v>
      </c>
    </row>
    <row r="318" spans="3:11" s="321" customFormat="1" ht="31.5" x14ac:dyDescent="0.25">
      <c r="C318" s="782"/>
      <c r="D318" s="322"/>
      <c r="E318" s="113" t="s">
        <v>438</v>
      </c>
      <c r="F318" s="322">
        <v>210</v>
      </c>
      <c r="G318" s="443" t="s">
        <v>781</v>
      </c>
    </row>
    <row r="319" spans="3:11" s="321" customFormat="1" ht="31.5" x14ac:dyDescent="0.25">
      <c r="C319" s="782"/>
      <c r="D319" s="322"/>
      <c r="E319" s="113" t="s">
        <v>810</v>
      </c>
      <c r="F319" s="8">
        <v>4.1500000000000004</v>
      </c>
      <c r="G319" s="443" t="s">
        <v>690</v>
      </c>
    </row>
    <row r="320" spans="3:11" ht="31.5" x14ac:dyDescent="0.25">
      <c r="C320" s="782"/>
      <c r="D320" s="322"/>
      <c r="E320" s="113" t="s">
        <v>439</v>
      </c>
      <c r="F320" s="322">
        <v>282</v>
      </c>
      <c r="G320" s="443" t="s">
        <v>781</v>
      </c>
    </row>
    <row r="321" spans="3:7" ht="31.5" x14ac:dyDescent="0.25">
      <c r="C321" s="782"/>
      <c r="D321" s="322"/>
      <c r="E321" s="113" t="s">
        <v>810</v>
      </c>
      <c r="F321" s="8">
        <v>5.04</v>
      </c>
      <c r="G321" s="443" t="s">
        <v>690</v>
      </c>
    </row>
    <row r="322" spans="3:7" ht="31.5" x14ac:dyDescent="0.25">
      <c r="C322" s="782"/>
      <c r="D322" s="322"/>
      <c r="E322" s="113" t="s">
        <v>440</v>
      </c>
      <c r="F322" s="322">
        <v>4409</v>
      </c>
      <c r="G322" s="443" t="s">
        <v>781</v>
      </c>
    </row>
    <row r="323" spans="3:7" ht="31.5" x14ac:dyDescent="0.25">
      <c r="C323" s="782"/>
      <c r="D323" s="322"/>
      <c r="E323" s="113" t="s">
        <v>810</v>
      </c>
      <c r="F323" s="8">
        <v>3.94</v>
      </c>
      <c r="G323" s="443" t="s">
        <v>690</v>
      </c>
    </row>
    <row r="324" spans="3:7" ht="31.5" x14ac:dyDescent="0.25">
      <c r="C324" s="782"/>
      <c r="D324" s="322"/>
      <c r="E324" s="113" t="s">
        <v>570</v>
      </c>
      <c r="F324" s="322">
        <v>203</v>
      </c>
      <c r="G324" s="443" t="s">
        <v>781</v>
      </c>
    </row>
    <row r="325" spans="3:7" ht="31.5" x14ac:dyDescent="0.25">
      <c r="C325" s="782"/>
      <c r="D325" s="322"/>
      <c r="E325" s="113" t="s">
        <v>810</v>
      </c>
      <c r="F325" s="8">
        <v>1.6</v>
      </c>
      <c r="G325" s="443" t="s">
        <v>690</v>
      </c>
    </row>
    <row r="326" spans="3:7" ht="31.5" x14ac:dyDescent="0.25">
      <c r="C326" s="782"/>
      <c r="D326" s="322"/>
      <c r="E326" s="113" t="s">
        <v>441</v>
      </c>
      <c r="F326" s="322">
        <v>8248</v>
      </c>
      <c r="G326" s="443" t="s">
        <v>781</v>
      </c>
    </row>
    <row r="327" spans="3:7" s="321" customFormat="1" ht="31.5" x14ac:dyDescent="0.25">
      <c r="C327" s="782"/>
      <c r="D327" s="322"/>
      <c r="E327" s="113" t="s">
        <v>810</v>
      </c>
      <c r="F327" s="8">
        <v>7.03</v>
      </c>
      <c r="G327" s="443" t="s">
        <v>690</v>
      </c>
    </row>
    <row r="328" spans="3:7" s="321" customFormat="1" ht="31.5" x14ac:dyDescent="0.25">
      <c r="C328" s="782"/>
      <c r="D328" s="322"/>
      <c r="E328" s="113" t="s">
        <v>613</v>
      </c>
      <c r="F328" s="322">
        <v>190</v>
      </c>
      <c r="G328" s="443" t="s">
        <v>781</v>
      </c>
    </row>
    <row r="329" spans="3:7" s="321" customFormat="1" ht="31.5" x14ac:dyDescent="0.25">
      <c r="C329" s="782"/>
      <c r="D329" s="322"/>
      <c r="E329" s="113" t="s">
        <v>810</v>
      </c>
      <c r="F329" s="8">
        <v>3.77</v>
      </c>
      <c r="G329" s="443" t="s">
        <v>690</v>
      </c>
    </row>
    <row r="330" spans="3:7" s="321" customFormat="1" ht="31.5" x14ac:dyDescent="0.25">
      <c r="C330" s="782"/>
      <c r="D330" s="322"/>
      <c r="E330" s="113" t="s">
        <v>551</v>
      </c>
      <c r="F330" s="322">
        <v>0</v>
      </c>
      <c r="G330" s="443" t="s">
        <v>781</v>
      </c>
    </row>
    <row r="331" spans="3:7" s="321" customFormat="1" ht="31.5" x14ac:dyDescent="0.25">
      <c r="C331" s="782"/>
      <c r="D331" s="322"/>
      <c r="E331" s="113" t="s">
        <v>810</v>
      </c>
      <c r="F331" s="8">
        <v>0</v>
      </c>
      <c r="G331" s="443" t="s">
        <v>690</v>
      </c>
    </row>
    <row r="332" spans="3:7" s="321" customFormat="1" ht="31.5" x14ac:dyDescent="0.25">
      <c r="C332" s="782"/>
      <c r="D332" s="322"/>
      <c r="E332" s="113" t="s">
        <v>614</v>
      </c>
      <c r="F332" s="322">
        <v>267</v>
      </c>
      <c r="G332" s="443" t="s">
        <v>781</v>
      </c>
    </row>
    <row r="333" spans="3:7" s="321" customFormat="1" ht="31.5" x14ac:dyDescent="0.25">
      <c r="C333" s="782"/>
      <c r="D333" s="322"/>
      <c r="E333" s="113" t="s">
        <v>810</v>
      </c>
      <c r="F333" s="8">
        <v>4.5999999999999996</v>
      </c>
      <c r="G333" s="443" t="s">
        <v>690</v>
      </c>
    </row>
    <row r="334" spans="3:7" s="321" customFormat="1" ht="31.5" x14ac:dyDescent="0.25">
      <c r="C334" s="782"/>
      <c r="D334" s="322"/>
      <c r="E334" s="113" t="s">
        <v>615</v>
      </c>
      <c r="F334" s="322">
        <v>251</v>
      </c>
      <c r="G334" s="443" t="s">
        <v>781</v>
      </c>
    </row>
    <row r="335" spans="3:7" s="321" customFormat="1" ht="31.5" x14ac:dyDescent="0.25">
      <c r="C335" s="782"/>
      <c r="D335" s="322"/>
      <c r="E335" s="113" t="s">
        <v>810</v>
      </c>
      <c r="F335" s="8">
        <v>7.65</v>
      </c>
      <c r="G335" s="443" t="s">
        <v>690</v>
      </c>
    </row>
    <row r="336" spans="3:7" ht="18.75" x14ac:dyDescent="0.3">
      <c r="C336" s="782"/>
      <c r="D336" s="322"/>
      <c r="E336" s="367" t="s">
        <v>747</v>
      </c>
      <c r="G336" s="444"/>
    </row>
    <row r="337" spans="3:7" ht="31.5" x14ac:dyDescent="0.25">
      <c r="C337" s="782"/>
      <c r="D337" s="322"/>
      <c r="E337" s="113" t="s">
        <v>452</v>
      </c>
      <c r="F337" s="322">
        <v>0</v>
      </c>
      <c r="G337" s="443" t="s">
        <v>781</v>
      </c>
    </row>
    <row r="338" spans="3:7" ht="31.5" x14ac:dyDescent="0.25">
      <c r="C338" s="782"/>
      <c r="D338" s="322"/>
      <c r="E338" s="113" t="s">
        <v>810</v>
      </c>
      <c r="F338" s="8">
        <v>8.14</v>
      </c>
      <c r="G338" s="443" t="s">
        <v>690</v>
      </c>
    </row>
    <row r="339" spans="3:7" ht="31.5" x14ac:dyDescent="0.25">
      <c r="C339" s="782"/>
      <c r="D339" s="322"/>
      <c r="E339" s="113" t="s">
        <v>453</v>
      </c>
      <c r="F339" s="322">
        <v>78478</v>
      </c>
      <c r="G339" s="443" t="s">
        <v>781</v>
      </c>
    </row>
    <row r="340" spans="3:7" ht="31.5" x14ac:dyDescent="0.25">
      <c r="C340" s="782"/>
      <c r="D340" s="322"/>
      <c r="E340" s="113" t="s">
        <v>810</v>
      </c>
      <c r="F340" s="8">
        <v>19</v>
      </c>
      <c r="G340" s="443" t="s">
        <v>690</v>
      </c>
    </row>
    <row r="341" spans="3:7" ht="31.5" x14ac:dyDescent="0.25">
      <c r="C341" s="782"/>
      <c r="D341" s="322"/>
      <c r="E341" s="113" t="s">
        <v>599</v>
      </c>
      <c r="F341" s="322">
        <v>13471</v>
      </c>
      <c r="G341" s="443" t="s">
        <v>781</v>
      </c>
    </row>
    <row r="342" spans="3:7" ht="31.5" x14ac:dyDescent="0.25">
      <c r="C342" s="782"/>
      <c r="D342" s="322"/>
      <c r="E342" s="113" t="s">
        <v>810</v>
      </c>
      <c r="F342" s="8">
        <v>8.8000000000000007</v>
      </c>
      <c r="G342" s="443" t="s">
        <v>690</v>
      </c>
    </row>
    <row r="343" spans="3:7" s="321" customFormat="1" ht="31.5" x14ac:dyDescent="0.25">
      <c r="C343" s="782"/>
      <c r="D343" s="322"/>
      <c r="E343" s="113" t="s">
        <v>650</v>
      </c>
      <c r="F343" s="322">
        <v>0</v>
      </c>
      <c r="G343" s="443" t="s">
        <v>781</v>
      </c>
    </row>
    <row r="344" spans="3:7" s="321" customFormat="1" ht="31.5" x14ac:dyDescent="0.25">
      <c r="C344" s="782"/>
      <c r="D344" s="322"/>
      <c r="E344" s="113" t="s">
        <v>810</v>
      </c>
      <c r="F344" s="8">
        <v>0</v>
      </c>
      <c r="G344" s="443" t="s">
        <v>690</v>
      </c>
    </row>
    <row r="345" spans="3:7" ht="31.5" x14ac:dyDescent="0.25">
      <c r="C345" s="782"/>
      <c r="D345" s="322"/>
      <c r="E345" s="113" t="s">
        <v>571</v>
      </c>
      <c r="F345" s="322">
        <v>362</v>
      </c>
      <c r="G345" s="443" t="s">
        <v>781</v>
      </c>
    </row>
    <row r="346" spans="3:7" ht="31.5" x14ac:dyDescent="0.25">
      <c r="C346" s="782"/>
      <c r="D346" s="322"/>
      <c r="E346" s="113" t="s">
        <v>810</v>
      </c>
      <c r="F346" s="8">
        <v>1.3</v>
      </c>
      <c r="G346" s="443" t="s">
        <v>690</v>
      </c>
    </row>
    <row r="347" spans="3:7" ht="31.5" x14ac:dyDescent="0.25">
      <c r="C347" s="782"/>
      <c r="D347" s="322"/>
      <c r="E347" s="113" t="s">
        <v>593</v>
      </c>
      <c r="F347" s="322">
        <v>1328</v>
      </c>
      <c r="G347" s="443" t="s">
        <v>781</v>
      </c>
    </row>
    <row r="348" spans="3:7" s="321" customFormat="1" ht="31.5" x14ac:dyDescent="0.25">
      <c r="C348" s="782"/>
      <c r="D348" s="322"/>
      <c r="E348" s="113" t="s">
        <v>810</v>
      </c>
      <c r="F348" s="8">
        <v>2.7</v>
      </c>
      <c r="G348" s="443" t="s">
        <v>690</v>
      </c>
    </row>
    <row r="349" spans="3:7" s="321" customFormat="1" ht="31.5" x14ac:dyDescent="0.25">
      <c r="C349" s="782"/>
      <c r="D349" s="322"/>
      <c r="E349" s="113" t="s">
        <v>572</v>
      </c>
      <c r="F349" s="322">
        <v>72.16</v>
      </c>
      <c r="G349" s="443" t="s">
        <v>781</v>
      </c>
    </row>
    <row r="350" spans="3:7" s="321" customFormat="1" ht="31.5" x14ac:dyDescent="0.25">
      <c r="C350" s="782"/>
      <c r="D350" s="322"/>
      <c r="E350" s="113" t="s">
        <v>810</v>
      </c>
      <c r="F350" s="8">
        <v>1.03</v>
      </c>
      <c r="G350" s="443" t="s">
        <v>690</v>
      </c>
    </row>
    <row r="351" spans="3:7" s="321" customFormat="1" ht="31.5" x14ac:dyDescent="0.25">
      <c r="C351" s="782"/>
      <c r="D351" s="322"/>
      <c r="E351" s="113" t="s">
        <v>617</v>
      </c>
      <c r="F351" s="322">
        <v>302</v>
      </c>
      <c r="G351" s="443" t="s">
        <v>781</v>
      </c>
    </row>
    <row r="352" spans="3:7" s="321" customFormat="1" ht="31.5" x14ac:dyDescent="0.25">
      <c r="C352" s="782"/>
      <c r="D352" s="322"/>
      <c r="E352" s="113" t="s">
        <v>810</v>
      </c>
      <c r="F352" s="8">
        <v>1.35</v>
      </c>
      <c r="G352" s="443" t="s">
        <v>690</v>
      </c>
    </row>
    <row r="353" spans="3:7" s="321" customFormat="1" ht="31.5" x14ac:dyDescent="0.25">
      <c r="C353" s="782"/>
      <c r="D353" s="322"/>
      <c r="E353" s="113" t="s">
        <v>618</v>
      </c>
      <c r="F353" s="322">
        <v>228</v>
      </c>
      <c r="G353" s="443" t="s">
        <v>781</v>
      </c>
    </row>
    <row r="354" spans="3:7" s="321" customFormat="1" ht="31.5" x14ac:dyDescent="0.25">
      <c r="C354" s="782"/>
      <c r="D354" s="322"/>
      <c r="E354" s="113" t="s">
        <v>810</v>
      </c>
      <c r="F354" s="8">
        <v>6.3</v>
      </c>
      <c r="G354" s="443" t="s">
        <v>690</v>
      </c>
    </row>
    <row r="355" spans="3:7" s="321" customFormat="1" ht="31.5" x14ac:dyDescent="0.25">
      <c r="C355" s="782"/>
      <c r="D355" s="322"/>
      <c r="E355" s="113" t="s">
        <v>550</v>
      </c>
      <c r="F355" s="322">
        <v>0</v>
      </c>
      <c r="G355" s="443" t="s">
        <v>781</v>
      </c>
    </row>
    <row r="356" spans="3:7" s="321" customFormat="1" ht="31.5" x14ac:dyDescent="0.25">
      <c r="C356" s="782"/>
      <c r="D356" s="322"/>
      <c r="E356" s="113" t="s">
        <v>810</v>
      </c>
      <c r="F356" s="8">
        <v>1.9</v>
      </c>
      <c r="G356" s="443" t="s">
        <v>690</v>
      </c>
    </row>
    <row r="357" spans="3:7" ht="18.75" x14ac:dyDescent="0.3">
      <c r="C357" s="782"/>
      <c r="D357" s="322"/>
      <c r="E357" s="367" t="s">
        <v>748</v>
      </c>
      <c r="G357" s="444"/>
    </row>
    <row r="358" spans="3:7" ht="31.5" x14ac:dyDescent="0.25">
      <c r="C358" s="782"/>
      <c r="D358" s="322"/>
      <c r="E358" s="113" t="s">
        <v>444</v>
      </c>
      <c r="F358" s="322">
        <v>7946</v>
      </c>
      <c r="G358" s="443" t="s">
        <v>781</v>
      </c>
    </row>
    <row r="359" spans="3:7" ht="31.5" x14ac:dyDescent="0.25">
      <c r="C359" s="782"/>
      <c r="D359" s="322"/>
      <c r="E359" s="113" t="s">
        <v>810</v>
      </c>
      <c r="F359" s="8">
        <v>7.5</v>
      </c>
      <c r="G359" s="443" t="s">
        <v>690</v>
      </c>
    </row>
    <row r="360" spans="3:7" ht="31.5" x14ac:dyDescent="0.25">
      <c r="C360" s="782"/>
      <c r="D360" s="322"/>
      <c r="E360" s="113" t="s">
        <v>573</v>
      </c>
      <c r="F360" s="322">
        <v>0</v>
      </c>
      <c r="G360" s="443" t="s">
        <v>781</v>
      </c>
    </row>
    <row r="361" spans="3:7" ht="31.5" x14ac:dyDescent="0.25">
      <c r="C361" s="782"/>
      <c r="D361" s="322"/>
      <c r="E361" s="113" t="s">
        <v>810</v>
      </c>
      <c r="F361" s="8">
        <v>0.1</v>
      </c>
      <c r="G361" s="443" t="s">
        <v>690</v>
      </c>
    </row>
    <row r="362" spans="3:7" ht="31.5" x14ac:dyDescent="0.25">
      <c r="C362" s="782"/>
      <c r="D362" s="322"/>
      <c r="E362" s="113" t="s">
        <v>445</v>
      </c>
      <c r="F362" s="322">
        <v>6565</v>
      </c>
      <c r="G362" s="443" t="s">
        <v>781</v>
      </c>
    </row>
    <row r="363" spans="3:7" ht="31.5" x14ac:dyDescent="0.25">
      <c r="C363" s="782"/>
      <c r="D363" s="322"/>
      <c r="E363" s="113" t="s">
        <v>810</v>
      </c>
      <c r="F363" s="8">
        <v>8.7799999999999994</v>
      </c>
      <c r="G363" s="443" t="s">
        <v>690</v>
      </c>
    </row>
    <row r="364" spans="3:7" ht="31.5" x14ac:dyDescent="0.25">
      <c r="C364" s="782"/>
      <c r="D364" s="322"/>
      <c r="E364" s="113" t="s">
        <v>446</v>
      </c>
      <c r="F364" s="322">
        <v>10236</v>
      </c>
      <c r="G364" s="443" t="s">
        <v>781</v>
      </c>
    </row>
    <row r="365" spans="3:7" s="321" customFormat="1" ht="31.5" x14ac:dyDescent="0.25">
      <c r="C365" s="782"/>
      <c r="D365" s="322"/>
      <c r="E365" s="113" t="s">
        <v>810</v>
      </c>
      <c r="F365" s="8">
        <v>8.77</v>
      </c>
      <c r="G365" s="443" t="s">
        <v>690</v>
      </c>
    </row>
    <row r="366" spans="3:7" s="321" customFormat="1" ht="31.5" x14ac:dyDescent="0.25">
      <c r="C366" s="782"/>
      <c r="D366" s="322"/>
      <c r="E366" s="113" t="s">
        <v>447</v>
      </c>
      <c r="F366" s="322">
        <v>2389</v>
      </c>
      <c r="G366" s="443" t="s">
        <v>781</v>
      </c>
    </row>
    <row r="367" spans="3:7" s="321" customFormat="1" ht="31.5" x14ac:dyDescent="0.25">
      <c r="C367" s="782"/>
      <c r="D367" s="322"/>
      <c r="E367" s="113" t="s">
        <v>810</v>
      </c>
      <c r="F367" s="8">
        <v>7.47</v>
      </c>
      <c r="G367" s="443" t="s">
        <v>690</v>
      </c>
    </row>
    <row r="368" spans="3:7" s="321" customFormat="1" ht="31.5" x14ac:dyDescent="0.25">
      <c r="C368" s="782"/>
      <c r="D368" s="322"/>
      <c r="E368" s="113" t="s">
        <v>448</v>
      </c>
      <c r="F368" s="322">
        <v>392</v>
      </c>
      <c r="G368" s="443" t="s">
        <v>781</v>
      </c>
    </row>
    <row r="369" spans="3:7" s="321" customFormat="1" ht="31.5" x14ac:dyDescent="0.25">
      <c r="C369" s="782"/>
      <c r="D369" s="322"/>
      <c r="E369" s="113" t="s">
        <v>810</v>
      </c>
      <c r="F369" s="8">
        <v>5.16</v>
      </c>
      <c r="G369" s="443" t="s">
        <v>690</v>
      </c>
    </row>
    <row r="370" spans="3:7" ht="31.5" x14ac:dyDescent="0.25">
      <c r="C370" s="782"/>
      <c r="D370" s="322"/>
      <c r="E370" s="113" t="s">
        <v>200</v>
      </c>
      <c r="F370" s="322">
        <v>530</v>
      </c>
      <c r="G370" s="443" t="s">
        <v>781</v>
      </c>
    </row>
    <row r="371" spans="3:7" ht="31.5" x14ac:dyDescent="0.25">
      <c r="C371" s="782"/>
      <c r="D371" s="322"/>
      <c r="E371" s="113" t="s">
        <v>810</v>
      </c>
      <c r="F371" s="8">
        <v>6.13</v>
      </c>
      <c r="G371" s="443" t="s">
        <v>690</v>
      </c>
    </row>
    <row r="372" spans="3:7" ht="31.5" x14ac:dyDescent="0.25">
      <c r="C372" s="782"/>
      <c r="D372" s="322"/>
      <c r="E372" s="113" t="s">
        <v>574</v>
      </c>
      <c r="F372" s="322">
        <v>227</v>
      </c>
      <c r="G372" s="443" t="s">
        <v>781</v>
      </c>
    </row>
    <row r="373" spans="3:7" ht="31.5" x14ac:dyDescent="0.25">
      <c r="C373" s="782"/>
      <c r="D373" s="322"/>
      <c r="E373" s="113" t="s">
        <v>810</v>
      </c>
      <c r="F373" s="8">
        <v>5.3</v>
      </c>
      <c r="G373" s="443" t="s">
        <v>690</v>
      </c>
    </row>
    <row r="374" spans="3:7" ht="31.5" x14ac:dyDescent="0.25">
      <c r="C374" s="782"/>
      <c r="D374" s="322"/>
      <c r="E374" s="113" t="s">
        <v>651</v>
      </c>
      <c r="F374" s="322">
        <v>0</v>
      </c>
      <c r="G374" s="443" t="s">
        <v>781</v>
      </c>
    </row>
    <row r="375" spans="3:7" ht="31.5" x14ac:dyDescent="0.25">
      <c r="C375" s="782"/>
      <c r="D375" s="322"/>
      <c r="E375" s="113" t="s">
        <v>810</v>
      </c>
      <c r="F375" s="8">
        <v>0</v>
      </c>
      <c r="G375" s="443" t="s">
        <v>690</v>
      </c>
    </row>
    <row r="376" spans="3:7" ht="31.5" x14ac:dyDescent="0.25">
      <c r="C376" s="782"/>
      <c r="D376" s="322"/>
      <c r="E376" s="113" t="s">
        <v>616</v>
      </c>
      <c r="F376" s="322">
        <v>442</v>
      </c>
      <c r="G376" s="443" t="s">
        <v>781</v>
      </c>
    </row>
    <row r="377" spans="3:7" ht="31.5" x14ac:dyDescent="0.25">
      <c r="C377" s="782"/>
      <c r="D377" s="322"/>
      <c r="E377" s="113" t="s">
        <v>810</v>
      </c>
      <c r="F377" s="8">
        <v>9.5</v>
      </c>
      <c r="G377" s="443" t="s">
        <v>690</v>
      </c>
    </row>
    <row r="378" spans="3:7" ht="31.5" x14ac:dyDescent="0.25">
      <c r="C378" s="782"/>
      <c r="D378" s="322"/>
      <c r="E378" s="113" t="s">
        <v>449</v>
      </c>
      <c r="F378" s="322">
        <v>0</v>
      </c>
      <c r="G378" s="443" t="s">
        <v>781</v>
      </c>
    </row>
    <row r="379" spans="3:7" s="321" customFormat="1" ht="31.5" x14ac:dyDescent="0.25">
      <c r="C379" s="782"/>
      <c r="D379" s="322"/>
      <c r="E379" s="113" t="s">
        <v>810</v>
      </c>
      <c r="F379" s="8">
        <v>0.1</v>
      </c>
      <c r="G379" s="443" t="s">
        <v>690</v>
      </c>
    </row>
    <row r="380" spans="3:7" s="321" customFormat="1" ht="31.5" x14ac:dyDescent="0.25">
      <c r="C380" s="782"/>
      <c r="D380" s="322"/>
      <c r="E380" s="113" t="s">
        <v>450</v>
      </c>
      <c r="F380" s="322">
        <v>25522</v>
      </c>
      <c r="G380" s="443" t="s">
        <v>781</v>
      </c>
    </row>
    <row r="381" spans="3:7" s="321" customFormat="1" ht="31.5" x14ac:dyDescent="0.25">
      <c r="C381" s="782"/>
      <c r="D381" s="322"/>
      <c r="E381" s="113" t="s">
        <v>810</v>
      </c>
      <c r="F381" s="8">
        <v>8.3000000000000007</v>
      </c>
      <c r="G381" s="443" t="s">
        <v>690</v>
      </c>
    </row>
    <row r="382" spans="3:7" s="321" customFormat="1" ht="31.5" x14ac:dyDescent="0.25">
      <c r="C382" s="782"/>
      <c r="D382" s="322"/>
      <c r="E382" s="113" t="s">
        <v>324</v>
      </c>
      <c r="F382" s="322">
        <v>1521</v>
      </c>
      <c r="G382" s="443" t="s">
        <v>781</v>
      </c>
    </row>
    <row r="383" spans="3:7" s="321" customFormat="1" ht="31.5" x14ac:dyDescent="0.25">
      <c r="C383" s="782"/>
      <c r="D383" s="322"/>
      <c r="E383" s="113" t="s">
        <v>810</v>
      </c>
      <c r="F383" s="8">
        <v>3.43</v>
      </c>
      <c r="G383" s="443" t="s">
        <v>690</v>
      </c>
    </row>
    <row r="384" spans="3:7" s="321" customFormat="1" ht="31.5" x14ac:dyDescent="0.25">
      <c r="C384" s="782"/>
      <c r="D384" s="322"/>
      <c r="E384" s="113" t="s">
        <v>575</v>
      </c>
      <c r="F384" s="322">
        <v>228</v>
      </c>
      <c r="G384" s="443" t="s">
        <v>781</v>
      </c>
    </row>
    <row r="385" spans="3:8" s="321" customFormat="1" ht="31.5" x14ac:dyDescent="0.25">
      <c r="C385" s="782"/>
      <c r="D385" s="322"/>
      <c r="E385" s="113" t="s">
        <v>810</v>
      </c>
      <c r="F385" s="8">
        <v>2.91</v>
      </c>
      <c r="G385" s="443" t="s">
        <v>690</v>
      </c>
    </row>
    <row r="386" spans="3:8" s="321" customFormat="1" ht="31.5" x14ac:dyDescent="0.25">
      <c r="C386" s="782"/>
      <c r="D386" s="322"/>
      <c r="E386" s="113" t="s">
        <v>576</v>
      </c>
      <c r="F386" s="322">
        <v>50</v>
      </c>
      <c r="G386" s="443" t="s">
        <v>781</v>
      </c>
    </row>
    <row r="387" spans="3:8" s="321" customFormat="1" ht="31.5" x14ac:dyDescent="0.25">
      <c r="C387" s="782"/>
      <c r="D387" s="322"/>
      <c r="E387" s="113" t="s">
        <v>810</v>
      </c>
      <c r="F387" s="8">
        <v>1.4</v>
      </c>
      <c r="G387" s="443" t="s">
        <v>690</v>
      </c>
    </row>
    <row r="388" spans="3:8" s="321" customFormat="1" ht="31.5" x14ac:dyDescent="0.25">
      <c r="C388" s="782"/>
      <c r="D388" s="322"/>
      <c r="E388" s="113" t="s">
        <v>577</v>
      </c>
      <c r="F388" s="322">
        <v>0</v>
      </c>
      <c r="G388" s="443" t="s">
        <v>781</v>
      </c>
    </row>
    <row r="389" spans="3:8" s="321" customFormat="1" ht="31.5" x14ac:dyDescent="0.25">
      <c r="C389" s="782"/>
      <c r="D389" s="322"/>
      <c r="E389" s="113" t="s">
        <v>810</v>
      </c>
      <c r="F389" s="8">
        <v>0.1</v>
      </c>
      <c r="G389" s="443" t="s">
        <v>690</v>
      </c>
    </row>
    <row r="390" spans="3:8" s="321" customFormat="1" ht="31.5" x14ac:dyDescent="0.25">
      <c r="C390" s="782"/>
      <c r="D390" s="322"/>
      <c r="E390" s="113" t="s">
        <v>455</v>
      </c>
      <c r="F390" s="322">
        <v>75</v>
      </c>
      <c r="G390" s="443" t="s">
        <v>781</v>
      </c>
    </row>
    <row r="391" spans="3:8" s="321" customFormat="1" ht="31.5" x14ac:dyDescent="0.25">
      <c r="C391" s="782"/>
      <c r="D391" s="322"/>
      <c r="E391" s="113" t="s">
        <v>810</v>
      </c>
      <c r="F391" s="8">
        <v>1.5</v>
      </c>
      <c r="G391" s="443" t="s">
        <v>690</v>
      </c>
    </row>
    <row r="392" spans="3:8" ht="18.75" x14ac:dyDescent="0.3">
      <c r="C392" s="782"/>
      <c r="D392" s="322"/>
      <c r="E392" s="367" t="s">
        <v>749</v>
      </c>
      <c r="G392" s="444"/>
    </row>
    <row r="393" spans="3:8" ht="36" x14ac:dyDescent="0.25">
      <c r="C393" s="782"/>
      <c r="D393" s="322"/>
      <c r="E393" s="431" t="s">
        <v>750</v>
      </c>
      <c r="F393" s="322">
        <v>348</v>
      </c>
      <c r="G393" s="443" t="s">
        <v>690</v>
      </c>
      <c r="H393" s="14"/>
    </row>
    <row r="394" spans="3:8" s="321" customFormat="1" ht="36" x14ac:dyDescent="0.25">
      <c r="C394" s="782"/>
      <c r="D394" s="322"/>
      <c r="E394" s="431" t="s">
        <v>811</v>
      </c>
      <c r="F394" s="8">
        <v>1</v>
      </c>
      <c r="G394" s="443"/>
    </row>
    <row r="395" spans="3:8" ht="36" x14ac:dyDescent="0.25">
      <c r="C395" s="782"/>
      <c r="D395" s="322"/>
      <c r="E395" s="431" t="s">
        <v>751</v>
      </c>
      <c r="F395" s="322">
        <v>0</v>
      </c>
      <c r="G395" s="443" t="s">
        <v>690</v>
      </c>
    </row>
    <row r="396" spans="3:8" ht="31.5" x14ac:dyDescent="0.25">
      <c r="C396" s="782"/>
      <c r="D396" s="322"/>
      <c r="E396" s="432" t="s">
        <v>752</v>
      </c>
      <c r="F396" s="322">
        <v>0</v>
      </c>
      <c r="G396" s="443" t="s">
        <v>690</v>
      </c>
    </row>
    <row r="397" spans="3:8" ht="20.25" x14ac:dyDescent="0.3">
      <c r="C397" s="782"/>
      <c r="D397" s="322"/>
      <c r="E397" s="433" t="s">
        <v>761</v>
      </c>
      <c r="G397" s="444"/>
    </row>
    <row r="398" spans="3:8" ht="31.5" x14ac:dyDescent="0.25">
      <c r="C398" s="782"/>
      <c r="D398" s="322"/>
      <c r="E398" s="411" t="s">
        <v>762</v>
      </c>
      <c r="F398" s="322">
        <v>2236</v>
      </c>
      <c r="G398" s="443" t="s">
        <v>690</v>
      </c>
    </row>
    <row r="399" spans="3:8" ht="31.5" x14ac:dyDescent="0.25">
      <c r="C399" s="782"/>
      <c r="D399" s="322"/>
      <c r="E399" s="411" t="s">
        <v>763</v>
      </c>
      <c r="F399" s="322">
        <v>0</v>
      </c>
      <c r="G399" s="443" t="s">
        <v>690</v>
      </c>
    </row>
    <row r="400" spans="3:8" ht="31.5" x14ac:dyDescent="0.25">
      <c r="C400" s="782"/>
      <c r="D400" s="322"/>
      <c r="E400" s="411" t="s">
        <v>764</v>
      </c>
      <c r="F400" s="322">
        <v>0</v>
      </c>
      <c r="G400" s="443" t="s">
        <v>690</v>
      </c>
    </row>
    <row r="401" spans="3:7" ht="20.25" x14ac:dyDescent="0.3">
      <c r="C401" s="782"/>
      <c r="D401" s="322"/>
      <c r="E401" s="409" t="s">
        <v>34</v>
      </c>
      <c r="G401" s="444"/>
    </row>
    <row r="402" spans="3:7" ht="31.5" x14ac:dyDescent="0.25">
      <c r="C402" s="782"/>
      <c r="D402" s="322"/>
      <c r="E402" s="411" t="s">
        <v>765</v>
      </c>
      <c r="F402" s="322">
        <v>1</v>
      </c>
      <c r="G402" s="443" t="s">
        <v>782</v>
      </c>
    </row>
    <row r="403" spans="3:7" ht="31.5" x14ac:dyDescent="0.25">
      <c r="C403" s="782"/>
      <c r="D403" s="322"/>
      <c r="E403" s="408" t="s">
        <v>766</v>
      </c>
      <c r="F403" s="322">
        <v>36217</v>
      </c>
      <c r="G403" s="443" t="s">
        <v>690</v>
      </c>
    </row>
    <row r="404" spans="3:7" ht="36" x14ac:dyDescent="0.25">
      <c r="C404" s="782"/>
      <c r="D404" s="322"/>
      <c r="E404" s="434" t="s">
        <v>767</v>
      </c>
      <c r="F404" s="322">
        <v>0</v>
      </c>
      <c r="G404" s="443" t="s">
        <v>690</v>
      </c>
    </row>
    <row r="405" spans="3:7" ht="20.25" x14ac:dyDescent="0.3">
      <c r="C405" s="782"/>
      <c r="D405" s="322"/>
      <c r="E405" s="409" t="s">
        <v>768</v>
      </c>
      <c r="G405" s="444"/>
    </row>
    <row r="406" spans="3:7" ht="31.5" x14ac:dyDescent="0.25">
      <c r="C406" s="782"/>
      <c r="D406" s="322"/>
      <c r="E406" s="435" t="s">
        <v>769</v>
      </c>
      <c r="F406" s="322" t="s">
        <v>808</v>
      </c>
      <c r="G406" s="443" t="s">
        <v>690</v>
      </c>
    </row>
    <row r="407" spans="3:7" ht="31.5" x14ac:dyDescent="0.25">
      <c r="C407" s="782"/>
      <c r="D407" s="322"/>
      <c r="E407" s="435" t="s">
        <v>770</v>
      </c>
      <c r="F407" s="322">
        <v>0</v>
      </c>
      <c r="G407" s="443" t="s">
        <v>690</v>
      </c>
    </row>
    <row r="408" spans="3:7" ht="31.5" x14ac:dyDescent="0.25">
      <c r="C408" s="782"/>
      <c r="D408" s="322"/>
      <c r="E408" s="406" t="s">
        <v>210</v>
      </c>
      <c r="F408" s="322">
        <v>0</v>
      </c>
      <c r="G408" s="443" t="s">
        <v>690</v>
      </c>
    </row>
    <row r="409" spans="3:7" ht="20.25" x14ac:dyDescent="0.3">
      <c r="C409" s="782"/>
      <c r="D409" s="322"/>
      <c r="E409" s="409" t="s">
        <v>771</v>
      </c>
      <c r="G409" s="444"/>
    </row>
    <row r="410" spans="3:7" ht="54" x14ac:dyDescent="0.25">
      <c r="C410" s="782"/>
      <c r="D410" s="322" t="s">
        <v>775</v>
      </c>
      <c r="E410" s="407" t="s">
        <v>772</v>
      </c>
      <c r="F410" s="322">
        <v>14</v>
      </c>
      <c r="G410" s="443" t="s">
        <v>690</v>
      </c>
    </row>
    <row r="411" spans="3:7" ht="72" x14ac:dyDescent="0.25">
      <c r="C411" s="782"/>
      <c r="D411" s="322"/>
      <c r="E411" s="407" t="s">
        <v>773</v>
      </c>
      <c r="F411" s="322">
        <v>5.37</v>
      </c>
      <c r="G411" s="443" t="s">
        <v>690</v>
      </c>
    </row>
    <row r="412" spans="3:7" ht="36" x14ac:dyDescent="0.25">
      <c r="C412" s="782"/>
      <c r="D412" s="322"/>
      <c r="E412" s="407" t="s">
        <v>774</v>
      </c>
      <c r="F412" s="322">
        <v>1.4</v>
      </c>
      <c r="G412" s="443" t="s">
        <v>690</v>
      </c>
    </row>
    <row r="413" spans="3:7" ht="54" x14ac:dyDescent="0.25">
      <c r="C413" s="782"/>
      <c r="D413" s="322"/>
      <c r="E413" s="357" t="s">
        <v>776</v>
      </c>
      <c r="F413" s="322">
        <v>899</v>
      </c>
      <c r="G413" s="443" t="s">
        <v>690</v>
      </c>
    </row>
    <row r="414" spans="3:7" ht="32.25" x14ac:dyDescent="0.3">
      <c r="C414" s="782"/>
      <c r="D414" s="322"/>
      <c r="E414" s="436" t="s">
        <v>777</v>
      </c>
      <c r="F414" s="322">
        <v>0</v>
      </c>
      <c r="G414" s="443" t="s">
        <v>690</v>
      </c>
    </row>
    <row r="415" spans="3:7" ht="32.25" x14ac:dyDescent="0.3">
      <c r="C415" s="782"/>
      <c r="D415" s="322"/>
      <c r="E415" s="436" t="s">
        <v>777</v>
      </c>
      <c r="F415" s="322">
        <v>0</v>
      </c>
      <c r="G415" s="443" t="s">
        <v>690</v>
      </c>
    </row>
    <row r="416" spans="3:7" ht="33" thickBot="1" x14ac:dyDescent="0.35">
      <c r="C416" s="783"/>
      <c r="D416" s="463"/>
      <c r="E416" s="464" t="s">
        <v>777</v>
      </c>
      <c r="F416" s="465">
        <v>24</v>
      </c>
      <c r="G416" s="451" t="s">
        <v>690</v>
      </c>
    </row>
  </sheetData>
  <mergeCells count="17">
    <mergeCell ref="H209:H217"/>
    <mergeCell ref="D62:D88"/>
    <mergeCell ref="C62:C88"/>
    <mergeCell ref="C6:C55"/>
    <mergeCell ref="C143:C416"/>
    <mergeCell ref="H157:H176"/>
    <mergeCell ref="H182:H185"/>
    <mergeCell ref="D116:D142"/>
    <mergeCell ref="D89:D115"/>
    <mergeCell ref="C89:C115"/>
    <mergeCell ref="C116:C142"/>
    <mergeCell ref="D42:D55"/>
    <mergeCell ref="C56:C61"/>
    <mergeCell ref="D56:D61"/>
    <mergeCell ref="D6:D34"/>
    <mergeCell ref="D35:D40"/>
    <mergeCell ref="H196:H208"/>
  </mergeCells>
  <pageMargins left="0.7" right="0.7" top="0.75" bottom="0.75" header="0.3" footer="0.3"/>
  <pageSetup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00B050"/>
    <pageSetUpPr fitToPage="1"/>
  </sheetPr>
  <dimension ref="A1:XFD450"/>
  <sheetViews>
    <sheetView zoomScale="62" zoomScaleNormal="62" zoomScalePageLayoutView="62" workbookViewId="0">
      <selection activeCell="Y19" sqref="Y19"/>
    </sheetView>
  </sheetViews>
  <sheetFormatPr defaultColWidth="0" defaultRowHeight="15.75" x14ac:dyDescent="0.25"/>
  <cols>
    <col min="1" max="1" width="49.625" style="10" customWidth="1"/>
    <col min="2" max="2" width="24.875" style="10" bestFit="1" customWidth="1"/>
    <col min="3" max="3" width="33.5" style="10" customWidth="1"/>
    <col min="4" max="5" width="28.5" style="10" customWidth="1"/>
    <col min="6" max="6" width="48.875" style="10" bestFit="1" customWidth="1"/>
    <col min="7" max="7" width="29.625" style="10" customWidth="1"/>
    <col min="8" max="9" width="22.625" style="113" customWidth="1"/>
    <col min="10" max="10" width="31.125" style="113" customWidth="1"/>
    <col min="11" max="11" width="24.625" style="113" customWidth="1"/>
    <col min="12" max="12" width="22.125" style="113" bestFit="1" customWidth="1"/>
    <col min="13" max="13" width="28.125" style="10" customWidth="1"/>
    <col min="14" max="14" width="29.125" style="10" customWidth="1"/>
    <col min="15" max="15" width="22" style="10" customWidth="1"/>
    <col min="16" max="21" width="11" style="10" customWidth="1"/>
    <col min="22" max="22" width="15" style="10" customWidth="1"/>
    <col min="23" max="23" width="22.125" style="10" bestFit="1" customWidth="1"/>
    <col min="24" max="24" width="27.5" style="10" customWidth="1"/>
    <col min="25" max="25" width="25.5" style="10" customWidth="1"/>
    <col min="26" max="27" width="11" style="10" customWidth="1"/>
    <col min="28" max="16384" width="0" style="10" hidden="1"/>
  </cols>
  <sheetData>
    <row r="1" spans="1:13" ht="21" x14ac:dyDescent="0.35">
      <c r="A1" s="123" t="s">
        <v>56</v>
      </c>
      <c r="C1" s="540" t="s">
        <v>546</v>
      </c>
      <c r="H1" s="108" t="s">
        <v>109</v>
      </c>
      <c r="I1" s="10"/>
      <c r="J1" s="10"/>
      <c r="K1" s="10"/>
      <c r="L1" s="10"/>
    </row>
    <row r="2" spans="1:13" x14ac:dyDescent="0.25">
      <c r="B2" s="22"/>
      <c r="H2" s="111"/>
      <c r="I2" s="10"/>
      <c r="J2" s="10"/>
      <c r="K2" s="10"/>
      <c r="L2" s="10"/>
    </row>
    <row r="3" spans="1:13" x14ac:dyDescent="0.25">
      <c r="A3" s="3" t="s">
        <v>36</v>
      </c>
      <c r="B3" s="22"/>
      <c r="H3" s="111"/>
      <c r="I3" s="10"/>
      <c r="J3" s="10"/>
      <c r="K3" s="10"/>
      <c r="L3" s="10"/>
    </row>
    <row r="4" spans="1:13" x14ac:dyDescent="0.25">
      <c r="A4" s="3"/>
      <c r="B4" s="10" t="s">
        <v>98</v>
      </c>
      <c r="C4" s="10" t="s">
        <v>97</v>
      </c>
      <c r="H4" s="109" t="s">
        <v>95</v>
      </c>
      <c r="I4" s="10"/>
      <c r="J4" s="10"/>
      <c r="K4" s="10"/>
      <c r="L4" s="10"/>
    </row>
    <row r="5" spans="1:13" x14ac:dyDescent="0.25">
      <c r="A5" s="10" t="s">
        <v>96</v>
      </c>
      <c r="B5" s="69">
        <v>1</v>
      </c>
      <c r="C5" s="69"/>
      <c r="H5" s="109">
        <v>1</v>
      </c>
      <c r="I5" s="10"/>
      <c r="J5" s="10"/>
      <c r="K5" s="10"/>
      <c r="L5" s="10"/>
    </row>
    <row r="6" spans="1:13" x14ac:dyDescent="0.25">
      <c r="A6" s="10" t="s">
        <v>33</v>
      </c>
      <c r="B6" s="539">
        <f>'Inputs advanced'!F152</f>
        <v>4.9399999999999995</v>
      </c>
      <c r="C6" s="70"/>
      <c r="H6" s="110">
        <f>IF(B6=".",C6/Conversiones!$C$7,B6)</f>
        <v>4.9399999999999995</v>
      </c>
      <c r="I6" s="10"/>
      <c r="J6" s="10"/>
      <c r="K6" s="10"/>
      <c r="L6" s="10"/>
    </row>
    <row r="7" spans="1:13" x14ac:dyDescent="0.25">
      <c r="A7" s="10" t="s">
        <v>14</v>
      </c>
      <c r="B7" s="238">
        <f>'Inputs advanced'!F151</f>
        <v>7.87</v>
      </c>
      <c r="C7" s="70"/>
      <c r="H7" s="110">
        <f>IF(B7=".",C7/Conversiones!$C$7,B7)</f>
        <v>7.87</v>
      </c>
      <c r="I7" s="10"/>
      <c r="J7" s="10"/>
      <c r="K7" s="10"/>
      <c r="L7" s="10"/>
    </row>
    <row r="8" spans="1:13" x14ac:dyDescent="0.25">
      <c r="B8" s="22"/>
      <c r="H8" s="111"/>
      <c r="I8" s="10"/>
      <c r="J8" s="10"/>
      <c r="K8" s="10"/>
      <c r="L8" s="10"/>
    </row>
    <row r="9" spans="1:13" x14ac:dyDescent="0.25">
      <c r="B9" s="22"/>
      <c r="H9" s="111"/>
      <c r="I9" s="10"/>
      <c r="J9" s="10"/>
      <c r="K9" s="10"/>
      <c r="L9" s="10"/>
    </row>
    <row r="10" spans="1:13" x14ac:dyDescent="0.25">
      <c r="B10" s="22"/>
      <c r="H10" s="111"/>
      <c r="I10" s="10"/>
      <c r="J10" s="10"/>
      <c r="K10" s="10"/>
      <c r="L10" s="10"/>
    </row>
    <row r="11" spans="1:13" x14ac:dyDescent="0.25">
      <c r="A11" s="19"/>
      <c r="B11" s="23"/>
      <c r="C11" s="19"/>
      <c r="G11" s="3"/>
      <c r="H11" s="112"/>
      <c r="I11" s="3"/>
      <c r="J11" s="10"/>
      <c r="K11" s="10"/>
      <c r="L11" s="10"/>
    </row>
    <row r="12" spans="1:13" x14ac:dyDescent="0.25">
      <c r="B12" s="238"/>
      <c r="C12" s="71"/>
      <c r="G12" s="3"/>
      <c r="H12" s="112"/>
      <c r="I12" s="3"/>
      <c r="J12" s="10"/>
      <c r="K12" s="10"/>
      <c r="L12" s="10"/>
    </row>
    <row r="13" spans="1:13" x14ac:dyDescent="0.25">
      <c r="B13" s="238"/>
      <c r="C13" s="71"/>
      <c r="G13" s="3"/>
      <c r="H13" s="112"/>
      <c r="I13" s="3"/>
      <c r="J13" s="10"/>
      <c r="K13" s="10"/>
      <c r="L13" s="10"/>
    </row>
    <row r="14" spans="1:13" x14ac:dyDescent="0.25">
      <c r="B14" s="22"/>
      <c r="C14" s="71"/>
      <c r="G14" s="3"/>
      <c r="H14" s="112"/>
      <c r="I14" s="3"/>
      <c r="J14" s="10"/>
      <c r="K14" s="10"/>
      <c r="L14" s="10"/>
    </row>
    <row r="15" spans="1:13" x14ac:dyDescent="0.25">
      <c r="B15" s="22"/>
      <c r="C15" s="160"/>
      <c r="H15" s="111"/>
      <c r="I15" s="10"/>
      <c r="J15" s="31" t="s">
        <v>102</v>
      </c>
      <c r="K15" s="3"/>
      <c r="L15" s="3"/>
      <c r="M15" s="3"/>
    </row>
    <row r="16" spans="1:13" x14ac:dyDescent="0.25">
      <c r="B16" s="22"/>
      <c r="H16" s="111"/>
      <c r="I16" s="10"/>
      <c r="J16" s="3"/>
      <c r="K16" s="3"/>
      <c r="L16" s="3"/>
      <c r="M16" s="3"/>
    </row>
    <row r="17" spans="1:12" x14ac:dyDescent="0.25">
      <c r="A17" s="19" t="s">
        <v>15</v>
      </c>
      <c r="B17" s="23" t="s">
        <v>26</v>
      </c>
      <c r="C17" s="19"/>
      <c r="H17" s="111"/>
      <c r="I17" s="10"/>
      <c r="J17" s="10"/>
      <c r="K17" s="10"/>
      <c r="L17" s="10"/>
    </row>
    <row r="18" spans="1:12" ht="18" x14ac:dyDescent="0.25">
      <c r="A18" s="402" t="s">
        <v>601</v>
      </c>
      <c r="B18" s="536">
        <f>'Inputs advanced'!F157</f>
        <v>0.45</v>
      </c>
      <c r="C18" s="537"/>
      <c r="D18" s="376"/>
      <c r="H18" s="111"/>
      <c r="I18" s="10"/>
      <c r="J18" s="10"/>
      <c r="K18" s="10"/>
      <c r="L18" s="10"/>
    </row>
    <row r="19" spans="1:12" ht="18" x14ac:dyDescent="0.25">
      <c r="A19" s="402" t="s">
        <v>549</v>
      </c>
      <c r="B19" s="536">
        <f>'Inputs advanced'!F158</f>
        <v>0.4</v>
      </c>
      <c r="C19" s="537"/>
      <c r="D19" s="354"/>
      <c r="H19" s="111"/>
      <c r="I19" s="10"/>
      <c r="J19" s="10"/>
      <c r="K19" s="10"/>
      <c r="L19" s="10"/>
    </row>
    <row r="20" spans="1:12" ht="18" x14ac:dyDescent="0.25">
      <c r="A20" s="402" t="s">
        <v>590</v>
      </c>
      <c r="B20" s="536">
        <f>'Inputs advanced'!F159</f>
        <v>3.0000000000000001E-3</v>
      </c>
      <c r="C20" s="537"/>
      <c r="D20" s="354"/>
      <c r="H20" s="111"/>
      <c r="I20" s="10"/>
      <c r="J20" s="10"/>
      <c r="K20" s="10"/>
      <c r="L20" s="10"/>
    </row>
    <row r="21" spans="1:12" ht="18" x14ac:dyDescent="0.25">
      <c r="A21" s="402" t="s">
        <v>548</v>
      </c>
      <c r="B21" s="536">
        <f>'Inputs advanced'!F160</f>
        <v>2E-3</v>
      </c>
      <c r="C21" s="537"/>
      <c r="D21" s="354"/>
      <c r="H21" s="111"/>
      <c r="I21" s="10"/>
      <c r="J21" s="10"/>
      <c r="K21" s="10"/>
      <c r="L21" s="10"/>
    </row>
    <row r="22" spans="1:12" ht="18" x14ac:dyDescent="0.25">
      <c r="A22" s="402" t="s">
        <v>602</v>
      </c>
      <c r="B22" s="536">
        <f>'Inputs advanced'!F161</f>
        <v>5.2999999999999999E-2</v>
      </c>
      <c r="C22" s="537"/>
      <c r="D22" s="354"/>
      <c r="H22" s="111"/>
      <c r="I22" s="10"/>
      <c r="J22" s="10"/>
      <c r="K22" s="10"/>
      <c r="L22" s="10"/>
    </row>
    <row r="23" spans="1:12" ht="18" x14ac:dyDescent="0.25">
      <c r="A23" s="402" t="s">
        <v>680</v>
      </c>
      <c r="B23" s="536">
        <f>'Inputs advanced'!F162</f>
        <v>0</v>
      </c>
      <c r="C23" s="537"/>
      <c r="D23" s="354"/>
      <c r="H23" s="111"/>
      <c r="I23" s="10"/>
      <c r="J23" s="10"/>
      <c r="K23" s="10"/>
      <c r="L23" s="10"/>
    </row>
    <row r="24" spans="1:12" ht="18" x14ac:dyDescent="0.25">
      <c r="A24" s="402" t="s">
        <v>603</v>
      </c>
      <c r="B24" s="536">
        <f>'Inputs advanced'!F163</f>
        <v>0</v>
      </c>
      <c r="C24" s="537"/>
      <c r="D24" s="354"/>
      <c r="H24" s="111"/>
      <c r="I24" s="10"/>
      <c r="J24" s="10"/>
      <c r="K24" s="10"/>
      <c r="L24" s="10"/>
    </row>
    <row r="25" spans="1:12" ht="18" x14ac:dyDescent="0.25">
      <c r="A25" s="402" t="s">
        <v>5</v>
      </c>
      <c r="B25" s="536">
        <f>'Inputs advanced'!F164</f>
        <v>3.0000000000000001E-3</v>
      </c>
      <c r="C25" s="537"/>
      <c r="D25" s="354"/>
      <c r="H25" s="111"/>
      <c r="I25" s="10"/>
      <c r="J25" s="10"/>
      <c r="K25" s="10"/>
      <c r="L25" s="10"/>
    </row>
    <row r="26" spans="1:12" ht="18" x14ac:dyDescent="0.25">
      <c r="A26" s="402" t="s">
        <v>681</v>
      </c>
      <c r="B26" s="536">
        <f>'Inputs advanced'!F165</f>
        <v>0</v>
      </c>
      <c r="C26" s="537"/>
      <c r="D26" s="354"/>
      <c r="H26" s="111"/>
      <c r="I26" s="10"/>
      <c r="J26" s="10"/>
      <c r="K26" s="10"/>
      <c r="L26" s="10"/>
    </row>
    <row r="27" spans="1:12" ht="18" x14ac:dyDescent="0.25">
      <c r="A27" s="402" t="s">
        <v>555</v>
      </c>
      <c r="B27" s="536">
        <f>'Inputs advanced'!F166</f>
        <v>0</v>
      </c>
      <c r="C27" s="537"/>
      <c r="D27" s="354"/>
      <c r="H27" s="111"/>
      <c r="I27" s="10"/>
      <c r="J27" s="10"/>
      <c r="K27" s="10"/>
      <c r="L27" s="10"/>
    </row>
    <row r="28" spans="1:12" ht="18" x14ac:dyDescent="0.25">
      <c r="A28" s="402" t="s">
        <v>553</v>
      </c>
      <c r="B28" s="536">
        <f>'Inputs advanced'!F167</f>
        <v>0</v>
      </c>
      <c r="C28" s="537"/>
      <c r="D28" s="354"/>
      <c r="H28" s="111"/>
      <c r="I28" s="10"/>
      <c r="J28" s="10"/>
      <c r="K28" s="10"/>
      <c r="L28" s="10"/>
    </row>
    <row r="29" spans="1:12" ht="18" x14ac:dyDescent="0.25">
      <c r="A29" s="402" t="s">
        <v>554</v>
      </c>
      <c r="B29" s="536">
        <f>'Inputs advanced'!F168</f>
        <v>0</v>
      </c>
      <c r="C29" s="537"/>
      <c r="D29" s="354"/>
      <c r="H29" s="111"/>
      <c r="I29" s="10"/>
      <c r="J29" s="10"/>
      <c r="K29" s="10"/>
      <c r="L29" s="10"/>
    </row>
    <row r="30" spans="1:12" ht="18" x14ac:dyDescent="0.25">
      <c r="A30" s="402" t="s">
        <v>682</v>
      </c>
      <c r="B30" s="536">
        <f>'Inputs advanced'!F169</f>
        <v>0</v>
      </c>
      <c r="C30" s="537"/>
      <c r="D30" s="354"/>
      <c r="H30" s="111"/>
      <c r="I30" s="10"/>
      <c r="J30" s="10"/>
      <c r="K30" s="10"/>
      <c r="L30" s="10"/>
    </row>
    <row r="31" spans="1:12" ht="18" x14ac:dyDescent="0.25">
      <c r="A31" s="402" t="s">
        <v>606</v>
      </c>
      <c r="B31" s="536">
        <f>'Inputs advanced'!F170</f>
        <v>0</v>
      </c>
      <c r="C31" s="537"/>
      <c r="D31" s="354"/>
      <c r="H31" s="111"/>
      <c r="I31" s="10"/>
      <c r="J31" s="10"/>
      <c r="K31" s="10"/>
      <c r="L31" s="10"/>
    </row>
    <row r="32" spans="1:12" ht="18" x14ac:dyDescent="0.25">
      <c r="A32" s="402" t="s">
        <v>683</v>
      </c>
      <c r="B32" s="536">
        <f>'Inputs advanced'!F171</f>
        <v>0</v>
      </c>
      <c r="C32" s="537"/>
      <c r="D32" s="354"/>
      <c r="H32" s="111"/>
      <c r="I32" s="10"/>
      <c r="J32" s="10"/>
      <c r="K32" s="10"/>
      <c r="L32" s="10"/>
    </row>
    <row r="33" spans="1:13" ht="18" x14ac:dyDescent="0.25">
      <c r="A33" s="402" t="s">
        <v>684</v>
      </c>
      <c r="B33" s="536">
        <f>'Inputs advanced'!F172</f>
        <v>0</v>
      </c>
      <c r="C33" s="537"/>
      <c r="D33" s="354"/>
      <c r="H33" s="111"/>
      <c r="I33" s="10"/>
      <c r="J33" s="10"/>
      <c r="K33" s="10"/>
      <c r="L33" s="10"/>
    </row>
    <row r="34" spans="1:13" ht="18" x14ac:dyDescent="0.25">
      <c r="A34" s="402" t="s">
        <v>685</v>
      </c>
      <c r="B34" s="536">
        <f>'Inputs advanced'!F173</f>
        <v>0</v>
      </c>
      <c r="C34" s="537"/>
      <c r="D34" s="354"/>
      <c r="H34" s="111"/>
      <c r="I34" s="10"/>
      <c r="J34" s="10"/>
      <c r="K34" s="10"/>
      <c r="L34" s="10"/>
    </row>
    <row r="35" spans="1:13" ht="18" x14ac:dyDescent="0.25">
      <c r="A35" s="402" t="s">
        <v>686</v>
      </c>
      <c r="B35" s="536">
        <f>'Inputs advanced'!F174</f>
        <v>0</v>
      </c>
      <c r="C35" s="537"/>
      <c r="D35" s="354"/>
      <c r="H35" s="111"/>
      <c r="I35" s="10"/>
      <c r="J35" s="10"/>
      <c r="K35" s="10"/>
      <c r="L35" s="10"/>
    </row>
    <row r="36" spans="1:13" ht="18" x14ac:dyDescent="0.25">
      <c r="A36" s="402" t="s">
        <v>687</v>
      </c>
      <c r="B36" s="536">
        <f>'Inputs advanced'!F175</f>
        <v>0</v>
      </c>
      <c r="C36" s="537"/>
      <c r="D36" s="354"/>
      <c r="H36" s="111"/>
      <c r="I36" s="10"/>
      <c r="J36" s="10"/>
      <c r="K36" s="10"/>
      <c r="L36" s="10"/>
    </row>
    <row r="37" spans="1:13" ht="18" x14ac:dyDescent="0.25">
      <c r="A37" s="402" t="s">
        <v>688</v>
      </c>
      <c r="B37" s="536">
        <f>'Inputs advanced'!F176</f>
        <v>0.08</v>
      </c>
      <c r="C37" s="537"/>
      <c r="D37" s="354"/>
      <c r="H37" s="111"/>
      <c r="I37" s="10"/>
      <c r="J37" s="10"/>
      <c r="K37" s="10"/>
      <c r="L37" s="10"/>
    </row>
    <row r="38" spans="1:13" ht="18" x14ac:dyDescent="0.25">
      <c r="A38" s="113" t="s">
        <v>13</v>
      </c>
      <c r="B38" s="538">
        <f>SUM(B18:B30)</f>
        <v>0.91100000000000014</v>
      </c>
      <c r="C38" s="504"/>
      <c r="D38" s="354"/>
      <c r="H38" s="111"/>
      <c r="I38" s="10"/>
      <c r="J38" s="10"/>
      <c r="K38" s="10"/>
      <c r="L38" s="10"/>
    </row>
    <row r="39" spans="1:13" ht="18" x14ac:dyDescent="0.25">
      <c r="B39" s="30"/>
      <c r="C39" s="20"/>
      <c r="D39" s="354"/>
      <c r="H39" s="111"/>
      <c r="I39" s="10"/>
      <c r="J39" s="10"/>
      <c r="K39" s="10"/>
      <c r="L39" s="10"/>
    </row>
    <row r="40" spans="1:13" ht="18" x14ac:dyDescent="0.25">
      <c r="B40" s="30"/>
      <c r="C40" s="20"/>
      <c r="D40" s="354"/>
      <c r="H40" s="111"/>
      <c r="I40" s="10"/>
      <c r="J40" s="10"/>
      <c r="K40" s="10"/>
      <c r="L40" s="10"/>
    </row>
    <row r="41" spans="1:13" ht="18" x14ac:dyDescent="0.25">
      <c r="A41" s="74" t="s">
        <v>57</v>
      </c>
      <c r="B41" s="36" t="s">
        <v>58</v>
      </c>
      <c r="C41" s="37" t="s">
        <v>346</v>
      </c>
      <c r="D41" s="354"/>
      <c r="H41" s="111"/>
      <c r="I41" s="10"/>
      <c r="J41" s="31" t="s">
        <v>103</v>
      </c>
      <c r="K41" s="75"/>
      <c r="L41" s="75"/>
      <c r="M41" s="75"/>
    </row>
    <row r="42" spans="1:13" ht="18" x14ac:dyDescent="0.25">
      <c r="A42" s="17" t="s">
        <v>27</v>
      </c>
      <c r="B42" s="734">
        <f>'Inputs advanced'!F178</f>
        <v>1</v>
      </c>
      <c r="C42" s="20"/>
      <c r="D42" s="354"/>
      <c r="H42" s="111"/>
      <c r="I42" s="10"/>
      <c r="J42" s="10"/>
      <c r="K42" s="10"/>
      <c r="L42" s="10"/>
    </row>
    <row r="43" spans="1:13" ht="18" x14ac:dyDescent="0.25">
      <c r="A43" s="17" t="s">
        <v>28</v>
      </c>
      <c r="B43" s="734">
        <f>'Inputs advanced'!F179</f>
        <v>0</v>
      </c>
      <c r="C43" s="20"/>
      <c r="D43" s="354"/>
      <c r="H43" s="10"/>
      <c r="I43" s="10"/>
      <c r="J43" s="10"/>
      <c r="K43" s="10"/>
      <c r="L43" s="10"/>
    </row>
    <row r="44" spans="1:13" ht="18" x14ac:dyDescent="0.25">
      <c r="A44" s="10" t="s">
        <v>648</v>
      </c>
      <c r="B44" s="734">
        <f>'Inputs advanced'!F180</f>
        <v>0</v>
      </c>
      <c r="C44" s="20"/>
      <c r="D44" s="376"/>
      <c r="H44" s="111"/>
      <c r="I44" s="10"/>
      <c r="J44" s="10"/>
      <c r="K44" s="10"/>
      <c r="L44" s="10"/>
    </row>
    <row r="45" spans="1:13" x14ac:dyDescent="0.25">
      <c r="B45" s="22"/>
      <c r="C45" s="20"/>
      <c r="H45" s="111"/>
      <c r="I45" s="10"/>
      <c r="J45" s="10"/>
      <c r="K45" s="10"/>
      <c r="L45" s="10"/>
    </row>
    <row r="46" spans="1:13" ht="21" x14ac:dyDescent="0.35">
      <c r="A46" s="123" t="s">
        <v>59</v>
      </c>
      <c r="B46" s="22"/>
      <c r="C46" s="20"/>
      <c r="H46" s="111"/>
      <c r="I46" s="10"/>
      <c r="J46" s="10"/>
      <c r="K46" s="10"/>
      <c r="L46" s="10"/>
    </row>
    <row r="47" spans="1:13" ht="16.5" thickBot="1" x14ac:dyDescent="0.3">
      <c r="A47" s="76"/>
      <c r="B47" s="77" t="s">
        <v>104</v>
      </c>
      <c r="C47" s="20"/>
      <c r="D47" s="67" t="s">
        <v>107</v>
      </c>
      <c r="E47" s="67"/>
      <c r="H47" s="112" t="s">
        <v>105</v>
      </c>
      <c r="I47" s="10"/>
      <c r="J47" s="10"/>
      <c r="K47" s="10"/>
      <c r="L47" s="10"/>
    </row>
    <row r="48" spans="1:13" ht="48" thickBot="1" x14ac:dyDescent="0.3">
      <c r="A48" s="45" t="s">
        <v>802</v>
      </c>
      <c r="B48" s="377">
        <f>'Inputs advanced'!F196</f>
        <v>3207</v>
      </c>
      <c r="C48" s="342" t="s">
        <v>105</v>
      </c>
      <c r="D48" s="72">
        <f>B50/B67</f>
        <v>3.8621058412092832</v>
      </c>
      <c r="E48" s="72"/>
      <c r="F48" s="10" t="s">
        <v>92</v>
      </c>
      <c r="H48" s="145"/>
      <c r="I48" s="10"/>
      <c r="J48" s="10"/>
      <c r="K48" s="10"/>
      <c r="L48" s="10"/>
    </row>
    <row r="49" spans="1:19" ht="31.5" x14ac:dyDescent="0.25">
      <c r="A49" s="535" t="s">
        <v>644</v>
      </c>
      <c r="B49" s="240">
        <f>'Inputs advanced'!F196</f>
        <v>3207</v>
      </c>
      <c r="C49" s="13" t="s">
        <v>106</v>
      </c>
      <c r="D49" s="242">
        <f>D48/Conversiones!C11</f>
        <v>1.7518238250624976</v>
      </c>
      <c r="E49" s="242"/>
      <c r="F49" s="10" t="s">
        <v>93</v>
      </c>
      <c r="H49" s="111"/>
      <c r="I49" s="10"/>
      <c r="J49" s="10"/>
      <c r="K49" s="10"/>
      <c r="L49" s="10"/>
    </row>
    <row r="50" spans="1:19" x14ac:dyDescent="0.25">
      <c r="A50" s="341" t="s">
        <v>108</v>
      </c>
      <c r="B50" s="241">
        <f>IF(B49=".",".",B49/Conversiones!D14)</f>
        <v>70.328947368421055</v>
      </c>
      <c r="H50" s="111"/>
      <c r="I50" s="10"/>
      <c r="J50" s="10"/>
      <c r="K50" s="10"/>
      <c r="L50" s="10"/>
    </row>
    <row r="51" spans="1:19" x14ac:dyDescent="0.25">
      <c r="A51" s="78"/>
      <c r="B51" s="95"/>
      <c r="H51" s="111"/>
      <c r="I51" s="10"/>
      <c r="J51" s="10"/>
      <c r="K51" s="10"/>
      <c r="L51" s="10"/>
    </row>
    <row r="52" spans="1:19" x14ac:dyDescent="0.25">
      <c r="A52" s="78" t="s">
        <v>632</v>
      </c>
      <c r="B52" s="240">
        <v>0</v>
      </c>
      <c r="I52" s="10"/>
      <c r="J52" s="10"/>
      <c r="K52" s="10"/>
      <c r="L52" s="10"/>
    </row>
    <row r="53" spans="1:19" x14ac:dyDescent="0.25">
      <c r="A53" s="78"/>
      <c r="B53" s="95"/>
      <c r="I53" s="10"/>
      <c r="J53" s="10"/>
      <c r="K53" s="10"/>
      <c r="L53" s="10"/>
    </row>
    <row r="54" spans="1:19" x14ac:dyDescent="0.25">
      <c r="A54" s="96" t="s">
        <v>133</v>
      </c>
      <c r="B54" s="95" t="s">
        <v>283</v>
      </c>
    </row>
    <row r="55" spans="1:19" ht="31.5" x14ac:dyDescent="0.25">
      <c r="A55" s="78" t="s">
        <v>556</v>
      </c>
      <c r="B55" s="243">
        <f>'Inputs advanced'!F197</f>
        <v>1</v>
      </c>
    </row>
    <row r="56" spans="1:19" ht="63" x14ac:dyDescent="0.25">
      <c r="A56" s="527" t="s">
        <v>801</v>
      </c>
      <c r="B56" s="520"/>
      <c r="C56" s="45" t="s">
        <v>803</v>
      </c>
      <c r="D56" s="10" t="s">
        <v>30</v>
      </c>
      <c r="F56" s="10" t="s">
        <v>138</v>
      </c>
      <c r="G56" s="10" t="s">
        <v>139</v>
      </c>
      <c r="H56" s="10"/>
      <c r="I56" s="10"/>
      <c r="J56" s="10"/>
      <c r="K56" s="10"/>
      <c r="L56" s="10"/>
      <c r="P56" s="795" t="s">
        <v>140</v>
      </c>
      <c r="Q56" s="795"/>
      <c r="R56" s="795"/>
      <c r="S56" s="795"/>
    </row>
    <row r="57" spans="1:19" x14ac:dyDescent="0.25">
      <c r="A57" s="532" t="s">
        <v>135</v>
      </c>
      <c r="B57" s="533">
        <v>50</v>
      </c>
      <c r="C57" s="10" t="s">
        <v>135</v>
      </c>
      <c r="D57" s="146">
        <f>'Inputs advanced'!F198</f>
        <v>164.4</v>
      </c>
      <c r="E57" s="61"/>
      <c r="F57" s="61">
        <v>0</v>
      </c>
      <c r="G57" s="61">
        <v>0</v>
      </c>
      <c r="I57" s="113">
        <f>F57</f>
        <v>0</v>
      </c>
      <c r="J57" s="113">
        <v>0</v>
      </c>
      <c r="K57" s="10"/>
      <c r="L57" s="10"/>
    </row>
    <row r="58" spans="1:19" x14ac:dyDescent="0.25">
      <c r="A58" s="532" t="s">
        <v>136</v>
      </c>
      <c r="B58" s="533">
        <v>0</v>
      </c>
      <c r="C58" s="10" t="s">
        <v>136</v>
      </c>
      <c r="D58" s="146">
        <f>'Inputs advanced'!F199</f>
        <v>0</v>
      </c>
      <c r="E58" s="61"/>
      <c r="F58" s="61">
        <v>0</v>
      </c>
      <c r="G58" s="61">
        <v>0</v>
      </c>
      <c r="I58" s="113">
        <f>F58</f>
        <v>0</v>
      </c>
      <c r="J58" s="113">
        <v>0</v>
      </c>
      <c r="K58" s="10"/>
      <c r="L58" s="10"/>
    </row>
    <row r="59" spans="1:19" x14ac:dyDescent="0.25">
      <c r="A59" s="532" t="s">
        <v>189</v>
      </c>
      <c r="B59" s="533">
        <v>0</v>
      </c>
      <c r="C59" s="10" t="s">
        <v>189</v>
      </c>
      <c r="D59" s="146">
        <f>'Inputs advanced'!F200</f>
        <v>205</v>
      </c>
      <c r="E59" s="61"/>
      <c r="F59" s="61">
        <v>0</v>
      </c>
      <c r="G59" s="61">
        <v>0</v>
      </c>
      <c r="I59" s="113">
        <f>F59</f>
        <v>0</v>
      </c>
      <c r="J59" s="113">
        <v>0</v>
      </c>
      <c r="K59" s="10"/>
      <c r="L59" s="10"/>
    </row>
    <row r="60" spans="1:19" x14ac:dyDescent="0.25">
      <c r="A60" s="532" t="s">
        <v>137</v>
      </c>
      <c r="B60" s="534">
        <v>0</v>
      </c>
      <c r="C60" s="10" t="s">
        <v>137</v>
      </c>
      <c r="D60" s="61">
        <f>'Inputs advanced'!F201</f>
        <v>0</v>
      </c>
      <c r="E60" s="61"/>
      <c r="F60" s="61"/>
      <c r="G60" s="61"/>
    </row>
    <row r="61" spans="1:19" x14ac:dyDescent="0.25">
      <c r="A61" s="527"/>
      <c r="B61" s="520"/>
      <c r="J61" s="147" t="s">
        <v>158</v>
      </c>
      <c r="K61" s="147" t="s">
        <v>170</v>
      </c>
      <c r="L61" s="147" t="s">
        <v>171</v>
      </c>
    </row>
    <row r="62" spans="1:19" ht="78.75" x14ac:dyDescent="0.25">
      <c r="A62" s="528" t="s">
        <v>275</v>
      </c>
      <c r="B62" s="520" t="s">
        <v>293</v>
      </c>
      <c r="D62" s="10" t="s">
        <v>274</v>
      </c>
      <c r="H62" s="45"/>
      <c r="I62" s="45"/>
      <c r="J62" s="45"/>
      <c r="L62" s="392"/>
      <c r="M62" s="541"/>
    </row>
    <row r="63" spans="1:19" x14ac:dyDescent="0.25">
      <c r="A63" s="113" t="s">
        <v>187</v>
      </c>
      <c r="B63" s="529">
        <v>0</v>
      </c>
      <c r="C63" s="10" t="s">
        <v>61</v>
      </c>
      <c r="H63" s="542"/>
      <c r="I63" s="542"/>
      <c r="J63" s="10"/>
      <c r="K63" s="543"/>
      <c r="L63" s="542"/>
      <c r="M63" s="148"/>
    </row>
    <row r="64" spans="1:19" x14ac:dyDescent="0.25">
      <c r="A64" s="113" t="s">
        <v>188</v>
      </c>
      <c r="B64" s="529">
        <v>0</v>
      </c>
      <c r="C64" s="10" t="s">
        <v>61</v>
      </c>
      <c r="H64" s="542"/>
      <c r="I64" s="542"/>
      <c r="J64" s="10"/>
      <c r="K64" s="543"/>
      <c r="L64" s="542"/>
      <c r="M64" s="148"/>
    </row>
    <row r="65" spans="1:27" x14ac:dyDescent="0.25">
      <c r="A65" s="113" t="s">
        <v>190</v>
      </c>
      <c r="B65" s="529">
        <v>0</v>
      </c>
      <c r="C65" s="163" t="s">
        <v>608</v>
      </c>
      <c r="H65" s="542"/>
      <c r="I65" s="542"/>
      <c r="J65" s="10"/>
      <c r="K65" s="543"/>
      <c r="L65" s="542"/>
      <c r="M65" s="148"/>
    </row>
    <row r="66" spans="1:27" x14ac:dyDescent="0.25">
      <c r="A66" s="113"/>
      <c r="B66" s="529"/>
      <c r="H66" s="542"/>
      <c r="I66" s="542"/>
      <c r="J66" s="10"/>
      <c r="K66" s="543"/>
      <c r="L66" s="542"/>
      <c r="M66" s="148"/>
    </row>
    <row r="67" spans="1:27" x14ac:dyDescent="0.25">
      <c r="A67" s="530" t="s">
        <v>79</v>
      </c>
      <c r="B67" s="531">
        <f>Conversiones!$F$24</f>
        <v>18.21</v>
      </c>
      <c r="C67" s="10" t="s">
        <v>607</v>
      </c>
    </row>
    <row r="68" spans="1:27" x14ac:dyDescent="0.25">
      <c r="A68" s="13"/>
      <c r="B68" s="30"/>
    </row>
    <row r="69" spans="1:27" x14ac:dyDescent="0.25">
      <c r="A69" s="64" t="s">
        <v>55</v>
      </c>
      <c r="B69" s="30"/>
    </row>
    <row r="70" spans="1:27" x14ac:dyDescent="0.25">
      <c r="B70" s="22" t="s">
        <v>642</v>
      </c>
      <c r="C70" s="10" t="s">
        <v>83</v>
      </c>
    </row>
    <row r="71" spans="1:27" x14ac:dyDescent="0.25">
      <c r="A71" s="12" t="s">
        <v>130</v>
      </c>
      <c r="B71" s="400">
        <f>'Inputs advanced'!F202+B75</f>
        <v>93.09999999999998</v>
      </c>
      <c r="C71" s="244">
        <f>B71/$B$67</f>
        <v>5.1125755079626565</v>
      </c>
    </row>
    <row r="72" spans="1:27" x14ac:dyDescent="0.25">
      <c r="A72" s="88" t="s">
        <v>131</v>
      </c>
      <c r="B72" s="401">
        <f>'Inputs advanced'!F205</f>
        <v>817</v>
      </c>
      <c r="C72" s="89">
        <f>B72/$B$67</f>
        <v>44.865458539264139</v>
      </c>
    </row>
    <row r="73" spans="1:27" x14ac:dyDescent="0.25">
      <c r="A73" s="88" t="s">
        <v>124</v>
      </c>
      <c r="B73" s="149">
        <f>B72*12</f>
        <v>9804</v>
      </c>
      <c r="C73" s="89">
        <f>B73/$B$67</f>
        <v>538.38550247116962</v>
      </c>
    </row>
    <row r="74" spans="1:27" x14ac:dyDescent="0.25">
      <c r="A74" s="10" t="s">
        <v>633</v>
      </c>
      <c r="B74" s="399">
        <f>'Inputs advanced'!F144</f>
        <v>80</v>
      </c>
    </row>
    <row r="75" spans="1:27" x14ac:dyDescent="0.25">
      <c r="A75" s="10" t="s">
        <v>634</v>
      </c>
      <c r="B75" s="22">
        <f>'Inputs advanced'!F204</f>
        <v>0</v>
      </c>
    </row>
    <row r="76" spans="1:27" s="22" customFormat="1" ht="21" x14ac:dyDescent="0.35">
      <c r="A76" s="133" t="s">
        <v>203</v>
      </c>
      <c r="B76" s="150"/>
      <c r="C76" s="150"/>
      <c r="D76" s="150"/>
      <c r="E76" s="150"/>
      <c r="F76" s="150"/>
      <c r="G76" s="150"/>
      <c r="H76" s="150"/>
      <c r="I76" s="150"/>
      <c r="J76" s="150"/>
      <c r="K76" s="150"/>
      <c r="L76" s="150"/>
      <c r="M76" s="150"/>
      <c r="N76" s="150"/>
      <c r="O76" s="150"/>
      <c r="P76" s="150"/>
      <c r="Q76" s="150"/>
      <c r="R76" s="150"/>
      <c r="S76" s="150"/>
      <c r="T76" s="150"/>
      <c r="U76" s="150"/>
      <c r="V76" s="150"/>
      <c r="W76" s="150"/>
      <c r="X76" s="150"/>
      <c r="Y76" s="150"/>
      <c r="Z76" s="150"/>
      <c r="AA76" s="150"/>
    </row>
    <row r="77" spans="1:27" x14ac:dyDescent="0.25">
      <c r="B77" s="22"/>
    </row>
    <row r="78" spans="1:27" x14ac:dyDescent="0.25">
      <c r="A78" s="83" t="s">
        <v>279</v>
      </c>
      <c r="B78" s="95" t="s">
        <v>283</v>
      </c>
    </row>
    <row r="79" spans="1:27" ht="47.25" x14ac:dyDescent="0.25">
      <c r="A79" s="98" t="s">
        <v>142</v>
      </c>
      <c r="B79" s="395">
        <f>'Inputs advanced'!F219</f>
        <v>0</v>
      </c>
      <c r="C79" s="392" t="s">
        <v>143</v>
      </c>
      <c r="D79" s="392" t="s">
        <v>153</v>
      </c>
      <c r="E79" s="45"/>
    </row>
    <row r="80" spans="1:27" x14ac:dyDescent="0.25">
      <c r="A80" s="98"/>
      <c r="B80" s="22"/>
      <c r="C80" s="113" t="s">
        <v>144</v>
      </c>
      <c r="D80" s="153">
        <v>0</v>
      </c>
      <c r="E80" s="61"/>
    </row>
    <row r="81" spans="1:22" ht="17.100000000000001" customHeight="1" x14ac:dyDescent="0.25">
      <c r="A81" s="98"/>
      <c r="B81" s="22"/>
      <c r="C81" s="392" t="s">
        <v>145</v>
      </c>
      <c r="D81" s="153">
        <v>0</v>
      </c>
      <c r="E81" s="61"/>
    </row>
    <row r="82" spans="1:22" x14ac:dyDescent="0.25">
      <c r="A82" s="98"/>
      <c r="B82" s="22"/>
      <c r="C82" s="392" t="s">
        <v>146</v>
      </c>
      <c r="D82" s="153">
        <v>0</v>
      </c>
      <c r="E82" s="61"/>
    </row>
    <row r="83" spans="1:22" x14ac:dyDescent="0.25">
      <c r="A83" s="98"/>
      <c r="B83" s="22"/>
      <c r="C83" s="392" t="s">
        <v>147</v>
      </c>
      <c r="D83" s="153">
        <f>'Inputs advanced'!F222</f>
        <v>8255</v>
      </c>
      <c r="E83" s="146"/>
    </row>
    <row r="84" spans="1:22" x14ac:dyDescent="0.25">
      <c r="A84" s="98"/>
      <c r="B84" s="22"/>
      <c r="C84" s="392" t="s">
        <v>148</v>
      </c>
      <c r="D84" s="153">
        <v>0</v>
      </c>
      <c r="E84" s="61"/>
    </row>
    <row r="85" spans="1:22" x14ac:dyDescent="0.25">
      <c r="A85" s="98"/>
      <c r="B85" s="22"/>
      <c r="C85" s="392" t="s">
        <v>149</v>
      </c>
      <c r="D85" s="153">
        <v>0</v>
      </c>
      <c r="E85" s="61"/>
    </row>
    <row r="86" spans="1:22" x14ac:dyDescent="0.25">
      <c r="B86" s="22"/>
      <c r="C86" s="392" t="s">
        <v>150</v>
      </c>
      <c r="D86" s="153">
        <v>0</v>
      </c>
      <c r="E86" s="61"/>
    </row>
    <row r="87" spans="1:22" x14ac:dyDescent="0.25">
      <c r="B87" s="22"/>
      <c r="C87" s="393" t="s">
        <v>151</v>
      </c>
      <c r="D87" s="153">
        <v>0</v>
      </c>
      <c r="E87" s="61"/>
    </row>
    <row r="88" spans="1:22" x14ac:dyDescent="0.25">
      <c r="B88" s="22"/>
      <c r="C88" s="393" t="s">
        <v>152</v>
      </c>
      <c r="D88" s="153">
        <v>0</v>
      </c>
      <c r="E88" s="61"/>
    </row>
    <row r="89" spans="1:22" x14ac:dyDescent="0.25">
      <c r="B89" s="22"/>
      <c r="C89" s="99"/>
      <c r="D89" s="22"/>
      <c r="E89" s="22"/>
    </row>
    <row r="90" spans="1:22" x14ac:dyDescent="0.25">
      <c r="A90" s="83" t="s">
        <v>277</v>
      </c>
      <c r="B90" s="95" t="s">
        <v>283</v>
      </c>
      <c r="M90" s="21"/>
      <c r="N90" s="102"/>
      <c r="O90" s="102"/>
      <c r="P90" s="102"/>
      <c r="Q90" s="102"/>
      <c r="R90" s="102"/>
      <c r="S90" s="102"/>
      <c r="T90" s="102"/>
      <c r="U90" s="102"/>
      <c r="V90" s="102"/>
    </row>
    <row r="91" spans="1:22" x14ac:dyDescent="0.25">
      <c r="A91" s="10" t="s">
        <v>204</v>
      </c>
      <c r="B91" s="395">
        <f>'Inputs advanced'!F223</f>
        <v>1</v>
      </c>
      <c r="M91" s="21"/>
      <c r="N91" s="102"/>
      <c r="O91" s="102"/>
      <c r="P91" s="102"/>
      <c r="Q91" s="102"/>
      <c r="R91" s="102"/>
      <c r="S91" s="102"/>
      <c r="T91" s="102"/>
      <c r="U91" s="102"/>
      <c r="V91" s="102"/>
    </row>
    <row r="92" spans="1:22" x14ac:dyDescent="0.25">
      <c r="B92" s="21"/>
      <c r="M92" s="21"/>
      <c r="N92" s="102"/>
      <c r="O92" s="102"/>
      <c r="P92" s="102"/>
      <c r="Q92" s="102"/>
      <c r="R92" s="102"/>
      <c r="S92" s="102"/>
      <c r="T92" s="102"/>
      <c r="U92" s="102"/>
      <c r="V92" s="102"/>
    </row>
    <row r="93" spans="1:22" x14ac:dyDescent="0.25">
      <c r="A93" s="3" t="s">
        <v>205</v>
      </c>
      <c r="B93" s="3"/>
      <c r="C93" s="3"/>
      <c r="D93" s="21"/>
      <c r="E93" s="21"/>
      <c r="M93" s="21"/>
      <c r="N93" s="102"/>
      <c r="O93" s="102"/>
      <c r="P93" s="102"/>
      <c r="Q93" s="102"/>
      <c r="R93" s="102"/>
      <c r="S93" s="102"/>
      <c r="T93" s="102"/>
      <c r="U93" s="102"/>
      <c r="V93" s="102"/>
    </row>
    <row r="94" spans="1:22" x14ac:dyDescent="0.25">
      <c r="A94" s="134" t="s">
        <v>281</v>
      </c>
      <c r="B94" s="396">
        <f>'Inputs advanced'!F226</f>
        <v>2</v>
      </c>
      <c r="C94" s="134"/>
      <c r="D94" s="134"/>
      <c r="E94" s="134"/>
      <c r="M94" s="21"/>
      <c r="N94" s="102"/>
      <c r="O94" s="102"/>
      <c r="P94" s="102"/>
      <c r="Q94" s="102"/>
      <c r="R94" s="102"/>
      <c r="S94" s="102"/>
      <c r="T94" s="102"/>
      <c r="U94" s="102"/>
      <c r="V94" s="102"/>
    </row>
    <row r="95" spans="1:22" x14ac:dyDescent="0.25">
      <c r="A95" s="134" t="s">
        <v>282</v>
      </c>
      <c r="B95" s="134">
        <f>'Inputs advanced'!F227</f>
        <v>2.7</v>
      </c>
      <c r="C95" s="134"/>
      <c r="D95" s="134" t="s">
        <v>284</v>
      </c>
      <c r="E95" s="134"/>
      <c r="M95" s="21"/>
      <c r="N95" s="102"/>
      <c r="O95" s="102"/>
      <c r="P95" s="102"/>
      <c r="Q95" s="102"/>
      <c r="R95" s="102"/>
      <c r="S95" s="102"/>
      <c r="T95" s="102"/>
      <c r="U95" s="102"/>
      <c r="V95" s="102"/>
    </row>
    <row r="96" spans="1:22" s="22" customFormat="1" x14ac:dyDescent="0.25">
      <c r="A96" s="21"/>
      <c r="B96" s="21"/>
      <c r="C96" s="22" t="s">
        <v>144</v>
      </c>
      <c r="D96" s="134"/>
      <c r="E96" s="134"/>
      <c r="H96" s="12"/>
      <c r="I96" s="12"/>
      <c r="J96" s="12"/>
      <c r="K96" s="12"/>
      <c r="L96" s="12"/>
      <c r="M96" s="21"/>
      <c r="N96" s="21"/>
      <c r="O96" s="21"/>
      <c r="P96" s="21"/>
      <c r="Q96" s="21"/>
      <c r="R96" s="21"/>
      <c r="S96" s="21"/>
      <c r="T96" s="21"/>
      <c r="U96" s="21"/>
      <c r="V96" s="21"/>
    </row>
    <row r="97" spans="1:27" s="22" customFormat="1" x14ac:dyDescent="0.25">
      <c r="A97" s="21"/>
      <c r="B97" s="21"/>
      <c r="C97" s="91" t="s">
        <v>145</v>
      </c>
      <c r="D97" s="146"/>
      <c r="E97" s="146"/>
      <c r="H97" s="12"/>
      <c r="I97" s="12"/>
      <c r="J97" s="12"/>
      <c r="K97" s="12"/>
      <c r="L97" s="12"/>
      <c r="M97" s="21"/>
      <c r="N97" s="21"/>
      <c r="O97" s="21"/>
      <c r="P97" s="21"/>
      <c r="Q97" s="21"/>
      <c r="R97" s="21"/>
      <c r="S97" s="21"/>
      <c r="T97" s="21"/>
      <c r="U97" s="21"/>
      <c r="V97" s="21"/>
    </row>
    <row r="98" spans="1:27" x14ac:dyDescent="0.25">
      <c r="A98" s="98"/>
      <c r="B98" s="22"/>
      <c r="C98" s="45" t="s">
        <v>146</v>
      </c>
      <c r="D98" s="146"/>
      <c r="E98" s="61"/>
    </row>
    <row r="99" spans="1:27" x14ac:dyDescent="0.25">
      <c r="A99" s="98"/>
      <c r="B99" s="22"/>
      <c r="C99" s="45" t="s">
        <v>147</v>
      </c>
      <c r="D99" s="146">
        <f>B$95*B$71</f>
        <v>251.36999999999998</v>
      </c>
      <c r="E99" s="146"/>
    </row>
    <row r="100" spans="1:27" x14ac:dyDescent="0.25">
      <c r="A100" s="98"/>
      <c r="B100" s="22"/>
      <c r="C100" s="45" t="s">
        <v>148</v>
      </c>
      <c r="D100" s="146"/>
      <c r="E100" s="146"/>
    </row>
    <row r="101" spans="1:27" x14ac:dyDescent="0.25">
      <c r="A101" s="98"/>
      <c r="B101" s="22"/>
      <c r="C101" s="45" t="s">
        <v>149</v>
      </c>
      <c r="D101" s="146">
        <f>B$95*B$71</f>
        <v>251.36999999999998</v>
      </c>
      <c r="E101" s="146"/>
    </row>
    <row r="102" spans="1:27" x14ac:dyDescent="0.25">
      <c r="B102" s="22"/>
      <c r="C102" s="45" t="s">
        <v>150</v>
      </c>
      <c r="D102" s="61"/>
      <c r="E102" s="61"/>
      <c r="M102" s="10">
        <f>1000*(1+0.2)</f>
        <v>1200</v>
      </c>
      <c r="N102" s="10">
        <f>0.2*3</f>
        <v>0.60000000000000009</v>
      </c>
    </row>
    <row r="103" spans="1:27" x14ac:dyDescent="0.25">
      <c r="B103" s="22"/>
      <c r="C103" s="99" t="s">
        <v>151</v>
      </c>
      <c r="D103" s="146"/>
      <c r="E103" s="146"/>
    </row>
    <row r="104" spans="1:27" x14ac:dyDescent="0.25">
      <c r="B104" s="22"/>
      <c r="C104" s="99" t="s">
        <v>152</v>
      </c>
      <c r="D104" s="61"/>
      <c r="E104" s="61"/>
    </row>
    <row r="105" spans="1:27" x14ac:dyDescent="0.25">
      <c r="B105" s="22"/>
      <c r="D105" s="105" t="s">
        <v>179</v>
      </c>
      <c r="E105" s="105"/>
      <c r="F105" s="92"/>
      <c r="G105" s="92"/>
      <c r="H105" s="114"/>
      <c r="I105" s="114"/>
      <c r="J105" s="114"/>
      <c r="K105" s="114"/>
    </row>
    <row r="106" spans="1:27" x14ac:dyDescent="0.25">
      <c r="B106" s="22"/>
      <c r="D106" s="106" t="s">
        <v>180</v>
      </c>
      <c r="E106" s="106"/>
      <c r="F106" s="93"/>
      <c r="G106" s="93"/>
      <c r="H106" s="115"/>
      <c r="I106" s="115"/>
      <c r="J106" s="115"/>
      <c r="K106" s="114"/>
    </row>
    <row r="107" spans="1:27" x14ac:dyDescent="0.25">
      <c r="B107" s="22"/>
      <c r="D107" s="105" t="s">
        <v>172</v>
      </c>
      <c r="E107" s="105"/>
      <c r="F107" s="93"/>
      <c r="G107" s="93"/>
      <c r="H107" s="115"/>
      <c r="I107" s="115"/>
      <c r="J107" s="115"/>
      <c r="K107" s="114"/>
    </row>
    <row r="108" spans="1:27" x14ac:dyDescent="0.25">
      <c r="B108" s="95" t="s">
        <v>287</v>
      </c>
      <c r="D108" s="105" t="s">
        <v>178</v>
      </c>
      <c r="E108" s="105"/>
      <c r="F108" s="92"/>
      <c r="G108" s="92"/>
      <c r="H108" s="114"/>
      <c r="I108" s="114"/>
      <c r="J108" s="114"/>
      <c r="K108" s="114"/>
    </row>
    <row r="109" spans="1:27" ht="47.25" x14ac:dyDescent="0.25">
      <c r="A109" s="98" t="s">
        <v>285</v>
      </c>
      <c r="B109" s="146">
        <f>'Inputs advanced'!F230</f>
        <v>1</v>
      </c>
      <c r="C109" s="45" t="s">
        <v>143</v>
      </c>
      <c r="D109" s="45" t="s">
        <v>558</v>
      </c>
      <c r="E109" s="45"/>
      <c r="F109" s="45" t="s">
        <v>173</v>
      </c>
      <c r="G109" s="45" t="s">
        <v>559</v>
      </c>
      <c r="I109" s="116" t="s">
        <v>175</v>
      </c>
      <c r="J109" s="116" t="s">
        <v>177</v>
      </c>
      <c r="K109" s="116" t="s">
        <v>176</v>
      </c>
      <c r="L109" s="152" t="s">
        <v>292</v>
      </c>
      <c r="M109" s="45" t="s">
        <v>174</v>
      </c>
      <c r="N109" s="67" t="s">
        <v>43</v>
      </c>
      <c r="O109" s="67" t="s">
        <v>44</v>
      </c>
      <c r="P109" s="67" t="s">
        <v>45</v>
      </c>
      <c r="Q109" s="67" t="s">
        <v>46</v>
      </c>
      <c r="R109" s="67" t="s">
        <v>47</v>
      </c>
      <c r="S109" s="67" t="s">
        <v>48</v>
      </c>
      <c r="T109" s="67" t="s">
        <v>49</v>
      </c>
      <c r="U109" s="67" t="s">
        <v>50</v>
      </c>
      <c r="V109" s="67" t="s">
        <v>51</v>
      </c>
    </row>
    <row r="110" spans="1:27" x14ac:dyDescent="0.25">
      <c r="A110" s="134" t="s">
        <v>288</v>
      </c>
      <c r="B110" s="544">
        <f>'Inputs advanced'!F235</f>
        <v>1.5999999999999091</v>
      </c>
      <c r="C110" s="10" t="s">
        <v>144</v>
      </c>
      <c r="D110" s="70" t="s">
        <v>161</v>
      </c>
      <c r="E110" s="70"/>
      <c r="F110" s="61">
        <f>B111</f>
        <v>14000</v>
      </c>
      <c r="G110" s="70" t="s">
        <v>101</v>
      </c>
      <c r="H110" s="121">
        <v>0</v>
      </c>
      <c r="I110" s="117" t="s">
        <v>161</v>
      </c>
      <c r="J110" s="117" t="s">
        <v>166</v>
      </c>
      <c r="K110" s="117">
        <f>IF($B$115=1,VLOOKUP(I110,$D$110:$F$118,2,FALSE),0)</f>
        <v>0</v>
      </c>
      <c r="L110" s="153">
        <f>B112/100</f>
        <v>1.01E-2</v>
      </c>
      <c r="M110" s="61">
        <f>B111*(1+(L110*B110))</f>
        <v>14226.239999999987</v>
      </c>
      <c r="N110" s="72">
        <f>$M110/9</f>
        <v>1580.6933333333318</v>
      </c>
      <c r="O110" s="72">
        <f t="shared" ref="O110:V110" si="0">$M110/9</f>
        <v>1580.6933333333318</v>
      </c>
      <c r="P110" s="72">
        <f t="shared" si="0"/>
        <v>1580.6933333333318</v>
      </c>
      <c r="Q110" s="72">
        <f t="shared" si="0"/>
        <v>1580.6933333333318</v>
      </c>
      <c r="R110" s="72">
        <f t="shared" si="0"/>
        <v>1580.6933333333318</v>
      </c>
      <c r="S110" s="72">
        <f t="shared" si="0"/>
        <v>1580.6933333333318</v>
      </c>
      <c r="T110" s="72">
        <f t="shared" si="0"/>
        <v>1580.6933333333318</v>
      </c>
      <c r="U110" s="72">
        <f t="shared" si="0"/>
        <v>1580.6933333333318</v>
      </c>
      <c r="V110" s="72">
        <f t="shared" si="0"/>
        <v>1580.6933333333318</v>
      </c>
      <c r="X110" s="10" t="s">
        <v>159</v>
      </c>
      <c r="Y110" s="100" t="s">
        <v>161</v>
      </c>
      <c r="Z110" s="69" t="str">
        <f>IF(B115=1,VLOOKUP(Y110,D110:H118,4,FALSE),0)</f>
        <v>.</v>
      </c>
      <c r="AA110" s="130"/>
    </row>
    <row r="111" spans="1:27" ht="15.95" customHeight="1" x14ac:dyDescent="0.25">
      <c r="A111" s="134" t="s">
        <v>289</v>
      </c>
      <c r="B111" s="135">
        <f>'Inputs advanced'!F233</f>
        <v>14000</v>
      </c>
      <c r="C111" s="45" t="s">
        <v>145</v>
      </c>
      <c r="D111" s="70" t="s">
        <v>101</v>
      </c>
      <c r="E111" s="70"/>
      <c r="F111" s="61"/>
      <c r="G111" s="70" t="s">
        <v>101</v>
      </c>
      <c r="H111" s="121">
        <v>1</v>
      </c>
      <c r="I111" s="118"/>
      <c r="J111" s="118"/>
      <c r="K111" s="118"/>
      <c r="L111" s="12"/>
      <c r="M111" s="97"/>
      <c r="N111" s="22"/>
      <c r="O111" s="22"/>
      <c r="P111" s="22"/>
      <c r="Q111" s="22"/>
      <c r="R111" s="22"/>
      <c r="S111" s="22"/>
      <c r="T111" s="22"/>
      <c r="U111" s="22"/>
      <c r="V111" s="22"/>
      <c r="X111" s="10" t="s">
        <v>160</v>
      </c>
      <c r="Y111" s="100" t="s">
        <v>166</v>
      </c>
      <c r="Z111" s="69">
        <f>IF(B115=1,VLOOKUP(Y111,G110:H118,2,FALSE),0)</f>
        <v>2</v>
      </c>
      <c r="AA111" s="130"/>
    </row>
    <row r="112" spans="1:27" x14ac:dyDescent="0.25">
      <c r="A112" s="134" t="s">
        <v>557</v>
      </c>
      <c r="B112" s="128">
        <f>'Inputs advanced'!F239</f>
        <v>1.01</v>
      </c>
      <c r="C112" s="45" t="s">
        <v>146</v>
      </c>
      <c r="D112" s="70" t="s">
        <v>101</v>
      </c>
      <c r="E112" s="70"/>
      <c r="F112" s="61"/>
      <c r="G112" s="70" t="s">
        <v>166</v>
      </c>
      <c r="H112" s="121">
        <v>2</v>
      </c>
      <c r="I112" s="118"/>
      <c r="J112" s="118"/>
      <c r="K112" s="118"/>
      <c r="L112" s="12"/>
      <c r="M112" s="97"/>
      <c r="N112" s="22"/>
      <c r="O112" s="22"/>
      <c r="P112" s="22"/>
      <c r="Q112" s="22"/>
      <c r="R112" s="22"/>
      <c r="S112" s="22"/>
      <c r="T112" s="22"/>
      <c r="U112" s="22"/>
      <c r="V112" s="22"/>
      <c r="AA112" s="22"/>
    </row>
    <row r="113" spans="1:27" s="22" customFormat="1" x14ac:dyDescent="0.25">
      <c r="C113" s="45" t="s">
        <v>147</v>
      </c>
      <c r="D113" s="70" t="s">
        <v>101</v>
      </c>
      <c r="E113" s="70"/>
      <c r="F113" s="61"/>
      <c r="G113" s="70" t="s">
        <v>101</v>
      </c>
      <c r="H113" s="121">
        <v>3</v>
      </c>
      <c r="I113" s="118"/>
      <c r="J113" s="12"/>
      <c r="K113" s="12"/>
      <c r="L113" s="12"/>
      <c r="Y113" s="22" t="s">
        <v>163</v>
      </c>
      <c r="Z113" s="22" t="e">
        <f>(Z111-Z110)+1</f>
        <v>#VALUE!</v>
      </c>
    </row>
    <row r="114" spans="1:27" s="22" customFormat="1" x14ac:dyDescent="0.25">
      <c r="A114" s="10"/>
      <c r="B114" s="130" t="s">
        <v>291</v>
      </c>
      <c r="C114" s="45" t="s">
        <v>148</v>
      </c>
      <c r="D114" s="70" t="s">
        <v>101</v>
      </c>
      <c r="E114" s="70"/>
      <c r="F114" s="61"/>
      <c r="G114" s="70" t="s">
        <v>101</v>
      </c>
      <c r="H114" s="121">
        <v>4</v>
      </c>
      <c r="I114" s="118"/>
      <c r="J114" s="12"/>
      <c r="K114" s="12"/>
      <c r="L114" s="12"/>
    </row>
    <row r="115" spans="1:27" s="22" customFormat="1" x14ac:dyDescent="0.25">
      <c r="A115" s="22" t="s">
        <v>290</v>
      </c>
      <c r="B115" s="130">
        <f>IF(B109&gt;=0.3,1,0)</f>
        <v>1</v>
      </c>
      <c r="C115" s="45" t="s">
        <v>149</v>
      </c>
      <c r="D115" s="70" t="s">
        <v>101</v>
      </c>
      <c r="E115" s="70"/>
      <c r="F115" s="61"/>
      <c r="G115" s="70" t="s">
        <v>101</v>
      </c>
      <c r="H115" s="121">
        <v>5</v>
      </c>
      <c r="I115" s="118"/>
      <c r="J115" s="12"/>
      <c r="K115" s="12"/>
      <c r="L115" s="12"/>
      <c r="M115" s="101"/>
    </row>
    <row r="116" spans="1:27" x14ac:dyDescent="0.25">
      <c r="B116" s="22"/>
      <c r="C116" s="45" t="s">
        <v>150</v>
      </c>
      <c r="D116" s="70" t="s">
        <v>101</v>
      </c>
      <c r="E116" s="70"/>
      <c r="F116" s="61"/>
      <c r="G116" s="70" t="s">
        <v>101</v>
      </c>
      <c r="H116" s="121">
        <v>6</v>
      </c>
      <c r="I116" s="90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Y116" s="22" t="s">
        <v>165</v>
      </c>
      <c r="Z116" s="72" t="e">
        <f>IF(B115=1,((M110-K110)/Z113)/K110,0)</f>
        <v>#VALUE!</v>
      </c>
      <c r="AA116" s="22"/>
    </row>
    <row r="117" spans="1:27" x14ac:dyDescent="0.25">
      <c r="B117" s="22"/>
      <c r="C117" s="99" t="s">
        <v>151</v>
      </c>
      <c r="D117" s="70" t="s">
        <v>101</v>
      </c>
      <c r="E117" s="70"/>
      <c r="F117" s="61"/>
      <c r="G117" s="70" t="s">
        <v>101</v>
      </c>
      <c r="H117" s="121">
        <v>7</v>
      </c>
      <c r="I117" s="90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AA117" s="22"/>
    </row>
    <row r="118" spans="1:27" x14ac:dyDescent="0.25">
      <c r="B118" s="22"/>
      <c r="C118" s="99" t="s">
        <v>152</v>
      </c>
      <c r="D118" s="70" t="s">
        <v>101</v>
      </c>
      <c r="E118" s="70"/>
      <c r="F118" s="61"/>
      <c r="G118" s="70" t="s">
        <v>101</v>
      </c>
      <c r="H118" s="121">
        <v>8</v>
      </c>
      <c r="I118" s="90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AA118" s="22"/>
    </row>
    <row r="119" spans="1:27" x14ac:dyDescent="0.25">
      <c r="B119" s="21" t="s">
        <v>185</v>
      </c>
      <c r="M119" s="21" t="s">
        <v>182</v>
      </c>
      <c r="N119" s="102">
        <f>SUM(N110:N118)</f>
        <v>1580.6933333333318</v>
      </c>
      <c r="O119" s="102">
        <f t="shared" ref="O119:V119" si="1">SUM(O110:O118)</f>
        <v>1580.6933333333318</v>
      </c>
      <c r="P119" s="102">
        <f t="shared" si="1"/>
        <v>1580.6933333333318</v>
      </c>
      <c r="Q119" s="102">
        <f t="shared" si="1"/>
        <v>1580.6933333333318</v>
      </c>
      <c r="R119" s="102">
        <f t="shared" si="1"/>
        <v>1580.6933333333318</v>
      </c>
      <c r="S119" s="102">
        <f t="shared" si="1"/>
        <v>1580.6933333333318</v>
      </c>
      <c r="T119" s="102">
        <f t="shared" si="1"/>
        <v>1580.6933333333318</v>
      </c>
      <c r="U119" s="102">
        <f t="shared" si="1"/>
        <v>1580.6933333333318</v>
      </c>
      <c r="V119" s="102">
        <f t="shared" si="1"/>
        <v>1580.6933333333318</v>
      </c>
      <c r="AA119" s="22"/>
    </row>
    <row r="120" spans="1:27" x14ac:dyDescent="0.25">
      <c r="B120" s="22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AA120" s="22"/>
    </row>
    <row r="121" spans="1:27" x14ac:dyDescent="0.25">
      <c r="B121" s="22"/>
      <c r="D121" s="105" t="s">
        <v>179</v>
      </c>
      <c r="E121" s="105"/>
      <c r="F121" s="104"/>
      <c r="G121" s="104"/>
      <c r="H121" s="119"/>
      <c r="I121" s="119"/>
      <c r="J121" s="119"/>
      <c r="K121" s="114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AA121" s="22"/>
    </row>
    <row r="122" spans="1:27" s="113" customFormat="1" x14ac:dyDescent="0.25">
      <c r="B122" s="12"/>
      <c r="D122" s="518" t="s">
        <v>180</v>
      </c>
      <c r="E122" s="518"/>
      <c r="F122" s="114"/>
      <c r="G122" s="114"/>
      <c r="H122" s="114"/>
      <c r="I122" s="114"/>
      <c r="J122" s="114"/>
      <c r="K122" s="114"/>
      <c r="AA122" s="12"/>
    </row>
    <row r="123" spans="1:27" s="113" customFormat="1" x14ac:dyDescent="0.25">
      <c r="B123" s="12"/>
      <c r="D123" s="519" t="s">
        <v>172</v>
      </c>
      <c r="E123" s="519"/>
      <c r="F123" s="114"/>
      <c r="G123" s="114"/>
      <c r="H123" s="114"/>
      <c r="I123" s="114"/>
      <c r="J123" s="114"/>
      <c r="K123" s="114"/>
      <c r="AA123" s="12"/>
    </row>
    <row r="124" spans="1:27" s="113" customFormat="1" x14ac:dyDescent="0.25">
      <c r="B124" s="520" t="s">
        <v>287</v>
      </c>
      <c r="D124" s="519" t="s">
        <v>178</v>
      </c>
      <c r="E124" s="519"/>
      <c r="F124" s="114"/>
      <c r="G124" s="114"/>
      <c r="H124" s="114"/>
      <c r="I124" s="114"/>
      <c r="J124" s="114"/>
      <c r="K124" s="114"/>
      <c r="AA124" s="12"/>
    </row>
    <row r="125" spans="1:27" s="113" customFormat="1" ht="47.25" x14ac:dyDescent="0.25">
      <c r="A125" s="521" t="s">
        <v>286</v>
      </c>
      <c r="B125" s="153">
        <f>'Inputs advanced'!F240</f>
        <v>1</v>
      </c>
      <c r="C125" s="392" t="s">
        <v>143</v>
      </c>
      <c r="D125" s="392" t="s">
        <v>162</v>
      </c>
      <c r="E125" s="392"/>
      <c r="F125" s="392" t="s">
        <v>173</v>
      </c>
      <c r="G125" s="392" t="s">
        <v>164</v>
      </c>
      <c r="I125" s="116" t="s">
        <v>175</v>
      </c>
      <c r="J125" s="116" t="s">
        <v>177</v>
      </c>
      <c r="K125" s="116" t="s">
        <v>176</v>
      </c>
      <c r="L125" s="152" t="s">
        <v>292</v>
      </c>
      <c r="M125" s="392" t="s">
        <v>174</v>
      </c>
      <c r="N125" s="516" t="s">
        <v>43</v>
      </c>
      <c r="O125" s="516" t="s">
        <v>44</v>
      </c>
      <c r="P125" s="516" t="s">
        <v>45</v>
      </c>
      <c r="Q125" s="516" t="s">
        <v>46</v>
      </c>
      <c r="R125" s="516" t="s">
        <v>47</v>
      </c>
      <c r="S125" s="516" t="s">
        <v>48</v>
      </c>
      <c r="T125" s="516" t="s">
        <v>49</v>
      </c>
      <c r="U125" s="516" t="s">
        <v>50</v>
      </c>
      <c r="V125" s="516" t="s">
        <v>51</v>
      </c>
      <c r="AA125" s="12"/>
    </row>
    <row r="126" spans="1:27" s="113" customFormat="1" x14ac:dyDescent="0.25">
      <c r="A126" s="522" t="s">
        <v>288</v>
      </c>
      <c r="B126" s="523">
        <f>'Inputs advanced'!F245</f>
        <v>2.2000000000000455</v>
      </c>
      <c r="C126" s="113" t="s">
        <v>144</v>
      </c>
      <c r="D126" s="524" t="s">
        <v>161</v>
      </c>
      <c r="E126" s="524"/>
      <c r="F126" s="153">
        <f>B127</f>
        <v>5260</v>
      </c>
      <c r="G126" s="524" t="s">
        <v>101</v>
      </c>
      <c r="H126" s="121">
        <v>0</v>
      </c>
      <c r="I126" s="117" t="s">
        <v>161</v>
      </c>
      <c r="J126" s="117" t="s">
        <v>166</v>
      </c>
      <c r="K126" s="117">
        <f>IF($B$131=1,VLOOKUP(I126,$D$126:$F$134,2,FALSE),0)</f>
        <v>0</v>
      </c>
      <c r="L126" s="153">
        <f>B128/100</f>
        <v>3.2099999999999997E-2</v>
      </c>
      <c r="M126" s="495">
        <f>B127*(1+(L126*B126))</f>
        <v>5631.4612000000079</v>
      </c>
      <c r="N126" s="84">
        <f>$M126/9</f>
        <v>625.71791111111202</v>
      </c>
      <c r="O126" s="84">
        <f t="shared" ref="O126:V126" si="2">$M126/9</f>
        <v>625.71791111111202</v>
      </c>
      <c r="P126" s="84">
        <f t="shared" si="2"/>
        <v>625.71791111111202</v>
      </c>
      <c r="Q126" s="84">
        <f t="shared" si="2"/>
        <v>625.71791111111202</v>
      </c>
      <c r="R126" s="84">
        <f t="shared" si="2"/>
        <v>625.71791111111202</v>
      </c>
      <c r="S126" s="84">
        <f t="shared" si="2"/>
        <v>625.71791111111202</v>
      </c>
      <c r="T126" s="84">
        <f t="shared" si="2"/>
        <v>625.71791111111202</v>
      </c>
      <c r="U126" s="84">
        <f t="shared" si="2"/>
        <v>625.71791111111202</v>
      </c>
      <c r="V126" s="84">
        <f t="shared" si="2"/>
        <v>625.71791111111202</v>
      </c>
      <c r="X126" s="113" t="s">
        <v>159</v>
      </c>
      <c r="Y126" s="525" t="s">
        <v>161</v>
      </c>
      <c r="Z126" s="117" t="str">
        <f>IF(B131=1,VLOOKUP(Y126,D126:H134,4,FALSE),0)</f>
        <v>.</v>
      </c>
      <c r="AA126" s="118"/>
    </row>
    <row r="127" spans="1:27" s="113" customFormat="1" ht="15.95" customHeight="1" x14ac:dyDescent="0.25">
      <c r="A127" s="522" t="s">
        <v>289</v>
      </c>
      <c r="B127" s="526">
        <f>'Inputs advanced'!F243</f>
        <v>5260</v>
      </c>
      <c r="C127" s="392" t="s">
        <v>145</v>
      </c>
      <c r="D127" s="524" t="s">
        <v>101</v>
      </c>
      <c r="E127" s="524"/>
      <c r="F127" s="495"/>
      <c r="G127" s="524" t="s">
        <v>101</v>
      </c>
      <c r="H127" s="121">
        <v>1</v>
      </c>
      <c r="I127" s="118"/>
      <c r="J127" s="118"/>
      <c r="K127" s="118"/>
      <c r="L127" s="12"/>
      <c r="M127" s="25"/>
      <c r="N127" s="12"/>
      <c r="O127" s="12"/>
      <c r="P127" s="12"/>
      <c r="Q127" s="12"/>
      <c r="R127" s="12"/>
      <c r="S127" s="12"/>
      <c r="T127" s="12"/>
      <c r="U127" s="12"/>
      <c r="V127" s="12"/>
      <c r="X127" s="113" t="s">
        <v>160</v>
      </c>
      <c r="Y127" s="525" t="s">
        <v>166</v>
      </c>
      <c r="Z127" s="117">
        <f>IF(B131=1,VLOOKUP(Y127,G126:H134,2,FALSE),0)</f>
        <v>3</v>
      </c>
      <c r="AA127" s="118"/>
    </row>
    <row r="128" spans="1:27" s="113" customFormat="1" x14ac:dyDescent="0.25">
      <c r="A128" s="522" t="s">
        <v>591</v>
      </c>
      <c r="B128" s="381">
        <f>'Inputs advanced'!F249</f>
        <v>3.21</v>
      </c>
      <c r="C128" s="392" t="s">
        <v>146</v>
      </c>
      <c r="D128" s="524" t="s">
        <v>101</v>
      </c>
      <c r="E128" s="524"/>
      <c r="F128" s="495"/>
      <c r="G128" s="524" t="s">
        <v>101</v>
      </c>
      <c r="H128" s="121">
        <v>2</v>
      </c>
      <c r="I128" s="118"/>
      <c r="J128" s="118"/>
      <c r="K128" s="118"/>
      <c r="L128" s="12"/>
      <c r="M128" s="25"/>
      <c r="N128" s="12"/>
      <c r="O128" s="12"/>
      <c r="P128" s="12"/>
      <c r="Q128" s="12"/>
      <c r="R128" s="12"/>
      <c r="S128" s="12"/>
      <c r="T128" s="12"/>
      <c r="U128" s="12"/>
      <c r="V128" s="12"/>
      <c r="AA128" s="12"/>
    </row>
    <row r="129" spans="1:27" s="113" customFormat="1" x14ac:dyDescent="0.25">
      <c r="C129" s="392" t="s">
        <v>147</v>
      </c>
      <c r="D129" s="524" t="s">
        <v>101</v>
      </c>
      <c r="E129" s="524"/>
      <c r="F129" s="495"/>
      <c r="G129" s="524" t="s">
        <v>166</v>
      </c>
      <c r="H129" s="121">
        <v>3</v>
      </c>
      <c r="I129" s="118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 t="s">
        <v>163</v>
      </c>
      <c r="Z129" s="12" t="e">
        <f>(Z127-Z126)+1</f>
        <v>#VALUE!</v>
      </c>
      <c r="AA129" s="12"/>
    </row>
    <row r="130" spans="1:27" s="113" customFormat="1" x14ac:dyDescent="0.25">
      <c r="B130" s="118" t="s">
        <v>291</v>
      </c>
      <c r="C130" s="392" t="s">
        <v>148</v>
      </c>
      <c r="D130" s="524" t="s">
        <v>101</v>
      </c>
      <c r="E130" s="524"/>
      <c r="F130" s="495"/>
      <c r="G130" s="524" t="s">
        <v>101</v>
      </c>
      <c r="H130" s="121">
        <v>4</v>
      </c>
      <c r="I130" s="118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</row>
    <row r="131" spans="1:27" s="113" customFormat="1" x14ac:dyDescent="0.25">
      <c r="A131" s="12"/>
      <c r="B131" s="118">
        <f>IF(B125&gt;=0.2,1,0)</f>
        <v>1</v>
      </c>
      <c r="C131" s="392" t="s">
        <v>149</v>
      </c>
      <c r="D131" s="524" t="s">
        <v>101</v>
      </c>
      <c r="E131" s="524"/>
      <c r="F131" s="495"/>
      <c r="G131" s="524" t="s">
        <v>101</v>
      </c>
      <c r="H131" s="121">
        <v>5</v>
      </c>
      <c r="I131" s="118"/>
      <c r="J131" s="12"/>
      <c r="K131" s="12"/>
      <c r="L131" s="12"/>
      <c r="M131" s="517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</row>
    <row r="132" spans="1:27" s="113" customFormat="1" x14ac:dyDescent="0.25">
      <c r="B132" s="12"/>
      <c r="C132" s="392" t="s">
        <v>150</v>
      </c>
      <c r="D132" s="524" t="s">
        <v>101</v>
      </c>
      <c r="E132" s="524"/>
      <c r="F132" s="495"/>
      <c r="G132" s="524" t="s">
        <v>101</v>
      </c>
      <c r="H132" s="121">
        <v>6</v>
      </c>
      <c r="I132" s="90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Y132" s="12" t="s">
        <v>165</v>
      </c>
      <c r="Z132" s="84" t="e">
        <f>IF(B131=1,((M126-K126)/Z129)/K126,0)</f>
        <v>#VALUE!</v>
      </c>
      <c r="AA132" s="12"/>
    </row>
    <row r="133" spans="1:27" s="113" customFormat="1" x14ac:dyDescent="0.25">
      <c r="B133" s="12"/>
      <c r="C133" s="393" t="s">
        <v>151</v>
      </c>
      <c r="D133" s="524" t="s">
        <v>101</v>
      </c>
      <c r="E133" s="524"/>
      <c r="F133" s="495"/>
      <c r="G133" s="524" t="s">
        <v>101</v>
      </c>
      <c r="H133" s="121">
        <v>7</v>
      </c>
      <c r="I133" s="90"/>
      <c r="M133" s="12"/>
      <c r="N133" s="12"/>
      <c r="O133" s="12"/>
      <c r="P133" s="12"/>
      <c r="Q133" s="12"/>
      <c r="R133" s="12"/>
      <c r="S133" s="12"/>
      <c r="T133" s="12"/>
      <c r="U133" s="12"/>
      <c r="V133" s="12"/>
    </row>
    <row r="134" spans="1:27" s="113" customFormat="1" x14ac:dyDescent="0.25">
      <c r="B134" s="12"/>
      <c r="C134" s="393" t="s">
        <v>152</v>
      </c>
      <c r="D134" s="524" t="s">
        <v>101</v>
      </c>
      <c r="E134" s="524"/>
      <c r="F134" s="495"/>
      <c r="G134" s="524" t="s">
        <v>101</v>
      </c>
      <c r="H134" s="121">
        <v>8</v>
      </c>
      <c r="I134" s="90"/>
      <c r="M134" s="12"/>
      <c r="N134" s="12"/>
      <c r="O134" s="12"/>
      <c r="P134" s="12"/>
      <c r="Q134" s="12"/>
      <c r="R134" s="12"/>
      <c r="S134" s="12"/>
      <c r="T134" s="12"/>
      <c r="U134" s="12"/>
      <c r="V134" s="12"/>
    </row>
    <row r="135" spans="1:27" x14ac:dyDescent="0.25">
      <c r="B135" s="21" t="s">
        <v>184</v>
      </c>
      <c r="M135" s="21" t="s">
        <v>183</v>
      </c>
      <c r="N135" s="102">
        <f t="shared" ref="N135:V135" si="3">SUM(N126:N134)</f>
        <v>625.71791111111202</v>
      </c>
      <c r="O135" s="102">
        <f t="shared" si="3"/>
        <v>625.71791111111202</v>
      </c>
      <c r="P135" s="102">
        <f t="shared" si="3"/>
        <v>625.71791111111202</v>
      </c>
      <c r="Q135" s="102">
        <f t="shared" si="3"/>
        <v>625.71791111111202</v>
      </c>
      <c r="R135" s="102">
        <f t="shared" si="3"/>
        <v>625.71791111111202</v>
      </c>
      <c r="S135" s="102">
        <f t="shared" si="3"/>
        <v>625.71791111111202</v>
      </c>
      <c r="T135" s="102">
        <f t="shared" si="3"/>
        <v>625.71791111111202</v>
      </c>
      <c r="U135" s="102">
        <f t="shared" si="3"/>
        <v>625.71791111111202</v>
      </c>
      <c r="V135" s="102">
        <f t="shared" si="3"/>
        <v>625.71791111111202</v>
      </c>
    </row>
    <row r="136" spans="1:27" x14ac:dyDescent="0.25">
      <c r="B136" s="21"/>
      <c r="M136" s="21"/>
      <c r="N136" s="102"/>
      <c r="O136" s="102"/>
      <c r="P136" s="102"/>
      <c r="Q136" s="102"/>
      <c r="R136" s="102"/>
      <c r="S136" s="102"/>
      <c r="T136" s="102"/>
      <c r="U136" s="102"/>
      <c r="V136" s="102"/>
    </row>
    <row r="137" spans="1:27" x14ac:dyDescent="0.25">
      <c r="B137" s="21"/>
      <c r="M137" s="21"/>
      <c r="N137" s="102"/>
      <c r="O137" s="102"/>
      <c r="P137" s="102"/>
      <c r="Q137" s="102"/>
      <c r="R137" s="102"/>
      <c r="S137" s="102"/>
      <c r="T137" s="102"/>
      <c r="U137" s="102"/>
      <c r="V137" s="102"/>
    </row>
    <row r="138" spans="1:27" x14ac:dyDescent="0.25">
      <c r="B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</row>
    <row r="139" spans="1:27" ht="21" x14ac:dyDescent="0.35">
      <c r="A139" s="123" t="s">
        <v>141</v>
      </c>
      <c r="B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</row>
    <row r="140" spans="1:27" x14ac:dyDescent="0.25">
      <c r="B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</row>
    <row r="141" spans="1:27" x14ac:dyDescent="0.25">
      <c r="B141" s="22"/>
      <c r="H141" s="115" t="s">
        <v>132</v>
      </c>
      <c r="I141" s="114"/>
      <c r="J141" s="114"/>
      <c r="M141" s="22"/>
      <c r="N141" s="22"/>
      <c r="O141" s="22"/>
      <c r="P141" s="22"/>
      <c r="Q141" s="22"/>
      <c r="R141" s="22"/>
      <c r="S141" s="22"/>
      <c r="T141" s="22"/>
      <c r="U141" s="22"/>
      <c r="V141" s="22"/>
    </row>
    <row r="142" spans="1:27" x14ac:dyDescent="0.25">
      <c r="A142" s="63" t="s">
        <v>60</v>
      </c>
      <c r="B142" s="22"/>
      <c r="H142" s="162" t="s">
        <v>315</v>
      </c>
      <c r="I142" s="163"/>
      <c r="J142" s="163"/>
    </row>
    <row r="143" spans="1:27" ht="31.5" x14ac:dyDescent="0.25">
      <c r="A143" s="45" t="s">
        <v>800</v>
      </c>
      <c r="D143" s="796" t="s">
        <v>532</v>
      </c>
      <c r="E143" s="796"/>
      <c r="F143" s="796"/>
      <c r="H143" s="398" t="s">
        <v>854</v>
      </c>
      <c r="I143" s="6"/>
      <c r="M143" s="343" t="s">
        <v>645</v>
      </c>
    </row>
    <row r="144" spans="1:27" x14ac:dyDescent="0.25">
      <c r="A144" s="19" t="s">
        <v>16</v>
      </c>
      <c r="B144" s="492" t="str">
        <f>A18</f>
        <v>Arabe</v>
      </c>
      <c r="C144" s="492" t="s">
        <v>549</v>
      </c>
      <c r="D144" s="492" t="s">
        <v>602</v>
      </c>
      <c r="E144" s="492" t="s">
        <v>605</v>
      </c>
      <c r="F144" s="492" t="s">
        <v>604</v>
      </c>
      <c r="G144" s="514"/>
      <c r="H144" s="126"/>
      <c r="I144" s="126"/>
      <c r="J144" s="126"/>
      <c r="K144" s="584"/>
      <c r="L144" s="510" t="s">
        <v>534</v>
      </c>
      <c r="M144" s="589"/>
      <c r="N144" s="3"/>
      <c r="O144" s="23"/>
    </row>
    <row r="145" spans="1:20" x14ac:dyDescent="0.25">
      <c r="A145" s="90">
        <v>0</v>
      </c>
      <c r="B145" s="498">
        <v>0</v>
      </c>
      <c r="C145" s="498">
        <v>0</v>
      </c>
      <c r="D145" s="498">
        <v>0</v>
      </c>
      <c r="E145" s="498">
        <v>0</v>
      </c>
      <c r="F145" s="498">
        <v>0</v>
      </c>
      <c r="G145" s="164">
        <v>0</v>
      </c>
      <c r="H145" s="512"/>
      <c r="I145" s="512"/>
      <c r="J145" s="12"/>
      <c r="K145" s="12"/>
      <c r="L145" s="511">
        <f>SUM(H145:K145)</f>
        <v>0</v>
      </c>
      <c r="O145" s="71"/>
      <c r="Q145" s="20"/>
    </row>
    <row r="146" spans="1:20" x14ac:dyDescent="0.25">
      <c r="A146" s="18">
        <v>1</v>
      </c>
      <c r="B146" s="498">
        <v>0</v>
      </c>
      <c r="C146" s="498">
        <v>0</v>
      </c>
      <c r="D146" s="498">
        <v>0</v>
      </c>
      <c r="E146" s="498">
        <v>0</v>
      </c>
      <c r="F146" s="498">
        <v>0</v>
      </c>
      <c r="G146" s="13">
        <v>1</v>
      </c>
      <c r="H146" s="512"/>
      <c r="I146" s="512"/>
      <c r="J146" s="12"/>
      <c r="K146" s="12"/>
      <c r="L146" s="511">
        <f>SUM(H146:K146)</f>
        <v>0</v>
      </c>
      <c r="O146" s="71"/>
      <c r="Q146" s="20"/>
    </row>
    <row r="147" spans="1:20" x14ac:dyDescent="0.25">
      <c r="A147" s="18">
        <v>2</v>
      </c>
      <c r="B147" s="498">
        <v>0</v>
      </c>
      <c r="C147" s="498">
        <v>0</v>
      </c>
      <c r="D147" s="498">
        <v>0</v>
      </c>
      <c r="E147" s="498">
        <v>0</v>
      </c>
      <c r="F147" s="498">
        <v>0</v>
      </c>
      <c r="G147" s="13">
        <v>2</v>
      </c>
      <c r="H147" s="513"/>
      <c r="I147" s="585"/>
      <c r="J147" s="585"/>
      <c r="K147" s="10"/>
      <c r="L147" s="511">
        <f>'Inputs advanced'!F78</f>
        <v>2.7450980392156863</v>
      </c>
      <c r="M147" s="590"/>
      <c r="O147" s="71"/>
      <c r="Q147" s="20"/>
    </row>
    <row r="148" spans="1:20" x14ac:dyDescent="0.25">
      <c r="A148" s="18">
        <v>3</v>
      </c>
      <c r="B148" s="498">
        <v>0</v>
      </c>
      <c r="C148" s="498">
        <v>0</v>
      </c>
      <c r="D148" s="498">
        <v>0</v>
      </c>
      <c r="E148" s="498">
        <v>0</v>
      </c>
      <c r="F148" s="498">
        <v>0</v>
      </c>
      <c r="G148" s="13">
        <v>3</v>
      </c>
      <c r="H148" s="513"/>
      <c r="I148" s="585"/>
      <c r="J148" s="585"/>
      <c r="K148" s="10"/>
      <c r="L148" s="511">
        <f>'Inputs advanced'!F78</f>
        <v>2.7450980392156863</v>
      </c>
      <c r="M148" s="590"/>
      <c r="O148" s="71"/>
      <c r="Q148" s="20"/>
    </row>
    <row r="149" spans="1:20" x14ac:dyDescent="0.25">
      <c r="A149" s="18">
        <v>4</v>
      </c>
      <c r="B149" s="498">
        <v>0</v>
      </c>
      <c r="C149" s="498">
        <v>0</v>
      </c>
      <c r="D149" s="498">
        <v>0</v>
      </c>
      <c r="E149" s="498">
        <v>0</v>
      </c>
      <c r="F149" s="498">
        <v>0</v>
      </c>
      <c r="G149" s="13">
        <v>4</v>
      </c>
      <c r="H149" s="513"/>
      <c r="I149" s="585"/>
      <c r="J149" s="585"/>
      <c r="K149" s="10"/>
      <c r="L149" s="511">
        <f>'Inputs advanced'!F105</f>
        <v>14</v>
      </c>
      <c r="M149" s="590"/>
      <c r="N149" s="315"/>
      <c r="O149" s="71"/>
      <c r="Q149" s="20"/>
    </row>
    <row r="150" spans="1:20" x14ac:dyDescent="0.25">
      <c r="A150" s="18">
        <v>5</v>
      </c>
      <c r="B150" s="498">
        <v>0</v>
      </c>
      <c r="C150" s="498">
        <v>0</v>
      </c>
      <c r="D150" s="498">
        <v>0</v>
      </c>
      <c r="E150" s="498">
        <v>0</v>
      </c>
      <c r="F150" s="498">
        <v>0</v>
      </c>
      <c r="G150" s="13">
        <v>5</v>
      </c>
      <c r="H150" s="513"/>
      <c r="I150" s="585"/>
      <c r="J150" s="585"/>
      <c r="K150" s="10"/>
      <c r="L150" s="511">
        <f>'Inputs advanced'!F105</f>
        <v>14</v>
      </c>
      <c r="M150" s="590"/>
      <c r="O150" s="71"/>
      <c r="Q150" s="20"/>
    </row>
    <row r="151" spans="1:20" x14ac:dyDescent="0.25">
      <c r="A151" s="18">
        <v>6</v>
      </c>
      <c r="B151" s="498">
        <v>0</v>
      </c>
      <c r="C151" s="498">
        <v>0</v>
      </c>
      <c r="D151" s="498">
        <v>0</v>
      </c>
      <c r="E151" s="498">
        <v>0</v>
      </c>
      <c r="F151" s="498">
        <v>0</v>
      </c>
      <c r="G151" s="13">
        <v>6</v>
      </c>
      <c r="H151" s="513"/>
      <c r="I151" s="585"/>
      <c r="J151" s="585"/>
      <c r="K151" s="10"/>
      <c r="L151" s="511">
        <f>'Inputs advanced'!F132</f>
        <v>15.400000000000002</v>
      </c>
      <c r="M151" s="590"/>
      <c r="O151" s="71"/>
      <c r="Q151" s="20"/>
    </row>
    <row r="152" spans="1:20" x14ac:dyDescent="0.25">
      <c r="A152" s="18">
        <v>7</v>
      </c>
      <c r="B152" s="498">
        <v>0</v>
      </c>
      <c r="C152" s="498">
        <v>0</v>
      </c>
      <c r="D152" s="498">
        <v>0</v>
      </c>
      <c r="E152" s="498">
        <v>0</v>
      </c>
      <c r="F152" s="498">
        <v>0</v>
      </c>
      <c r="G152" s="13">
        <v>7</v>
      </c>
      <c r="H152" s="513"/>
      <c r="I152" s="586"/>
      <c r="J152" s="585"/>
      <c r="K152" s="10"/>
      <c r="L152" s="511">
        <f>'Inputs advanced'!F132</f>
        <v>15.400000000000002</v>
      </c>
      <c r="M152" s="590"/>
      <c r="O152" s="71"/>
      <c r="Q152" s="20"/>
    </row>
    <row r="153" spans="1:20" x14ac:dyDescent="0.25">
      <c r="A153" s="18">
        <v>8</v>
      </c>
      <c r="B153" s="498">
        <v>0</v>
      </c>
      <c r="C153" s="498">
        <v>0</v>
      </c>
      <c r="D153" s="498">
        <v>0</v>
      </c>
      <c r="E153" s="498">
        <v>0</v>
      </c>
      <c r="F153" s="498">
        <v>0</v>
      </c>
      <c r="G153" s="13">
        <v>8</v>
      </c>
      <c r="H153" s="513"/>
      <c r="I153" s="513"/>
      <c r="J153" s="12"/>
      <c r="K153" s="10"/>
      <c r="L153" s="511">
        <f>'Inputs advanced'!F132</f>
        <v>15.400000000000002</v>
      </c>
      <c r="M153" s="590"/>
      <c r="O153" s="71"/>
      <c r="Q153" s="20"/>
    </row>
    <row r="154" spans="1:20" x14ac:dyDescent="0.25">
      <c r="A154" s="18"/>
      <c r="F154" s="20"/>
      <c r="G154" s="20"/>
      <c r="H154" s="42"/>
    </row>
    <row r="155" spans="1:20" x14ac:dyDescent="0.25">
      <c r="A155" s="18"/>
      <c r="F155" s="20"/>
      <c r="G155" s="20"/>
      <c r="H155" s="42"/>
      <c r="K155" s="164" t="s">
        <v>465</v>
      </c>
      <c r="L155" s="583">
        <f>AVERAGE(L147:L153)</f>
        <v>11.384313725490198</v>
      </c>
      <c r="M155" s="591"/>
      <c r="O155" s="20"/>
    </row>
    <row r="156" spans="1:20" x14ac:dyDescent="0.25">
      <c r="A156" s="18"/>
      <c r="F156" s="20"/>
      <c r="G156" s="20"/>
      <c r="H156" s="42"/>
      <c r="L156" s="10">
        <f>L155*Conversiones!C14</f>
        <v>1154.3694117647062</v>
      </c>
    </row>
    <row r="157" spans="1:20" ht="18.75" x14ac:dyDescent="0.3">
      <c r="A157" s="161" t="s">
        <v>314</v>
      </c>
      <c r="F157" s="20"/>
      <c r="G157" s="20"/>
      <c r="H157" s="42"/>
      <c r="O157" s="250"/>
    </row>
    <row r="158" spans="1:20" s="22" customFormat="1" ht="31.5" x14ac:dyDescent="0.25">
      <c r="A158" s="45" t="s">
        <v>804</v>
      </c>
      <c r="B158" s="10"/>
      <c r="C158" s="10"/>
      <c r="G158" s="158"/>
      <c r="H158" s="159"/>
      <c r="I158" s="796" t="s">
        <v>561</v>
      </c>
      <c r="J158" s="796"/>
      <c r="K158" s="12"/>
      <c r="L158" s="12" t="s">
        <v>531</v>
      </c>
    </row>
    <row r="159" spans="1:20" s="22" customFormat="1" x14ac:dyDescent="0.25">
      <c r="A159" s="19" t="s">
        <v>16</v>
      </c>
      <c r="B159" s="492" t="str">
        <f>B144</f>
        <v>Arabe</v>
      </c>
      <c r="C159" s="492" t="str">
        <f>C144</f>
        <v>Borbon</v>
      </c>
      <c r="D159" s="492" t="str">
        <f>D144</f>
        <v>Caturra</v>
      </c>
      <c r="E159" s="492" t="str">
        <f>E144</f>
        <v>Mondonovo</v>
      </c>
      <c r="F159" s="492" t="str">
        <f>F144</f>
        <v>Marago</v>
      </c>
      <c r="G159" s="492"/>
      <c r="H159" s="492" t="s">
        <v>560</v>
      </c>
      <c r="I159" s="492" t="s">
        <v>548</v>
      </c>
      <c r="J159" s="492" t="s">
        <v>549</v>
      </c>
      <c r="K159" s="492" t="s">
        <v>553</v>
      </c>
      <c r="L159" s="492" t="s">
        <v>554</v>
      </c>
      <c r="M159" s="492" t="s">
        <v>555</v>
      </c>
      <c r="N159" s="492" t="s">
        <v>560</v>
      </c>
      <c r="O159" s="493" t="s">
        <v>562</v>
      </c>
    </row>
    <row r="160" spans="1:20" s="22" customFormat="1" x14ac:dyDescent="0.25">
      <c r="A160" s="90">
        <v>0</v>
      </c>
      <c r="B160" s="498">
        <v>0</v>
      </c>
      <c r="C160" s="498"/>
      <c r="D160" s="498"/>
      <c r="E160" s="498"/>
      <c r="F160" s="498"/>
      <c r="G160" s="498">
        <v>0</v>
      </c>
      <c r="H160" s="498"/>
      <c r="I160" s="515"/>
      <c r="J160" s="515"/>
      <c r="K160" s="515"/>
      <c r="L160" s="515"/>
      <c r="M160" s="515"/>
      <c r="N160" s="72"/>
      <c r="O160" s="72"/>
      <c r="P160" s="159"/>
      <c r="Q160" s="12"/>
      <c r="R160" s="12"/>
      <c r="S160" s="12"/>
      <c r="T160" s="12"/>
    </row>
    <row r="161" spans="1:21" s="22" customFormat="1" x14ac:dyDescent="0.25">
      <c r="A161" s="18">
        <v>1</v>
      </c>
      <c r="B161" s="61">
        <v>0</v>
      </c>
      <c r="C161" s="61"/>
      <c r="D161" s="61"/>
      <c r="E161" s="61"/>
      <c r="F161" s="61"/>
      <c r="G161" s="61">
        <v>0</v>
      </c>
      <c r="H161" s="61"/>
      <c r="I161" s="72"/>
      <c r="J161" s="72"/>
      <c r="K161" s="72"/>
      <c r="L161" s="72"/>
      <c r="M161" s="72"/>
      <c r="N161" s="72"/>
      <c r="O161" s="72"/>
      <c r="P161" s="159"/>
      <c r="Q161" s="12"/>
      <c r="R161" s="12"/>
      <c r="S161" s="12"/>
      <c r="T161" s="12"/>
    </row>
    <row r="162" spans="1:21" s="22" customFormat="1" x14ac:dyDescent="0.25">
      <c r="A162" s="18">
        <v>2</v>
      </c>
      <c r="B162" s="146" t="s">
        <v>101</v>
      </c>
      <c r="C162" s="146" t="s">
        <v>101</v>
      </c>
      <c r="D162" s="146" t="s">
        <v>101</v>
      </c>
      <c r="E162" s="146" t="s">
        <v>101</v>
      </c>
      <c r="F162" s="146" t="s">
        <v>101</v>
      </c>
      <c r="G162" s="146" t="s">
        <v>101</v>
      </c>
      <c r="H162" s="146" t="s">
        <v>101</v>
      </c>
      <c r="I162" s="72" t="s">
        <v>101</v>
      </c>
      <c r="J162" s="72" t="s">
        <v>101</v>
      </c>
      <c r="K162" s="72" t="s">
        <v>101</v>
      </c>
      <c r="L162" s="72" t="s">
        <v>101</v>
      </c>
      <c r="M162" s="72" t="s">
        <v>101</v>
      </c>
      <c r="N162" s="72" t="s">
        <v>101</v>
      </c>
      <c r="O162" s="102" t="s">
        <v>101</v>
      </c>
      <c r="P162" s="159"/>
      <c r="Q162" s="12"/>
      <c r="R162" s="12"/>
      <c r="S162" s="12"/>
      <c r="T162" s="84"/>
      <c r="U162" s="72"/>
    </row>
    <row r="163" spans="1:21" s="22" customFormat="1" x14ac:dyDescent="0.25">
      <c r="A163" s="18">
        <v>3</v>
      </c>
      <c r="B163" s="146" t="s">
        <v>101</v>
      </c>
      <c r="C163" s="146" t="s">
        <v>101</v>
      </c>
      <c r="D163" s="146" t="s">
        <v>101</v>
      </c>
      <c r="E163" s="146" t="s">
        <v>101</v>
      </c>
      <c r="F163" s="146" t="s">
        <v>101</v>
      </c>
      <c r="G163" s="146" t="s">
        <v>101</v>
      </c>
      <c r="H163" s="146" t="s">
        <v>101</v>
      </c>
      <c r="I163" s="72" t="s">
        <v>101</v>
      </c>
      <c r="J163" s="72" t="s">
        <v>101</v>
      </c>
      <c r="K163" s="72" t="s">
        <v>101</v>
      </c>
      <c r="L163" s="72" t="s">
        <v>101</v>
      </c>
      <c r="M163" s="72" t="s">
        <v>101</v>
      </c>
      <c r="N163" s="72" t="s">
        <v>101</v>
      </c>
      <c r="O163" s="102" t="s">
        <v>101</v>
      </c>
      <c r="P163" s="159"/>
      <c r="Q163" s="12"/>
      <c r="R163" s="12"/>
      <c r="S163" s="12"/>
      <c r="T163" s="12"/>
    </row>
    <row r="164" spans="1:21" s="22" customFormat="1" x14ac:dyDescent="0.25">
      <c r="A164" s="18">
        <v>4</v>
      </c>
      <c r="B164" s="146" t="s">
        <v>101</v>
      </c>
      <c r="C164" s="146" t="s">
        <v>101</v>
      </c>
      <c r="D164" s="146" t="s">
        <v>101</v>
      </c>
      <c r="E164" s="146" t="s">
        <v>101</v>
      </c>
      <c r="F164" s="146" t="s">
        <v>101</v>
      </c>
      <c r="G164" s="146" t="s">
        <v>101</v>
      </c>
      <c r="H164" s="146" t="s">
        <v>101</v>
      </c>
      <c r="I164" s="72" t="s">
        <v>101</v>
      </c>
      <c r="J164" s="72" t="s">
        <v>101</v>
      </c>
      <c r="K164" s="72" t="s">
        <v>101</v>
      </c>
      <c r="L164" s="72" t="s">
        <v>101</v>
      </c>
      <c r="M164" s="72" t="s">
        <v>101</v>
      </c>
      <c r="N164" s="72" t="s">
        <v>101</v>
      </c>
      <c r="O164" s="102" t="s">
        <v>101</v>
      </c>
      <c r="P164" s="159"/>
      <c r="Q164" s="12"/>
      <c r="R164" s="12"/>
      <c r="S164" s="12"/>
      <c r="T164" s="12"/>
    </row>
    <row r="165" spans="1:21" s="22" customFormat="1" x14ac:dyDescent="0.25">
      <c r="A165" s="18">
        <v>5</v>
      </c>
      <c r="B165" s="146" t="s">
        <v>101</v>
      </c>
      <c r="C165" s="146" t="s">
        <v>101</v>
      </c>
      <c r="D165" s="146" t="s">
        <v>101</v>
      </c>
      <c r="E165" s="146" t="s">
        <v>101</v>
      </c>
      <c r="F165" s="146" t="s">
        <v>101</v>
      </c>
      <c r="G165" s="146" t="s">
        <v>101</v>
      </c>
      <c r="H165" s="146" t="s">
        <v>101</v>
      </c>
      <c r="I165" s="72" t="s">
        <v>101</v>
      </c>
      <c r="J165" s="72" t="s">
        <v>101</v>
      </c>
      <c r="K165" s="72" t="s">
        <v>101</v>
      </c>
      <c r="L165" s="72" t="s">
        <v>101</v>
      </c>
      <c r="M165" s="72" t="s">
        <v>101</v>
      </c>
      <c r="N165" s="72" t="s">
        <v>101</v>
      </c>
      <c r="O165" s="102" t="s">
        <v>101</v>
      </c>
      <c r="P165" s="159"/>
      <c r="Q165" s="12"/>
      <c r="R165" s="12"/>
      <c r="S165" s="12"/>
      <c r="T165" s="12"/>
    </row>
    <row r="166" spans="1:21" s="22" customFormat="1" x14ac:dyDescent="0.25">
      <c r="A166" s="18">
        <v>6</v>
      </c>
      <c r="B166" s="146" t="s">
        <v>101</v>
      </c>
      <c r="C166" s="146" t="s">
        <v>101</v>
      </c>
      <c r="D166" s="146" t="s">
        <v>101</v>
      </c>
      <c r="E166" s="146" t="s">
        <v>101</v>
      </c>
      <c r="F166" s="146" t="s">
        <v>101</v>
      </c>
      <c r="G166" s="146" t="s">
        <v>101</v>
      </c>
      <c r="H166" s="146" t="s">
        <v>101</v>
      </c>
      <c r="I166" s="72" t="s">
        <v>101</v>
      </c>
      <c r="J166" s="72" t="s">
        <v>101</v>
      </c>
      <c r="K166" s="72" t="s">
        <v>101</v>
      </c>
      <c r="L166" s="72" t="s">
        <v>101</v>
      </c>
      <c r="M166" s="72" t="s">
        <v>101</v>
      </c>
      <c r="N166" s="72" t="s">
        <v>101</v>
      </c>
      <c r="O166" s="102" t="s">
        <v>101</v>
      </c>
      <c r="P166" s="159"/>
      <c r="Q166" s="12"/>
      <c r="R166" s="12"/>
      <c r="S166" s="12"/>
      <c r="T166" s="12"/>
    </row>
    <row r="167" spans="1:21" s="22" customFormat="1" x14ac:dyDescent="0.25">
      <c r="A167" s="18">
        <v>7</v>
      </c>
      <c r="B167" s="146" t="s">
        <v>101</v>
      </c>
      <c r="C167" s="146" t="s">
        <v>101</v>
      </c>
      <c r="D167" s="146" t="s">
        <v>101</v>
      </c>
      <c r="E167" s="146" t="s">
        <v>101</v>
      </c>
      <c r="F167" s="146" t="s">
        <v>101</v>
      </c>
      <c r="G167" s="146" t="s">
        <v>101</v>
      </c>
      <c r="H167" s="146" t="s">
        <v>101</v>
      </c>
      <c r="I167" s="72" t="s">
        <v>101</v>
      </c>
      <c r="J167" s="72" t="s">
        <v>101</v>
      </c>
      <c r="K167" s="72" t="s">
        <v>101</v>
      </c>
      <c r="L167" s="72" t="s">
        <v>101</v>
      </c>
      <c r="M167" s="72" t="s">
        <v>101</v>
      </c>
      <c r="N167" s="72" t="s">
        <v>101</v>
      </c>
      <c r="O167" s="102" t="s">
        <v>101</v>
      </c>
      <c r="P167" s="159"/>
      <c r="Q167" s="12"/>
      <c r="R167" s="12"/>
      <c r="T167" s="12"/>
    </row>
    <row r="168" spans="1:21" s="22" customFormat="1" x14ac:dyDescent="0.25">
      <c r="A168" s="18">
        <v>8</v>
      </c>
      <c r="B168" s="146" t="s">
        <v>101</v>
      </c>
      <c r="C168" s="146" t="s">
        <v>101</v>
      </c>
      <c r="D168" s="146" t="s">
        <v>101</v>
      </c>
      <c r="E168" s="146" t="s">
        <v>101</v>
      </c>
      <c r="F168" s="146" t="s">
        <v>101</v>
      </c>
      <c r="G168" s="146" t="s">
        <v>101</v>
      </c>
      <c r="H168" s="146" t="s">
        <v>101</v>
      </c>
      <c r="I168" s="72" t="s">
        <v>101</v>
      </c>
      <c r="J168" s="72" t="s">
        <v>101</v>
      </c>
      <c r="K168" s="72" t="s">
        <v>101</v>
      </c>
      <c r="L168" s="72" t="s">
        <v>101</v>
      </c>
      <c r="M168" s="72" t="s">
        <v>101</v>
      </c>
      <c r="N168" s="72" t="s">
        <v>101</v>
      </c>
      <c r="O168" s="102" t="s">
        <v>101</v>
      </c>
      <c r="P168" s="159"/>
      <c r="Q168" s="12"/>
      <c r="R168" s="12"/>
      <c r="S168" s="12"/>
      <c r="T168" s="12"/>
    </row>
    <row r="169" spans="1:21" s="22" customFormat="1" x14ac:dyDescent="0.25">
      <c r="A169" s="157"/>
      <c r="F169" s="158"/>
      <c r="G169" s="158"/>
      <c r="H169" s="159"/>
      <c r="I169" s="12"/>
      <c r="J169" s="12"/>
      <c r="L169" s="12"/>
    </row>
    <row r="170" spans="1:21" s="22" customFormat="1" ht="31.5" x14ac:dyDescent="0.25">
      <c r="A170" s="45" t="s">
        <v>805</v>
      </c>
      <c r="D170" s="796"/>
      <c r="E170" s="796"/>
      <c r="F170" s="796"/>
      <c r="G170" s="158"/>
      <c r="H170" s="159"/>
      <c r="I170" s="12"/>
      <c r="J170" s="12"/>
      <c r="K170" s="12"/>
      <c r="L170" s="12"/>
    </row>
    <row r="171" spans="1:21" s="12" customFormat="1" x14ac:dyDescent="0.25">
      <c r="A171" s="19" t="s">
        <v>16</v>
      </c>
      <c r="B171" s="492" t="str">
        <f>B144</f>
        <v>Arabe</v>
      </c>
      <c r="C171" s="492" t="str">
        <f>C144</f>
        <v>Borbon</v>
      </c>
      <c r="D171" s="492" t="str">
        <f>D144</f>
        <v>Caturra</v>
      </c>
      <c r="E171" s="492" t="str">
        <f>E144</f>
        <v>Mondonovo</v>
      </c>
      <c r="F171" s="492" t="s">
        <v>604</v>
      </c>
      <c r="G171" s="492"/>
      <c r="H171" s="492" t="s">
        <v>560</v>
      </c>
      <c r="I171" s="493" t="s">
        <v>562</v>
      </c>
      <c r="J171" s="494" t="s">
        <v>609</v>
      </c>
      <c r="K171" s="308" t="s">
        <v>610</v>
      </c>
    </row>
    <row r="172" spans="1:21" s="12" customFormat="1" x14ac:dyDescent="0.25">
      <c r="A172" s="90">
        <v>0</v>
      </c>
      <c r="B172" s="495">
        <f t="shared" ref="B172:F180" si="4">B145</f>
        <v>0</v>
      </c>
      <c r="C172" s="495">
        <f t="shared" si="4"/>
        <v>0</v>
      </c>
      <c r="D172" s="495">
        <f t="shared" si="4"/>
        <v>0</v>
      </c>
      <c r="E172" s="495">
        <f t="shared" si="4"/>
        <v>0</v>
      </c>
      <c r="F172" s="495">
        <f t="shared" si="4"/>
        <v>0</v>
      </c>
      <c r="G172" s="495"/>
      <c r="H172" s="495"/>
      <c r="I172" s="495"/>
      <c r="J172" s="495"/>
      <c r="K172" s="495"/>
      <c r="M172" s="159"/>
      <c r="N172" s="159"/>
    </row>
    <row r="173" spans="1:21" s="12" customFormat="1" x14ac:dyDescent="0.25">
      <c r="A173" s="90">
        <v>1</v>
      </c>
      <c r="B173" s="495">
        <f t="shared" si="4"/>
        <v>0</v>
      </c>
      <c r="C173" s="495">
        <f t="shared" si="4"/>
        <v>0</v>
      </c>
      <c r="D173" s="495">
        <f t="shared" si="4"/>
        <v>0</v>
      </c>
      <c r="E173" s="495">
        <f t="shared" si="4"/>
        <v>0</v>
      </c>
      <c r="F173" s="495">
        <f t="shared" si="4"/>
        <v>0</v>
      </c>
      <c r="G173" s="495"/>
      <c r="H173" s="495"/>
      <c r="I173" s="495"/>
      <c r="J173" s="495"/>
      <c r="K173" s="495"/>
      <c r="M173" s="159"/>
      <c r="N173" s="159"/>
    </row>
    <row r="174" spans="1:21" s="12" customFormat="1" x14ac:dyDescent="0.25">
      <c r="A174" s="90">
        <v>2</v>
      </c>
      <c r="B174" s="153">
        <f t="shared" si="4"/>
        <v>0</v>
      </c>
      <c r="C174" s="153">
        <f t="shared" si="4"/>
        <v>0</v>
      </c>
      <c r="D174" s="153">
        <f t="shared" si="4"/>
        <v>0</v>
      </c>
      <c r="E174" s="153">
        <f t="shared" si="4"/>
        <v>0</v>
      </c>
      <c r="F174" s="153">
        <f t="shared" si="4"/>
        <v>0</v>
      </c>
      <c r="G174" s="153"/>
      <c r="H174" s="153"/>
      <c r="I174" s="545">
        <f>(B174*$B$18+C174*$B$19+D174*$B$23+E174*$B$28+F174*$B$26)/0.973</f>
        <v>0</v>
      </c>
      <c r="J174" s="496" t="s">
        <v>101</v>
      </c>
      <c r="K174" s="496" t="s">
        <v>101</v>
      </c>
      <c r="M174" s="159"/>
      <c r="N174" s="159"/>
    </row>
    <row r="175" spans="1:21" s="12" customFormat="1" x14ac:dyDescent="0.25">
      <c r="A175" s="90">
        <v>3</v>
      </c>
      <c r="B175" s="153">
        <f t="shared" si="4"/>
        <v>0</v>
      </c>
      <c r="C175" s="153">
        <f t="shared" si="4"/>
        <v>0</v>
      </c>
      <c r="D175" s="153">
        <f t="shared" si="4"/>
        <v>0</v>
      </c>
      <c r="E175" s="153">
        <f t="shared" si="4"/>
        <v>0</v>
      </c>
      <c r="F175" s="153">
        <f t="shared" si="4"/>
        <v>0</v>
      </c>
      <c r="G175" s="153"/>
      <c r="H175" s="153"/>
      <c r="I175" s="545">
        <f t="shared" ref="I175:I180" si="5">(B175*$B$18+C175*$B$19+D175*$B$23+E175*$B$28+F175*$B$26)/0.973</f>
        <v>0</v>
      </c>
      <c r="J175" s="496" t="s">
        <v>101</v>
      </c>
      <c r="K175" s="496" t="s">
        <v>101</v>
      </c>
      <c r="M175" s="159"/>
      <c r="N175" s="159"/>
    </row>
    <row r="176" spans="1:21" s="12" customFormat="1" x14ac:dyDescent="0.25">
      <c r="A176" s="90">
        <v>4</v>
      </c>
      <c r="B176" s="153">
        <f t="shared" si="4"/>
        <v>0</v>
      </c>
      <c r="C176" s="153">
        <f t="shared" si="4"/>
        <v>0</v>
      </c>
      <c r="D176" s="153">
        <f t="shared" si="4"/>
        <v>0</v>
      </c>
      <c r="E176" s="153">
        <f t="shared" si="4"/>
        <v>0</v>
      </c>
      <c r="F176" s="153">
        <f t="shared" si="4"/>
        <v>0</v>
      </c>
      <c r="G176" s="153"/>
      <c r="H176" s="153"/>
      <c r="I176" s="545">
        <f t="shared" si="5"/>
        <v>0</v>
      </c>
      <c r="J176" s="496" t="s">
        <v>101</v>
      </c>
      <c r="K176" s="496" t="s">
        <v>101</v>
      </c>
      <c r="M176" s="159"/>
      <c r="N176" s="159"/>
    </row>
    <row r="177" spans="1:14" s="12" customFormat="1" x14ac:dyDescent="0.25">
      <c r="A177" s="90">
        <v>5</v>
      </c>
      <c r="B177" s="153">
        <f t="shared" si="4"/>
        <v>0</v>
      </c>
      <c r="C177" s="153">
        <f t="shared" si="4"/>
        <v>0</v>
      </c>
      <c r="D177" s="153">
        <f t="shared" si="4"/>
        <v>0</v>
      </c>
      <c r="E177" s="153">
        <f t="shared" si="4"/>
        <v>0</v>
      </c>
      <c r="F177" s="153">
        <f t="shared" si="4"/>
        <v>0</v>
      </c>
      <c r="G177" s="153"/>
      <c r="H177" s="153"/>
      <c r="I177" s="545">
        <f t="shared" si="5"/>
        <v>0</v>
      </c>
      <c r="J177" s="496" t="s">
        <v>101</v>
      </c>
      <c r="K177" s="496" t="s">
        <v>101</v>
      </c>
      <c r="M177" s="159"/>
      <c r="N177" s="159"/>
    </row>
    <row r="178" spans="1:14" s="12" customFormat="1" x14ac:dyDescent="0.25">
      <c r="A178" s="90">
        <v>6</v>
      </c>
      <c r="B178" s="153">
        <f t="shared" si="4"/>
        <v>0</v>
      </c>
      <c r="C178" s="153">
        <f t="shared" si="4"/>
        <v>0</v>
      </c>
      <c r="D178" s="153">
        <f t="shared" si="4"/>
        <v>0</v>
      </c>
      <c r="E178" s="153">
        <f t="shared" si="4"/>
        <v>0</v>
      </c>
      <c r="F178" s="153">
        <f t="shared" si="4"/>
        <v>0</v>
      </c>
      <c r="G178" s="153"/>
      <c r="H178" s="153"/>
      <c r="I178" s="545">
        <f t="shared" si="5"/>
        <v>0</v>
      </c>
      <c r="J178" s="496" t="s">
        <v>101</v>
      </c>
      <c r="K178" s="496" t="s">
        <v>101</v>
      </c>
      <c r="M178" s="159"/>
      <c r="N178" s="159"/>
    </row>
    <row r="179" spans="1:14" s="12" customFormat="1" x14ac:dyDescent="0.25">
      <c r="A179" s="90">
        <v>7</v>
      </c>
      <c r="B179" s="153">
        <f t="shared" si="4"/>
        <v>0</v>
      </c>
      <c r="C179" s="153">
        <f t="shared" si="4"/>
        <v>0</v>
      </c>
      <c r="D179" s="153">
        <f t="shared" si="4"/>
        <v>0</v>
      </c>
      <c r="E179" s="153">
        <f t="shared" si="4"/>
        <v>0</v>
      </c>
      <c r="F179" s="153">
        <f t="shared" si="4"/>
        <v>0</v>
      </c>
      <c r="G179" s="153"/>
      <c r="H179" s="153"/>
      <c r="I179" s="545">
        <f t="shared" si="5"/>
        <v>0</v>
      </c>
      <c r="J179" s="496" t="s">
        <v>101</v>
      </c>
      <c r="K179" s="496" t="s">
        <v>101</v>
      </c>
      <c r="M179" s="159"/>
      <c r="N179" s="159"/>
    </row>
    <row r="180" spans="1:14" s="12" customFormat="1" x14ac:dyDescent="0.25">
      <c r="A180" s="90">
        <v>8</v>
      </c>
      <c r="B180" s="153">
        <f t="shared" si="4"/>
        <v>0</v>
      </c>
      <c r="C180" s="153">
        <f t="shared" si="4"/>
        <v>0</v>
      </c>
      <c r="D180" s="153">
        <f t="shared" si="4"/>
        <v>0</v>
      </c>
      <c r="E180" s="153">
        <f t="shared" si="4"/>
        <v>0</v>
      </c>
      <c r="F180" s="153">
        <f t="shared" si="4"/>
        <v>0</v>
      </c>
      <c r="G180" s="153"/>
      <c r="H180" s="153"/>
      <c r="I180" s="545">
        <f t="shared" si="5"/>
        <v>0</v>
      </c>
      <c r="J180" s="496" t="s">
        <v>101</v>
      </c>
      <c r="K180" s="496" t="s">
        <v>101</v>
      </c>
      <c r="M180" s="159"/>
      <c r="N180" s="159"/>
    </row>
    <row r="181" spans="1:14" s="22" customFormat="1" x14ac:dyDescent="0.25">
      <c r="A181" s="157"/>
      <c r="F181" s="158"/>
      <c r="G181" s="158"/>
      <c r="H181" s="159"/>
      <c r="I181" s="12"/>
      <c r="J181" s="12"/>
      <c r="K181" s="12"/>
      <c r="L181" s="12"/>
    </row>
    <row r="182" spans="1:14" s="113" customFormat="1" x14ac:dyDescent="0.25">
      <c r="A182" s="505" t="s">
        <v>60</v>
      </c>
      <c r="F182" s="42"/>
      <c r="G182" s="42"/>
      <c r="H182" s="42"/>
    </row>
    <row r="183" spans="1:14" s="12" customFormat="1" ht="30" customHeight="1" x14ac:dyDescent="0.25">
      <c r="A183" s="338" t="s">
        <v>672</v>
      </c>
      <c r="D183" s="796" t="s">
        <v>533</v>
      </c>
      <c r="E183" s="796"/>
      <c r="F183" s="796"/>
      <c r="G183" s="159"/>
      <c r="H183" s="159"/>
    </row>
    <row r="184" spans="1:14" s="12" customFormat="1" ht="15" customHeight="1" x14ac:dyDescent="0.25">
      <c r="A184" s="19" t="s">
        <v>16</v>
      </c>
      <c r="D184" s="107" t="s">
        <v>7</v>
      </c>
      <c r="E184" s="107"/>
      <c r="F184" s="506">
        <f>G171</f>
        <v>0</v>
      </c>
      <c r="G184" s="159"/>
      <c r="H184" s="159"/>
    </row>
    <row r="185" spans="1:14" s="12" customFormat="1" x14ac:dyDescent="0.25">
      <c r="A185" s="90">
        <v>0</v>
      </c>
      <c r="B185" s="495">
        <v>0</v>
      </c>
      <c r="C185" s="495">
        <v>0</v>
      </c>
      <c r="D185" s="84"/>
      <c r="E185" s="84"/>
      <c r="F185" s="504"/>
      <c r="G185" s="159"/>
      <c r="H185" s="159"/>
    </row>
    <row r="186" spans="1:14" s="12" customFormat="1" x14ac:dyDescent="0.25">
      <c r="A186" s="90">
        <v>1</v>
      </c>
      <c r="B186" s="495">
        <v>0</v>
      </c>
      <c r="C186" s="495">
        <v>0</v>
      </c>
      <c r="D186" s="84"/>
      <c r="E186" s="84"/>
      <c r="F186" s="504"/>
      <c r="G186" s="159"/>
      <c r="H186" s="159"/>
    </row>
    <row r="187" spans="1:14" s="12" customFormat="1" x14ac:dyDescent="0.25">
      <c r="A187" s="90">
        <v>2</v>
      </c>
      <c r="B187" s="153" t="s">
        <v>101</v>
      </c>
      <c r="C187" s="153" t="s">
        <v>101</v>
      </c>
      <c r="D187" s="507">
        <f>'Inputs advanced'!F77</f>
        <v>3.4</v>
      </c>
      <c r="E187" s="84"/>
      <c r="F187" s="84"/>
      <c r="G187" s="159"/>
      <c r="H187" s="159"/>
    </row>
    <row r="188" spans="1:14" s="12" customFormat="1" x14ac:dyDescent="0.25">
      <c r="A188" s="90">
        <v>3</v>
      </c>
      <c r="B188" s="153" t="s">
        <v>101</v>
      </c>
      <c r="C188" s="153" t="s">
        <v>101</v>
      </c>
      <c r="D188" s="507">
        <f>'Inputs advanced'!F77</f>
        <v>3.4</v>
      </c>
      <c r="E188" s="84"/>
      <c r="F188" s="84"/>
      <c r="G188" s="159"/>
      <c r="H188" s="159"/>
    </row>
    <row r="189" spans="1:14" s="12" customFormat="1" x14ac:dyDescent="0.25">
      <c r="A189" s="90">
        <v>4</v>
      </c>
      <c r="B189" s="153" t="s">
        <v>101</v>
      </c>
      <c r="C189" s="153" t="s">
        <v>101</v>
      </c>
      <c r="D189" s="507">
        <f>'Inputs advanced'!F104</f>
        <v>10</v>
      </c>
      <c r="E189" s="84"/>
      <c r="F189" s="84"/>
      <c r="G189" s="159"/>
      <c r="H189" s="159"/>
    </row>
    <row r="190" spans="1:14" s="12" customFormat="1" x14ac:dyDescent="0.25">
      <c r="A190" s="90">
        <v>5</v>
      </c>
      <c r="B190" s="153" t="s">
        <v>101</v>
      </c>
      <c r="C190" s="153" t="s">
        <v>101</v>
      </c>
      <c r="D190" s="507">
        <f>'Inputs advanced'!F104</f>
        <v>10</v>
      </c>
      <c r="E190" s="84"/>
      <c r="F190" s="84"/>
      <c r="G190" s="159"/>
      <c r="H190" s="159"/>
    </row>
    <row r="191" spans="1:14" s="12" customFormat="1" x14ac:dyDescent="0.25">
      <c r="A191" s="90">
        <v>6</v>
      </c>
      <c r="B191" s="153" t="s">
        <v>101</v>
      </c>
      <c r="C191" s="153" t="s">
        <v>101</v>
      </c>
      <c r="D191" s="507">
        <f>'Inputs advanced'!F131</f>
        <v>16</v>
      </c>
      <c r="E191" s="84"/>
      <c r="F191" s="84"/>
      <c r="G191" s="159"/>
      <c r="H191" s="159"/>
    </row>
    <row r="192" spans="1:14" s="12" customFormat="1" x14ac:dyDescent="0.25">
      <c r="A192" s="90">
        <v>7</v>
      </c>
      <c r="B192" s="153" t="s">
        <v>101</v>
      </c>
      <c r="C192" s="153" t="s">
        <v>101</v>
      </c>
      <c r="D192" s="507">
        <f>'Inputs advanced'!F131</f>
        <v>16</v>
      </c>
      <c r="E192" s="84"/>
      <c r="F192" s="84"/>
      <c r="G192" s="159"/>
      <c r="H192" s="159"/>
    </row>
    <row r="193" spans="1:12" s="12" customFormat="1" x14ac:dyDescent="0.25">
      <c r="A193" s="90">
        <v>8</v>
      </c>
      <c r="B193" s="153" t="s">
        <v>101</v>
      </c>
      <c r="C193" s="153" t="s">
        <v>101</v>
      </c>
      <c r="D193" s="507">
        <f>'Inputs advanced'!F131</f>
        <v>16</v>
      </c>
      <c r="E193" s="84"/>
      <c r="F193" s="84"/>
      <c r="G193" s="159"/>
      <c r="H193" s="159"/>
    </row>
    <row r="194" spans="1:12" s="113" customFormat="1" x14ac:dyDescent="0.25">
      <c r="A194" s="497"/>
      <c r="B194" s="120"/>
      <c r="D194" s="797"/>
      <c r="E194" s="797"/>
      <c r="F194" s="797"/>
      <c r="G194" s="42"/>
      <c r="H194" s="6"/>
      <c r="J194" s="120"/>
    </row>
    <row r="195" spans="1:12" s="113" customFormat="1" x14ac:dyDescent="0.25">
      <c r="A195" s="19"/>
      <c r="B195" s="19"/>
      <c r="C195" s="19"/>
      <c r="D195" s="120"/>
      <c r="E195" s="120"/>
      <c r="F195" s="120"/>
      <c r="G195" s="42"/>
      <c r="H195" s="120"/>
      <c r="I195" s="120"/>
      <c r="J195" s="120"/>
      <c r="K195" s="120"/>
      <c r="L195" s="47"/>
    </row>
    <row r="196" spans="1:12" s="113" customFormat="1" x14ac:dyDescent="0.25">
      <c r="A196" s="90"/>
      <c r="B196" s="498"/>
      <c r="C196" s="498"/>
      <c r="D196" s="499"/>
      <c r="E196" s="499"/>
      <c r="F196" s="499"/>
      <c r="G196" s="42"/>
      <c r="H196" s="42"/>
      <c r="I196" s="42"/>
      <c r="J196" s="42"/>
      <c r="K196" s="42"/>
      <c r="L196" s="42"/>
    </row>
    <row r="197" spans="1:12" s="113" customFormat="1" x14ac:dyDescent="0.25">
      <c r="A197" s="90"/>
      <c r="B197" s="498"/>
      <c r="C197" s="498"/>
      <c r="D197" s="499"/>
      <c r="E197" s="499"/>
      <c r="F197" s="499"/>
      <c r="G197" s="42"/>
      <c r="H197" s="42"/>
      <c r="I197" s="42"/>
      <c r="J197" s="42"/>
      <c r="K197" s="42"/>
      <c r="L197" s="42"/>
    </row>
    <row r="198" spans="1:12" s="113" customFormat="1" x14ac:dyDescent="0.25">
      <c r="A198" s="90"/>
      <c r="B198" s="498"/>
      <c r="C198" s="498"/>
      <c r="D198" s="499"/>
      <c r="E198" s="499"/>
      <c r="F198" s="499"/>
      <c r="G198" s="42"/>
      <c r="H198" s="42"/>
      <c r="I198" s="42"/>
      <c r="J198" s="42"/>
      <c r="K198" s="42"/>
      <c r="L198" s="42"/>
    </row>
    <row r="199" spans="1:12" s="113" customFormat="1" x14ac:dyDescent="0.25">
      <c r="A199" s="90"/>
      <c r="B199" s="498"/>
      <c r="C199" s="498"/>
      <c r="D199" s="499"/>
      <c r="E199" s="499"/>
      <c r="F199" s="499"/>
      <c r="G199" s="42"/>
      <c r="H199" s="42"/>
      <c r="I199" s="42"/>
      <c r="J199" s="42"/>
      <c r="K199" s="42"/>
      <c r="L199" s="42"/>
    </row>
    <row r="200" spans="1:12" s="113" customFormat="1" x14ac:dyDescent="0.25">
      <c r="A200" s="90"/>
      <c r="B200" s="498"/>
      <c r="C200" s="498"/>
      <c r="D200" s="499"/>
      <c r="E200" s="499"/>
      <c r="F200" s="499"/>
      <c r="G200" s="42"/>
      <c r="H200" s="42"/>
      <c r="I200" s="42"/>
      <c r="J200" s="42"/>
      <c r="K200" s="42"/>
      <c r="L200" s="42"/>
    </row>
    <row r="201" spans="1:12" s="113" customFormat="1" x14ac:dyDescent="0.25">
      <c r="A201" s="90"/>
      <c r="B201" s="498"/>
      <c r="C201" s="498"/>
      <c r="D201" s="499"/>
      <c r="E201" s="499"/>
      <c r="F201" s="499"/>
      <c r="G201" s="42"/>
      <c r="H201" s="42"/>
      <c r="I201" s="42"/>
      <c r="J201" s="42"/>
      <c r="K201" s="42"/>
      <c r="L201" s="42"/>
    </row>
    <row r="202" spans="1:12" s="113" customFormat="1" x14ac:dyDescent="0.25">
      <c r="A202" s="90"/>
      <c r="B202" s="498"/>
      <c r="C202" s="498"/>
      <c r="D202" s="499"/>
      <c r="E202" s="499"/>
      <c r="F202" s="499"/>
      <c r="G202" s="42"/>
      <c r="H202" s="42"/>
      <c r="I202" s="42"/>
      <c r="J202" s="42"/>
      <c r="K202" s="42"/>
      <c r="L202" s="42"/>
    </row>
    <row r="203" spans="1:12" s="113" customFormat="1" x14ac:dyDescent="0.25">
      <c r="A203" s="90"/>
      <c r="B203" s="498"/>
      <c r="C203" s="498"/>
      <c r="D203" s="499"/>
      <c r="E203" s="499"/>
      <c r="F203" s="499"/>
      <c r="G203" s="42"/>
      <c r="H203" s="42"/>
      <c r="I203" s="42"/>
      <c r="J203" s="42"/>
      <c r="K203" s="42"/>
      <c r="L203" s="42"/>
    </row>
    <row r="204" spans="1:12" s="113" customFormat="1" x14ac:dyDescent="0.25">
      <c r="A204" s="90"/>
      <c r="B204" s="498"/>
      <c r="C204" s="498"/>
      <c r="D204" s="499"/>
      <c r="E204" s="499"/>
      <c r="F204" s="499"/>
      <c r="G204" s="42"/>
      <c r="H204" s="42"/>
      <c r="I204" s="42"/>
      <c r="J204" s="42"/>
      <c r="K204" s="42"/>
      <c r="L204" s="42"/>
    </row>
    <row r="205" spans="1:12" s="113" customFormat="1" x14ac:dyDescent="0.25">
      <c r="A205" s="90"/>
      <c r="F205" s="42"/>
      <c r="G205" s="42"/>
      <c r="H205" s="42"/>
    </row>
    <row r="206" spans="1:12" s="113" customFormat="1" x14ac:dyDescent="0.25">
      <c r="A206" s="489"/>
      <c r="F206" s="42"/>
      <c r="G206" s="42"/>
      <c r="H206" s="42"/>
    </row>
    <row r="207" spans="1:12" s="113" customFormat="1" x14ac:dyDescent="0.25">
      <c r="A207" s="500"/>
      <c r="B207" s="501"/>
      <c r="F207" s="42"/>
      <c r="G207" s="42"/>
      <c r="H207" s="42"/>
    </row>
    <row r="208" spans="1:12" s="113" customFormat="1" x14ac:dyDescent="0.25">
      <c r="A208" s="500"/>
      <c r="B208" s="501"/>
      <c r="F208" s="42"/>
      <c r="G208" s="42"/>
      <c r="H208" s="42"/>
    </row>
    <row r="209" spans="1:8" s="113" customFormat="1" x14ac:dyDescent="0.25">
      <c r="A209" s="90"/>
      <c r="F209" s="42"/>
      <c r="G209" s="42"/>
      <c r="H209" s="42"/>
    </row>
    <row r="210" spans="1:8" s="113" customFormat="1" x14ac:dyDescent="0.25">
      <c r="A210" s="502"/>
      <c r="F210" s="42"/>
      <c r="G210" s="42"/>
      <c r="H210" s="42"/>
    </row>
    <row r="211" spans="1:8" s="113" customFormat="1" x14ac:dyDescent="0.25">
      <c r="A211" s="503"/>
      <c r="F211" s="42"/>
      <c r="G211" s="42"/>
      <c r="H211" s="42"/>
    </row>
    <row r="212" spans="1:8" s="113" customFormat="1" x14ac:dyDescent="0.25">
      <c r="A212" s="19"/>
      <c r="B212" s="19"/>
      <c r="C212" s="19"/>
      <c r="F212" s="42"/>
      <c r="G212" s="23"/>
      <c r="H212" s="42"/>
    </row>
    <row r="213" spans="1:8" s="113" customFormat="1" x14ac:dyDescent="0.25">
      <c r="A213" s="90"/>
      <c r="B213" s="504"/>
      <c r="C213" s="504"/>
      <c r="D213" s="504"/>
      <c r="E213" s="504"/>
      <c r="F213" s="504"/>
      <c r="G213" s="504"/>
      <c r="H213" s="42"/>
    </row>
    <row r="214" spans="1:8" s="113" customFormat="1" x14ac:dyDescent="0.25">
      <c r="A214" s="90"/>
      <c r="B214" s="504"/>
      <c r="C214" s="504"/>
      <c r="D214" s="504"/>
      <c r="E214" s="504"/>
      <c r="F214" s="504"/>
      <c r="G214" s="504"/>
      <c r="H214" s="42"/>
    </row>
    <row r="215" spans="1:8" s="113" customFormat="1" x14ac:dyDescent="0.25">
      <c r="A215" s="90"/>
      <c r="B215" s="504"/>
      <c r="C215" s="504"/>
      <c r="D215" s="504"/>
      <c r="E215" s="504"/>
      <c r="F215" s="504"/>
      <c r="G215" s="504"/>
      <c r="H215" s="42"/>
    </row>
    <row r="216" spans="1:8" s="113" customFormat="1" x14ac:dyDescent="0.25">
      <c r="A216" s="90"/>
      <c r="B216" s="504"/>
      <c r="C216" s="504"/>
      <c r="D216" s="504"/>
      <c r="E216" s="504"/>
      <c r="F216" s="504"/>
      <c r="G216" s="504"/>
      <c r="H216" s="42"/>
    </row>
    <row r="217" spans="1:8" s="113" customFormat="1" x14ac:dyDescent="0.25">
      <c r="A217" s="90"/>
      <c r="B217" s="504"/>
      <c r="C217" s="504"/>
      <c r="D217" s="504"/>
      <c r="E217" s="504"/>
      <c r="F217" s="504"/>
      <c r="G217" s="504"/>
      <c r="H217" s="42"/>
    </row>
    <row r="218" spans="1:8" s="113" customFormat="1" x14ac:dyDescent="0.25">
      <c r="A218" s="90"/>
      <c r="B218" s="504"/>
      <c r="C218" s="504"/>
      <c r="D218" s="504"/>
      <c r="E218" s="504"/>
      <c r="F218" s="504"/>
      <c r="G218" s="504"/>
      <c r="H218" s="42"/>
    </row>
    <row r="219" spans="1:8" s="113" customFormat="1" x14ac:dyDescent="0.25">
      <c r="A219" s="90"/>
      <c r="B219" s="504"/>
      <c r="C219" s="504"/>
      <c r="D219" s="504"/>
      <c r="E219" s="504"/>
      <c r="F219" s="504"/>
      <c r="G219" s="504"/>
      <c r="H219" s="42"/>
    </row>
    <row r="220" spans="1:8" s="113" customFormat="1" x14ac:dyDescent="0.25">
      <c r="A220" s="90"/>
      <c r="B220" s="504"/>
      <c r="C220" s="504"/>
      <c r="D220" s="504"/>
      <c r="E220" s="504"/>
      <c r="F220" s="504"/>
      <c r="G220" s="504"/>
      <c r="H220" s="42"/>
    </row>
    <row r="221" spans="1:8" s="113" customFormat="1" x14ac:dyDescent="0.25">
      <c r="A221" s="90"/>
      <c r="B221" s="504"/>
      <c r="C221" s="504"/>
      <c r="D221" s="504"/>
      <c r="E221" s="504"/>
      <c r="F221" s="504"/>
      <c r="G221" s="504"/>
      <c r="H221" s="42"/>
    </row>
    <row r="226" spans="1:12" ht="21" x14ac:dyDescent="0.35">
      <c r="A226" s="123" t="s">
        <v>17</v>
      </c>
    </row>
    <row r="227" spans="1:12" x14ac:dyDescent="0.25">
      <c r="A227" s="3"/>
    </row>
    <row r="228" spans="1:12" ht="47.25" x14ac:dyDescent="0.25">
      <c r="A228" s="122" t="s">
        <v>31</v>
      </c>
      <c r="B228" s="45" t="s">
        <v>564</v>
      </c>
      <c r="C228" s="19" t="s">
        <v>198</v>
      </c>
      <c r="D228" s="165" t="s">
        <v>320</v>
      </c>
      <c r="E228" s="165" t="s">
        <v>563</v>
      </c>
      <c r="G228" s="113"/>
      <c r="H228" s="10"/>
    </row>
    <row r="229" spans="1:12" ht="15" customHeight="1" x14ac:dyDescent="0.25">
      <c r="A229" s="124"/>
      <c r="B229" s="93" t="s">
        <v>196</v>
      </c>
      <c r="C229" s="120"/>
      <c r="D229" s="120"/>
      <c r="E229" s="120"/>
      <c r="F229" s="798"/>
      <c r="G229" s="101"/>
      <c r="H229" s="10"/>
    </row>
    <row r="230" spans="1:12" s="22" customFormat="1" ht="15" customHeight="1" x14ac:dyDescent="0.25">
      <c r="A230" s="125"/>
      <c r="B230" s="794" t="s">
        <v>197</v>
      </c>
      <c r="C230" s="126"/>
      <c r="D230" s="126"/>
      <c r="E230" s="126"/>
      <c r="F230" s="798"/>
      <c r="G230" s="101"/>
      <c r="I230" s="12"/>
      <c r="J230" s="12"/>
      <c r="K230" s="12"/>
      <c r="L230" s="12"/>
    </row>
    <row r="231" spans="1:12" s="22" customFormat="1" x14ac:dyDescent="0.25">
      <c r="A231" s="127" t="s">
        <v>195</v>
      </c>
      <c r="B231" s="794"/>
      <c r="C231" s="126"/>
      <c r="D231" s="126"/>
      <c r="E231" s="126"/>
      <c r="F231" s="798"/>
      <c r="G231" s="157"/>
      <c r="I231" s="12"/>
      <c r="J231" s="12"/>
      <c r="K231" s="12"/>
      <c r="L231" s="12"/>
    </row>
    <row r="232" spans="1:12" x14ac:dyDescent="0.25">
      <c r="A232" s="10" t="s">
        <v>29</v>
      </c>
      <c r="B232" s="153">
        <f>'Inputs advanced'!F252</f>
        <v>487</v>
      </c>
      <c r="C232" s="350"/>
      <c r="D232" s="107"/>
      <c r="F232" s="12"/>
      <c r="G232" s="13"/>
      <c r="H232" s="10"/>
    </row>
    <row r="233" spans="1:12" x14ac:dyDescent="0.25">
      <c r="A233" s="10" t="s">
        <v>321</v>
      </c>
      <c r="B233" s="153">
        <f>'Inputs advanced'!F253</f>
        <v>430</v>
      </c>
      <c r="C233" s="350"/>
      <c r="D233" s="107"/>
      <c r="F233" s="12"/>
      <c r="G233" s="13"/>
    </row>
    <row r="234" spans="1:12" x14ac:dyDescent="0.25">
      <c r="A234" s="10" t="s">
        <v>19</v>
      </c>
      <c r="B234" s="153">
        <f>'Inputs advanced'!F254</f>
        <v>630</v>
      </c>
      <c r="C234" s="350"/>
      <c r="D234" s="107"/>
      <c r="F234" s="12"/>
      <c r="G234" s="13"/>
    </row>
    <row r="235" spans="1:12" x14ac:dyDescent="0.25">
      <c r="A235" s="10" t="s">
        <v>322</v>
      </c>
      <c r="B235" s="153">
        <f>'Inputs advanced'!F255</f>
        <v>0</v>
      </c>
      <c r="C235" s="350"/>
      <c r="D235" s="107"/>
      <c r="F235" s="12"/>
    </row>
    <row r="236" spans="1:12" x14ac:dyDescent="0.25">
      <c r="A236" s="10" t="s">
        <v>323</v>
      </c>
      <c r="B236" s="153">
        <f>'Inputs advanced'!F256</f>
        <v>70</v>
      </c>
      <c r="C236" s="350"/>
      <c r="D236" s="107"/>
      <c r="F236" s="12"/>
    </row>
    <row r="237" spans="1:12" x14ac:dyDescent="0.25">
      <c r="A237" s="10" t="s">
        <v>324</v>
      </c>
      <c r="B237" s="153">
        <f>'Inputs advanced'!F257</f>
        <v>80</v>
      </c>
      <c r="C237" s="350"/>
      <c r="D237" s="107"/>
      <c r="F237" s="12"/>
    </row>
    <row r="238" spans="1:12" x14ac:dyDescent="0.25">
      <c r="A238" s="167" t="s">
        <v>550</v>
      </c>
      <c r="B238" s="153">
        <f>'Inputs advanced'!F258</f>
        <v>1510</v>
      </c>
      <c r="C238" s="350"/>
      <c r="D238" s="107"/>
      <c r="F238" s="12"/>
    </row>
    <row r="239" spans="1:12" x14ac:dyDescent="0.25">
      <c r="B239" s="12"/>
      <c r="C239" s="546"/>
      <c r="D239" s="12"/>
      <c r="F239" s="12"/>
    </row>
    <row r="240" spans="1:12" x14ac:dyDescent="0.25">
      <c r="A240" s="127" t="s">
        <v>341</v>
      </c>
      <c r="B240" s="12"/>
      <c r="C240" s="546"/>
      <c r="D240" s="12"/>
      <c r="F240" s="12"/>
    </row>
    <row r="241" spans="1:12" s="22" customFormat="1" x14ac:dyDescent="0.25">
      <c r="A241" s="10" t="s">
        <v>325</v>
      </c>
      <c r="B241" s="153">
        <f>'Inputs advanced'!F260</f>
        <v>2228</v>
      </c>
      <c r="C241" s="350"/>
      <c r="D241" s="107"/>
      <c r="F241" s="12"/>
      <c r="I241" s="12"/>
      <c r="J241" s="12"/>
      <c r="K241" s="12"/>
      <c r="L241" s="12"/>
    </row>
    <row r="242" spans="1:12" x14ac:dyDescent="0.25">
      <c r="A242" s="10" t="s">
        <v>21</v>
      </c>
      <c r="B242" s="153">
        <f>'Inputs advanced'!F261</f>
        <v>979.7</v>
      </c>
      <c r="C242" s="350"/>
      <c r="D242" s="351"/>
      <c r="F242" s="12"/>
    </row>
    <row r="243" spans="1:12" x14ac:dyDescent="0.25">
      <c r="A243" s="10" t="s">
        <v>326</v>
      </c>
      <c r="B243" s="153">
        <f>'Inputs advanced'!F262</f>
        <v>1815</v>
      </c>
      <c r="C243" s="350"/>
      <c r="D243" s="107"/>
      <c r="F243" s="12"/>
      <c r="G243" s="13"/>
    </row>
    <row r="244" spans="1:12" x14ac:dyDescent="0.25">
      <c r="A244" s="10" t="s">
        <v>22</v>
      </c>
      <c r="B244" s="153">
        <f>'Inputs advanced'!F263</f>
        <v>391</v>
      </c>
      <c r="C244" s="350"/>
      <c r="D244" s="107"/>
      <c r="F244" s="12"/>
    </row>
    <row r="245" spans="1:12" x14ac:dyDescent="0.25">
      <c r="A245" s="10" t="s">
        <v>327</v>
      </c>
      <c r="B245" s="153">
        <f>'Inputs advanced'!F264</f>
        <v>240</v>
      </c>
      <c r="C245" s="350"/>
      <c r="D245" s="107"/>
      <c r="F245" s="12"/>
    </row>
    <row r="246" spans="1:12" x14ac:dyDescent="0.25">
      <c r="A246" s="10" t="s">
        <v>611</v>
      </c>
      <c r="B246" s="153">
        <f>'Inputs advanced'!F265</f>
        <v>1066</v>
      </c>
      <c r="C246" s="350"/>
      <c r="D246" s="350"/>
      <c r="F246" s="12"/>
    </row>
    <row r="247" spans="1:12" x14ac:dyDescent="0.25">
      <c r="A247" s="10" t="s">
        <v>328</v>
      </c>
      <c r="B247" s="153">
        <f>'Inputs advanced'!F266</f>
        <v>38.25</v>
      </c>
      <c r="C247" s="350"/>
      <c r="D247" s="350"/>
      <c r="F247" s="12"/>
    </row>
    <row r="248" spans="1:12" x14ac:dyDescent="0.25">
      <c r="A248" s="10" t="s">
        <v>339</v>
      </c>
      <c r="B248" s="153">
        <f>'Inputs advanced'!F267</f>
        <v>3436</v>
      </c>
      <c r="C248" s="350"/>
      <c r="D248" s="350"/>
      <c r="F248" s="12"/>
    </row>
    <row r="249" spans="1:12" x14ac:dyDescent="0.25">
      <c r="A249" s="10" t="s">
        <v>329</v>
      </c>
      <c r="B249" s="153">
        <f>'Inputs advanced'!F268</f>
        <v>482.5</v>
      </c>
      <c r="C249" s="350"/>
      <c r="D249" s="350"/>
      <c r="F249" s="350"/>
    </row>
    <row r="250" spans="1:12" x14ac:dyDescent="0.25">
      <c r="A250" s="10" t="s">
        <v>330</v>
      </c>
      <c r="B250" s="153">
        <f>'Inputs advanced'!F269</f>
        <v>0</v>
      </c>
      <c r="C250" s="350"/>
      <c r="D250" s="350"/>
      <c r="F250" s="107"/>
    </row>
    <row r="251" spans="1:12" x14ac:dyDescent="0.25">
      <c r="A251" s="10" t="s">
        <v>331</v>
      </c>
      <c r="B251" s="153">
        <f>'Inputs advanced'!F270</f>
        <v>240</v>
      </c>
      <c r="C251" s="350"/>
      <c r="D251" s="107"/>
      <c r="F251" s="107"/>
    </row>
    <row r="252" spans="1:12" x14ac:dyDescent="0.25">
      <c r="A252" s="10" t="s">
        <v>332</v>
      </c>
      <c r="B252" s="153">
        <f>'Inputs advanced'!F271</f>
        <v>0</v>
      </c>
      <c r="C252" s="350"/>
      <c r="D252" s="350"/>
      <c r="F252" s="107"/>
    </row>
    <row r="253" spans="1:12" x14ac:dyDescent="0.25">
      <c r="A253" s="10" t="s">
        <v>210</v>
      </c>
      <c r="B253" s="153">
        <f>'Inputs advanced'!F272</f>
        <v>575.5</v>
      </c>
      <c r="C253" s="107"/>
      <c r="D253" s="107"/>
      <c r="F253" s="107"/>
    </row>
    <row r="254" spans="1:12" x14ac:dyDescent="0.25">
      <c r="B254" s="113"/>
      <c r="C254" s="547"/>
      <c r="F254" s="12"/>
      <c r="G254" s="113"/>
    </row>
    <row r="255" spans="1:12" x14ac:dyDescent="0.25">
      <c r="A255" s="127" t="s">
        <v>194</v>
      </c>
      <c r="B255" s="113"/>
      <c r="C255" s="547"/>
      <c r="F255" s="738"/>
      <c r="G255" s="113"/>
    </row>
    <row r="256" spans="1:12" x14ac:dyDescent="0.25">
      <c r="A256" s="169" t="s">
        <v>589</v>
      </c>
      <c r="B256" s="385">
        <f>'Inputs advanced'!F274</f>
        <v>3517.9888313706347</v>
      </c>
      <c r="C256" s="350"/>
      <c r="D256" s="350"/>
      <c r="F256" s="12"/>
      <c r="G256" s="113"/>
    </row>
    <row r="257" spans="1:7" x14ac:dyDescent="0.25">
      <c r="A257" s="178" t="s">
        <v>333</v>
      </c>
      <c r="B257" s="548"/>
      <c r="F257" s="12"/>
      <c r="G257" s="113"/>
    </row>
    <row r="258" spans="1:7" x14ac:dyDescent="0.25">
      <c r="A258" s="151" t="s">
        <v>565</v>
      </c>
      <c r="B258" s="384">
        <f>'Inputs advanced'!F275</f>
        <v>0</v>
      </c>
      <c r="C258" s="107"/>
      <c r="D258" s="350"/>
      <c r="F258" s="12"/>
      <c r="G258" s="113"/>
    </row>
    <row r="259" spans="1:7" x14ac:dyDescent="0.25">
      <c r="A259" s="151" t="s">
        <v>566</v>
      </c>
      <c r="B259" s="153">
        <f>'Inputs advanced'!F276</f>
        <v>0</v>
      </c>
      <c r="C259" s="107"/>
      <c r="D259" s="350"/>
      <c r="F259" s="12"/>
      <c r="G259" s="113"/>
    </row>
    <row r="260" spans="1:7" x14ac:dyDescent="0.25">
      <c r="A260" s="151" t="s">
        <v>567</v>
      </c>
      <c r="B260" s="384">
        <f>'Inputs advanced'!F277</f>
        <v>0</v>
      </c>
      <c r="C260" s="107"/>
      <c r="D260" s="350"/>
      <c r="F260" s="12"/>
      <c r="G260" s="113"/>
    </row>
    <row r="261" spans="1:7" x14ac:dyDescent="0.25">
      <c r="A261" s="166" t="s">
        <v>568</v>
      </c>
      <c r="B261" s="579">
        <f>IF('Inputs advanced'!F179=1,0,'Inputs advanced'!F278)</f>
        <v>3517.9888313706347</v>
      </c>
      <c r="C261" s="107"/>
      <c r="D261" s="107"/>
      <c r="F261" s="12"/>
      <c r="G261" s="113"/>
    </row>
    <row r="262" spans="1:7" x14ac:dyDescent="0.25">
      <c r="A262" s="166" t="s">
        <v>323</v>
      </c>
      <c r="B262" s="384">
        <f>'Inputs advanced'!F279</f>
        <v>0</v>
      </c>
      <c r="C262" s="107"/>
      <c r="D262" s="350"/>
      <c r="F262" s="12"/>
      <c r="G262" s="113"/>
    </row>
    <row r="263" spans="1:7" x14ac:dyDescent="0.25">
      <c r="A263" s="166" t="s">
        <v>569</v>
      </c>
      <c r="B263" s="153">
        <f>'Inputs advanced'!F280</f>
        <v>0</v>
      </c>
      <c r="C263" s="107"/>
      <c r="D263" s="350"/>
      <c r="F263" s="12"/>
      <c r="G263" s="113"/>
    </row>
    <row r="264" spans="1:7" x14ac:dyDescent="0.25">
      <c r="A264" s="732" t="s">
        <v>973</v>
      </c>
      <c r="B264" s="731">
        <f>SUM(B256:B263)</f>
        <v>7035.9776627412693</v>
      </c>
      <c r="C264" s="135"/>
      <c r="D264" s="352"/>
      <c r="F264" s="12"/>
      <c r="G264" s="113"/>
    </row>
    <row r="265" spans="1:7" x14ac:dyDescent="0.25">
      <c r="A265" s="127" t="s">
        <v>393</v>
      </c>
      <c r="B265" s="385"/>
      <c r="C265" s="135"/>
      <c r="D265" s="352"/>
      <c r="F265" s="738"/>
      <c r="G265" s="113"/>
    </row>
    <row r="266" spans="1:7" ht="31.5" x14ac:dyDescent="0.25">
      <c r="A266" s="197" t="s">
        <v>334</v>
      </c>
      <c r="B266" s="385">
        <f>'Inputs advanced'!F282</f>
        <v>1037.7938970930632</v>
      </c>
      <c r="C266" s="135"/>
      <c r="D266" s="352"/>
      <c r="F266" s="350"/>
    </row>
    <row r="267" spans="1:7" x14ac:dyDescent="0.25">
      <c r="A267" s="178" t="s">
        <v>333</v>
      </c>
      <c r="B267" s="548"/>
      <c r="C267" s="22"/>
      <c r="D267" s="22"/>
      <c r="F267" s="12"/>
      <c r="G267" s="113"/>
    </row>
    <row r="268" spans="1:7" x14ac:dyDescent="0.25">
      <c r="A268" s="151" t="s">
        <v>565</v>
      </c>
      <c r="B268" s="385">
        <f>'Inputs advanced'!F283</f>
        <v>0</v>
      </c>
      <c r="C268" s="135"/>
      <c r="D268" s="352"/>
      <c r="F268" s="12"/>
      <c r="G268" s="113"/>
    </row>
    <row r="269" spans="1:7" x14ac:dyDescent="0.25">
      <c r="A269" s="151" t="s">
        <v>566</v>
      </c>
      <c r="B269" s="385">
        <f>'Inputs advanced'!F284</f>
        <v>0</v>
      </c>
      <c r="C269" s="135"/>
      <c r="D269" s="352" t="s">
        <v>649</v>
      </c>
      <c r="F269" s="12"/>
      <c r="G269" s="113"/>
    </row>
    <row r="270" spans="1:7" x14ac:dyDescent="0.25">
      <c r="A270" s="151" t="s">
        <v>567</v>
      </c>
      <c r="B270" s="385">
        <f>'Inputs advanced'!F285</f>
        <v>0</v>
      </c>
      <c r="C270" s="135"/>
      <c r="D270" s="352"/>
      <c r="F270" s="107"/>
      <c r="G270" s="113"/>
    </row>
    <row r="271" spans="1:7" x14ac:dyDescent="0.25">
      <c r="A271" s="166" t="s">
        <v>335</v>
      </c>
      <c r="B271" s="578">
        <f>IF('Inputs advanced'!F179=1,0,'Inputs advanced'!F286)</f>
        <v>1037.7938970930632</v>
      </c>
      <c r="C271" s="135"/>
      <c r="D271" s="352"/>
      <c r="F271" s="107"/>
      <c r="G271" s="113"/>
    </row>
    <row r="272" spans="1:7" x14ac:dyDescent="0.25">
      <c r="A272" s="166" t="s">
        <v>342</v>
      </c>
      <c r="B272" s="385">
        <f>'Inputs advanced'!F287</f>
        <v>0</v>
      </c>
      <c r="C272" s="135"/>
      <c r="D272" s="135"/>
      <c r="F272" s="107"/>
      <c r="G272" s="113"/>
    </row>
    <row r="273" spans="1:12" x14ac:dyDescent="0.25">
      <c r="A273" s="166" t="s">
        <v>336</v>
      </c>
      <c r="B273" s="385">
        <f>'Inputs advanced'!F288</f>
        <v>0</v>
      </c>
      <c r="C273" s="135"/>
      <c r="D273" s="135"/>
      <c r="F273" s="107"/>
      <c r="G273" s="113"/>
    </row>
    <row r="274" spans="1:12" x14ac:dyDescent="0.25">
      <c r="A274" s="732" t="s">
        <v>973</v>
      </c>
      <c r="B274" s="731">
        <f>SUM(B265:B273)</f>
        <v>2075.5877941861263</v>
      </c>
      <c r="C274" s="13"/>
      <c r="D274" s="13"/>
      <c r="F274" s="12"/>
    </row>
    <row r="275" spans="1:12" x14ac:dyDescent="0.25">
      <c r="C275" s="13"/>
      <c r="D275" s="13"/>
      <c r="E275" s="549"/>
      <c r="F275" s="12"/>
    </row>
    <row r="276" spans="1:12" ht="45" customHeight="1" x14ac:dyDescent="0.25">
      <c r="A276" s="175" t="s">
        <v>345</v>
      </c>
      <c r="B276" s="262" t="s">
        <v>563</v>
      </c>
      <c r="C276" s="126"/>
      <c r="D276" s="126"/>
      <c r="F276" s="739"/>
      <c r="G276" s="157" t="s">
        <v>54</v>
      </c>
      <c r="H276" s="10"/>
    </row>
    <row r="277" spans="1:12" x14ac:dyDescent="0.25">
      <c r="A277" s="177" t="s">
        <v>348</v>
      </c>
      <c r="B277" s="550"/>
      <c r="C277" s="12"/>
      <c r="D277" s="12"/>
      <c r="F277" s="12"/>
      <c r="H277" s="10"/>
    </row>
    <row r="278" spans="1:12" x14ac:dyDescent="0.25">
      <c r="A278" s="551" t="s">
        <v>349</v>
      </c>
      <c r="B278" s="548"/>
      <c r="C278" s="12"/>
      <c r="D278" s="12"/>
      <c r="F278" s="12"/>
      <c r="H278" s="10"/>
    </row>
    <row r="279" spans="1:12" x14ac:dyDescent="0.25">
      <c r="A279" s="45" t="s">
        <v>101</v>
      </c>
      <c r="B279" s="383">
        <f>'Inputs advanced'!F290</f>
        <v>2188.6388534585549</v>
      </c>
      <c r="C279" s="107"/>
      <c r="D279" s="107"/>
      <c r="F279" s="12"/>
      <c r="H279" s="10"/>
    </row>
    <row r="280" spans="1:12" x14ac:dyDescent="0.25">
      <c r="A280" s="179" t="s">
        <v>333</v>
      </c>
      <c r="B280" s="548"/>
      <c r="C280" s="12"/>
      <c r="D280" s="12"/>
      <c r="F280" s="12"/>
      <c r="H280" s="10"/>
    </row>
    <row r="281" spans="1:12" s="22" customFormat="1" x14ac:dyDescent="0.25">
      <c r="A281" s="151" t="s">
        <v>565</v>
      </c>
      <c r="B281" s="383">
        <f>'Inputs advanced'!F291</f>
        <v>0</v>
      </c>
      <c r="C281" s="107"/>
      <c r="D281" s="107"/>
      <c r="F281" s="107"/>
      <c r="I281" s="12"/>
      <c r="J281" s="12"/>
      <c r="K281" s="12"/>
      <c r="L281" s="12"/>
    </row>
    <row r="282" spans="1:12" s="22" customFormat="1" x14ac:dyDescent="0.25">
      <c r="A282" s="151" t="s">
        <v>566</v>
      </c>
      <c r="B282" s="383">
        <f>'Inputs advanced'!F292</f>
        <v>0</v>
      </c>
      <c r="C282" s="107"/>
      <c r="D282" s="107"/>
      <c r="F282" s="107"/>
      <c r="I282" s="12"/>
      <c r="J282" s="12"/>
      <c r="K282" s="12"/>
      <c r="L282" s="12"/>
    </row>
    <row r="283" spans="1:12" s="22" customFormat="1" x14ac:dyDescent="0.25">
      <c r="A283" s="151" t="s">
        <v>567</v>
      </c>
      <c r="B283" s="383">
        <f>'Inputs advanced'!F293</f>
        <v>0</v>
      </c>
      <c r="C283" s="107"/>
      <c r="D283" s="107"/>
      <c r="F283" s="107"/>
      <c r="I283" s="12"/>
      <c r="J283" s="12"/>
      <c r="K283" s="12"/>
      <c r="L283" s="12"/>
    </row>
    <row r="284" spans="1:12" s="22" customFormat="1" x14ac:dyDescent="0.25">
      <c r="A284" s="181" t="s">
        <v>332</v>
      </c>
      <c r="B284" s="383">
        <f>'Inputs advanced'!F294</f>
        <v>0</v>
      </c>
      <c r="C284" s="107"/>
      <c r="D284" s="107"/>
      <c r="F284" s="107"/>
      <c r="I284" s="12"/>
      <c r="J284" s="12"/>
      <c r="K284" s="12"/>
      <c r="L284" s="12"/>
    </row>
    <row r="285" spans="1:12" s="22" customFormat="1" x14ac:dyDescent="0.25">
      <c r="A285" s="310" t="s">
        <v>353</v>
      </c>
      <c r="B285" s="577">
        <f>IF('Inputs advanced'!F179=1,0,'Inputs advanced'!F295)</f>
        <v>2188.638853458554</v>
      </c>
      <c r="C285" s="107"/>
      <c r="D285" s="107"/>
      <c r="F285" s="107"/>
      <c r="I285" s="12"/>
      <c r="J285" s="12"/>
      <c r="K285" s="12"/>
      <c r="L285" s="12"/>
    </row>
    <row r="286" spans="1:12" x14ac:dyDescent="0.25">
      <c r="A286" s="166" t="s">
        <v>352</v>
      </c>
      <c r="B286" s="383">
        <f>'Inputs advanced'!F296</f>
        <v>0</v>
      </c>
      <c r="C286" s="107"/>
      <c r="D286" s="107"/>
      <c r="F286" s="107"/>
      <c r="H286" s="10"/>
    </row>
    <row r="287" spans="1:12" x14ac:dyDescent="0.25">
      <c r="A287" s="551" t="s">
        <v>350</v>
      </c>
      <c r="B287" s="548"/>
      <c r="C287" s="12"/>
      <c r="D287" s="12"/>
      <c r="F287" s="12"/>
      <c r="H287" s="10"/>
    </row>
    <row r="288" spans="1:12" x14ac:dyDescent="0.25">
      <c r="A288" s="166" t="s">
        <v>360</v>
      </c>
      <c r="B288" s="383">
        <f>'Inputs advanced'!F297</f>
        <v>0</v>
      </c>
      <c r="C288" s="107"/>
      <c r="D288" s="107"/>
      <c r="F288" s="107"/>
      <c r="H288" s="10"/>
    </row>
    <row r="289" spans="1:8" x14ac:dyDescent="0.25">
      <c r="A289" s="179" t="s">
        <v>333</v>
      </c>
      <c r="B289" s="548"/>
      <c r="C289" s="12"/>
      <c r="D289" s="12"/>
      <c r="F289" s="12"/>
      <c r="H289" s="10"/>
    </row>
    <row r="290" spans="1:8" x14ac:dyDescent="0.25">
      <c r="A290" s="181" t="s">
        <v>354</v>
      </c>
      <c r="B290" s="383">
        <f>'Inputs advanced'!F298</f>
        <v>0</v>
      </c>
      <c r="C290" s="107"/>
      <c r="D290" s="107"/>
      <c r="F290" s="107"/>
      <c r="H290" s="10"/>
    </row>
    <row r="291" spans="1:8" x14ac:dyDescent="0.25">
      <c r="A291" s="181" t="s">
        <v>322</v>
      </c>
      <c r="B291" s="383">
        <f>'Inputs advanced'!F299</f>
        <v>0</v>
      </c>
      <c r="C291" s="107"/>
      <c r="D291" s="107"/>
      <c r="F291" s="107"/>
      <c r="H291" s="10"/>
    </row>
    <row r="292" spans="1:8" x14ac:dyDescent="0.25">
      <c r="A292" s="181" t="s">
        <v>355</v>
      </c>
      <c r="B292" s="383">
        <f>'Inputs advanced'!F300</f>
        <v>0</v>
      </c>
      <c r="C292" s="107"/>
      <c r="D292" s="107"/>
      <c r="F292" s="107"/>
      <c r="H292" s="10"/>
    </row>
    <row r="293" spans="1:8" x14ac:dyDescent="0.25">
      <c r="A293" s="309" t="s">
        <v>356</v>
      </c>
      <c r="B293" s="737">
        <f>IF('Inputs advanced'!F179=1,0,'Inputs advanced'!F301)</f>
        <v>0</v>
      </c>
      <c r="C293" s="107"/>
      <c r="D293" s="107"/>
      <c r="F293" s="107"/>
      <c r="H293" s="10"/>
    </row>
    <row r="294" spans="1:8" x14ac:dyDescent="0.25">
      <c r="A294" s="183" t="s">
        <v>357</v>
      </c>
      <c r="B294" s="383">
        <f>'Inputs advanced'!F302</f>
        <v>0</v>
      </c>
      <c r="C294" s="107"/>
      <c r="D294" s="107"/>
      <c r="F294" s="107"/>
      <c r="H294" s="10"/>
    </row>
    <row r="295" spans="1:8" x14ac:dyDescent="0.25">
      <c r="A295" s="317" t="s">
        <v>592</v>
      </c>
      <c r="B295" s="383">
        <f>'Inputs advanced'!F303</f>
        <v>0</v>
      </c>
      <c r="C295" s="107"/>
      <c r="D295" s="107"/>
      <c r="F295" s="107"/>
      <c r="H295" s="10"/>
    </row>
    <row r="296" spans="1:8" x14ac:dyDescent="0.25">
      <c r="A296" s="732" t="s">
        <v>612</v>
      </c>
      <c r="B296" s="731">
        <f>SUM(B279:B295)</f>
        <v>4377.2777069171088</v>
      </c>
      <c r="C296" s="107"/>
      <c r="D296" s="107"/>
      <c r="F296" s="107"/>
      <c r="H296" s="10"/>
    </row>
    <row r="297" spans="1:8" x14ac:dyDescent="0.25">
      <c r="A297" s="185"/>
      <c r="B297" s="113"/>
      <c r="E297" s="550"/>
      <c r="F297" s="12"/>
      <c r="H297" s="10"/>
    </row>
    <row r="298" spans="1:8" x14ac:dyDescent="0.25">
      <c r="A298" s="131" t="s">
        <v>199</v>
      </c>
      <c r="B298" s="262" t="s">
        <v>563</v>
      </c>
      <c r="C298" s="132" t="s">
        <v>201</v>
      </c>
      <c r="D298" s="118"/>
      <c r="F298" s="12"/>
    </row>
    <row r="299" spans="1:8" x14ac:dyDescent="0.25">
      <c r="A299" s="177" t="s">
        <v>443</v>
      </c>
      <c r="B299" s="552"/>
      <c r="C299" s="212"/>
      <c r="D299" s="118"/>
    </row>
    <row r="300" spans="1:8" x14ac:dyDescent="0.25">
      <c r="A300" s="10" t="s">
        <v>436</v>
      </c>
      <c r="B300" s="383">
        <f>'Inputs advanced'!F306</f>
        <v>1434</v>
      </c>
      <c r="C300" s="303">
        <f>'Inputs advanced'!F307</f>
        <v>5.36</v>
      </c>
      <c r="D300" s="107"/>
    </row>
    <row r="301" spans="1:8" x14ac:dyDescent="0.25">
      <c r="A301" s="10" t="s">
        <v>8</v>
      </c>
      <c r="B301" s="383">
        <f>'Inputs advanced'!F308</f>
        <v>340</v>
      </c>
      <c r="C301" s="303">
        <f>'Inputs advanced'!F309</f>
        <v>1.29</v>
      </c>
      <c r="D301" s="107"/>
    </row>
    <row r="302" spans="1:8" x14ac:dyDescent="0.25">
      <c r="A302" s="10" t="s">
        <v>437</v>
      </c>
      <c r="B302" s="383">
        <f>'Inputs advanced'!F310</f>
        <v>184</v>
      </c>
      <c r="C302" s="303">
        <f>'Inputs advanced'!F311</f>
        <v>4.09</v>
      </c>
      <c r="D302" s="107"/>
    </row>
    <row r="303" spans="1:8" x14ac:dyDescent="0.25">
      <c r="A303" s="10" t="s">
        <v>202</v>
      </c>
      <c r="B303" s="383">
        <f>'Inputs advanced'!F312</f>
        <v>190</v>
      </c>
      <c r="C303" s="303">
        <f>'Inputs advanced'!F313</f>
        <v>4.8</v>
      </c>
      <c r="D303" s="107"/>
    </row>
    <row r="304" spans="1:8" x14ac:dyDescent="0.25">
      <c r="A304" s="10" t="s">
        <v>24</v>
      </c>
      <c r="B304" s="383">
        <f>'Inputs advanced'!F314</f>
        <v>943</v>
      </c>
      <c r="C304" s="303">
        <f>'Inputs advanced'!F315</f>
        <v>4.84</v>
      </c>
      <c r="D304" s="107"/>
    </row>
    <row r="305" spans="1:6" x14ac:dyDescent="0.25">
      <c r="A305" s="10" t="s">
        <v>25</v>
      </c>
      <c r="B305" s="383">
        <f>'Inputs advanced'!F316</f>
        <v>289</v>
      </c>
      <c r="C305" s="303">
        <f>'Inputs advanced'!F317</f>
        <v>0.63</v>
      </c>
      <c r="D305" s="107"/>
    </row>
    <row r="306" spans="1:6" x14ac:dyDescent="0.25">
      <c r="A306" s="10" t="s">
        <v>438</v>
      </c>
      <c r="B306" s="383">
        <f>'Inputs advanced'!F318</f>
        <v>210</v>
      </c>
      <c r="C306" s="303">
        <f>'Inputs advanced'!F319</f>
        <v>4.1500000000000004</v>
      </c>
      <c r="D306" s="107"/>
    </row>
    <row r="307" spans="1:6" x14ac:dyDescent="0.25">
      <c r="A307" s="10" t="s">
        <v>439</v>
      </c>
      <c r="B307" s="383">
        <f>'Inputs advanced'!F320</f>
        <v>282</v>
      </c>
      <c r="C307" s="303">
        <f>'Inputs advanced'!F321</f>
        <v>5.04</v>
      </c>
      <c r="D307" s="107"/>
    </row>
    <row r="308" spans="1:6" x14ac:dyDescent="0.25">
      <c r="A308" s="10" t="s">
        <v>440</v>
      </c>
      <c r="B308" s="383">
        <f>'Inputs advanced'!F322</f>
        <v>4409</v>
      </c>
      <c r="C308" s="303">
        <f>'Inputs advanced'!F323</f>
        <v>3.94</v>
      </c>
      <c r="D308" s="107"/>
    </row>
    <row r="309" spans="1:6" x14ac:dyDescent="0.25">
      <c r="A309" s="10" t="s">
        <v>570</v>
      </c>
      <c r="B309" s="383">
        <f>'Inputs advanced'!F324</f>
        <v>203</v>
      </c>
      <c r="C309" s="303">
        <f>'Inputs advanced'!F325</f>
        <v>1.6</v>
      </c>
      <c r="D309" s="107"/>
    </row>
    <row r="310" spans="1:6" x14ac:dyDescent="0.25">
      <c r="A310" s="10" t="s">
        <v>441</v>
      </c>
      <c r="B310" s="383">
        <f>'Inputs advanced'!F326</f>
        <v>8248</v>
      </c>
      <c r="C310" s="303">
        <f>'Inputs advanced'!F327</f>
        <v>7.03</v>
      </c>
      <c r="D310" s="107"/>
    </row>
    <row r="311" spans="1:6" x14ac:dyDescent="0.25">
      <c r="A311" s="10" t="s">
        <v>613</v>
      </c>
      <c r="B311" s="383">
        <f>'Inputs advanced'!F328</f>
        <v>190</v>
      </c>
      <c r="C311" s="303">
        <f>'Inputs advanced'!F329</f>
        <v>3.77</v>
      </c>
      <c r="D311" s="107"/>
    </row>
    <row r="312" spans="1:6" x14ac:dyDescent="0.25">
      <c r="A312" s="10" t="s">
        <v>551</v>
      </c>
      <c r="B312" s="383">
        <f>'Inputs advanced'!F330</f>
        <v>0</v>
      </c>
      <c r="C312" s="303">
        <f>'Inputs advanced'!F331</f>
        <v>0</v>
      </c>
      <c r="D312" s="107"/>
    </row>
    <row r="313" spans="1:6" x14ac:dyDescent="0.25">
      <c r="A313" s="10" t="s">
        <v>614</v>
      </c>
      <c r="B313" s="383">
        <f>'Inputs advanced'!F332</f>
        <v>267</v>
      </c>
      <c r="C313" s="303">
        <f>'Inputs advanced'!F333</f>
        <v>4.5999999999999996</v>
      </c>
      <c r="D313" s="107"/>
    </row>
    <row r="314" spans="1:6" x14ac:dyDescent="0.25">
      <c r="A314" s="10" t="s">
        <v>615</v>
      </c>
      <c r="B314" s="383">
        <f>'Inputs advanced'!F334</f>
        <v>251</v>
      </c>
      <c r="C314" s="303">
        <f>'Inputs advanced'!F335</f>
        <v>7.65</v>
      </c>
      <c r="D314" s="107"/>
    </row>
    <row r="315" spans="1:6" x14ac:dyDescent="0.25">
      <c r="A315" s="177" t="s">
        <v>451</v>
      </c>
      <c r="B315" s="22"/>
      <c r="C315" s="547"/>
      <c r="D315" s="547"/>
      <c r="E315" s="553"/>
      <c r="F315" s="22"/>
    </row>
    <row r="316" spans="1:6" x14ac:dyDescent="0.25">
      <c r="A316" s="18" t="s">
        <v>351</v>
      </c>
      <c r="B316" s="12"/>
      <c r="C316" s="12"/>
      <c r="D316" s="12"/>
      <c r="E316" s="554"/>
      <c r="F316" s="22"/>
    </row>
    <row r="317" spans="1:6" x14ac:dyDescent="0.25">
      <c r="A317" s="10" t="s">
        <v>444</v>
      </c>
      <c r="B317" s="383">
        <f>'Inputs advanced'!F358</f>
        <v>7946</v>
      </c>
      <c r="C317" s="153">
        <f>'Inputs advanced'!F359</f>
        <v>7.5</v>
      </c>
      <c r="D317" s="107"/>
    </row>
    <row r="318" spans="1:6" x14ac:dyDescent="0.25">
      <c r="A318" s="10" t="s">
        <v>573</v>
      </c>
      <c r="B318" s="383">
        <f>'Inputs advanced'!F360</f>
        <v>0</v>
      </c>
      <c r="C318" s="153">
        <f>'Inputs advanced'!F361</f>
        <v>0.1</v>
      </c>
      <c r="D318" s="107"/>
    </row>
    <row r="319" spans="1:6" x14ac:dyDescent="0.25">
      <c r="A319" s="10" t="s">
        <v>445</v>
      </c>
      <c r="B319" s="383">
        <f>'Inputs advanced'!F362</f>
        <v>6565</v>
      </c>
      <c r="C319" s="153">
        <f>'Inputs advanced'!F363</f>
        <v>8.7799999999999994</v>
      </c>
      <c r="D319" s="107"/>
    </row>
    <row r="320" spans="1:6" x14ac:dyDescent="0.25">
      <c r="A320" s="10" t="s">
        <v>446</v>
      </c>
      <c r="B320" s="383">
        <f>'Inputs advanced'!F364</f>
        <v>10236</v>
      </c>
      <c r="C320" s="153">
        <f>'Inputs advanced'!F365</f>
        <v>8.77</v>
      </c>
      <c r="D320" s="107"/>
    </row>
    <row r="321" spans="1:6" x14ac:dyDescent="0.25">
      <c r="A321" s="10" t="s">
        <v>447</v>
      </c>
      <c r="B321" s="383">
        <f>'Inputs advanced'!F366</f>
        <v>2389</v>
      </c>
      <c r="C321" s="153">
        <f>'Inputs advanced'!F367</f>
        <v>7.47</v>
      </c>
      <c r="D321" s="107"/>
    </row>
    <row r="322" spans="1:6" x14ac:dyDescent="0.25">
      <c r="A322" s="10" t="s">
        <v>448</v>
      </c>
      <c r="B322" s="383">
        <f>'Inputs advanced'!F368</f>
        <v>392</v>
      </c>
      <c r="C322" s="153">
        <f>'Inputs advanced'!F369</f>
        <v>5.16</v>
      </c>
      <c r="D322" s="107"/>
    </row>
    <row r="323" spans="1:6" x14ac:dyDescent="0.25">
      <c r="A323" s="10" t="s">
        <v>200</v>
      </c>
      <c r="B323" s="383">
        <f>'Inputs advanced'!F370</f>
        <v>530</v>
      </c>
      <c r="C323" s="153">
        <f>'Inputs advanced'!F371</f>
        <v>6.13</v>
      </c>
      <c r="D323" s="107"/>
    </row>
    <row r="324" spans="1:6" x14ac:dyDescent="0.25">
      <c r="A324" s="10" t="s">
        <v>574</v>
      </c>
      <c r="B324" s="383">
        <f>'Inputs advanced'!F372</f>
        <v>227</v>
      </c>
      <c r="C324" s="153">
        <f>'Inputs advanced'!F373</f>
        <v>5.3</v>
      </c>
      <c r="D324" s="107"/>
    </row>
    <row r="325" spans="1:6" x14ac:dyDescent="0.25">
      <c r="A325" s="10" t="s">
        <v>651</v>
      </c>
      <c r="B325" s="383">
        <f>'Inputs advanced'!F374</f>
        <v>0</v>
      </c>
      <c r="C325" s="153">
        <f>'Inputs advanced'!F375</f>
        <v>0</v>
      </c>
      <c r="D325" s="107"/>
    </row>
    <row r="326" spans="1:6" x14ac:dyDescent="0.25">
      <c r="A326" s="10" t="s">
        <v>616</v>
      </c>
      <c r="B326" s="383">
        <f>'Inputs advanced'!F376</f>
        <v>442</v>
      </c>
      <c r="C326" s="153">
        <f>'Inputs advanced'!F377</f>
        <v>9.5</v>
      </c>
      <c r="D326" s="107"/>
    </row>
    <row r="327" spans="1:6" x14ac:dyDescent="0.25">
      <c r="A327" s="10" t="s">
        <v>449</v>
      </c>
      <c r="B327" s="383">
        <f>'Inputs advanced'!F378</f>
        <v>0</v>
      </c>
      <c r="C327" s="153">
        <f>'Inputs advanced'!F379</f>
        <v>0.1</v>
      </c>
      <c r="D327" s="107"/>
    </row>
    <row r="328" spans="1:6" x14ac:dyDescent="0.25">
      <c r="A328" s="209" t="s">
        <v>40</v>
      </c>
      <c r="B328" s="272"/>
      <c r="C328" s="107"/>
      <c r="D328" s="107"/>
    </row>
    <row r="329" spans="1:6" x14ac:dyDescent="0.25">
      <c r="A329" s="10" t="s">
        <v>450</v>
      </c>
      <c r="B329" s="383">
        <f>'Inputs advanced'!F380</f>
        <v>25522</v>
      </c>
      <c r="C329" s="153">
        <f>'Inputs advanced'!F381</f>
        <v>8.3000000000000007</v>
      </c>
      <c r="D329" s="107"/>
    </row>
    <row r="330" spans="1:6" x14ac:dyDescent="0.25">
      <c r="A330" s="10" t="s">
        <v>324</v>
      </c>
      <c r="B330" s="383">
        <f>'Inputs advanced'!F382</f>
        <v>1521</v>
      </c>
      <c r="C330" s="153">
        <f>'Inputs advanced'!F383</f>
        <v>3.43</v>
      </c>
      <c r="D330" s="107"/>
    </row>
    <row r="331" spans="1:6" x14ac:dyDescent="0.25">
      <c r="A331" s="10" t="s">
        <v>575</v>
      </c>
      <c r="B331" s="383">
        <f>'Inputs advanced'!F384</f>
        <v>228</v>
      </c>
      <c r="C331" s="153">
        <f>'Inputs advanced'!F385</f>
        <v>2.91</v>
      </c>
      <c r="D331" s="12"/>
    </row>
    <row r="332" spans="1:6" x14ac:dyDescent="0.25">
      <c r="A332" s="10" t="s">
        <v>576</v>
      </c>
      <c r="B332" s="383">
        <f>'Inputs advanced'!F386</f>
        <v>50</v>
      </c>
      <c r="C332" s="153">
        <f>'Inputs advanced'!F387</f>
        <v>1.4</v>
      </c>
      <c r="D332" s="12"/>
    </row>
    <row r="333" spans="1:6" x14ac:dyDescent="0.25">
      <c r="A333" s="10" t="s">
        <v>577</v>
      </c>
      <c r="B333" s="383">
        <f>'Inputs advanced'!F388</f>
        <v>0</v>
      </c>
      <c r="C333" s="153">
        <f>'Inputs advanced'!F389</f>
        <v>0.1</v>
      </c>
      <c r="D333" s="107"/>
    </row>
    <row r="334" spans="1:6" x14ac:dyDescent="0.25">
      <c r="A334" s="10" t="s">
        <v>455</v>
      </c>
      <c r="B334" s="383">
        <f>'Inputs advanced'!F390</f>
        <v>75</v>
      </c>
      <c r="C334" s="153">
        <f>'Inputs advanced'!F391</f>
        <v>1.5</v>
      </c>
      <c r="D334" s="107"/>
    </row>
    <row r="335" spans="1:6" x14ac:dyDescent="0.25">
      <c r="A335" s="177" t="s">
        <v>454</v>
      </c>
      <c r="B335" s="22"/>
      <c r="C335" s="22"/>
      <c r="D335" s="22"/>
      <c r="E335" s="554"/>
      <c r="F335" s="22"/>
    </row>
    <row r="336" spans="1:6" x14ac:dyDescent="0.25">
      <c r="A336" s="113" t="s">
        <v>452</v>
      </c>
      <c r="B336" s="153">
        <f>'Inputs advanced'!F337</f>
        <v>0</v>
      </c>
      <c r="C336" s="153">
        <f>'Inputs advanced'!F338</f>
        <v>8.14</v>
      </c>
      <c r="D336" s="107"/>
    </row>
    <row r="337" spans="1:12" x14ac:dyDescent="0.25">
      <c r="A337" s="113" t="s">
        <v>453</v>
      </c>
      <c r="B337" s="153">
        <f>'Inputs advanced'!F339</f>
        <v>78478</v>
      </c>
      <c r="C337" s="153">
        <f>'Inputs advanced'!F340</f>
        <v>19</v>
      </c>
      <c r="D337" s="107"/>
    </row>
    <row r="338" spans="1:12" x14ac:dyDescent="0.25">
      <c r="A338" s="113" t="s">
        <v>599</v>
      </c>
      <c r="B338" s="153">
        <f>'Inputs advanced'!F341</f>
        <v>13471</v>
      </c>
      <c r="C338" s="153">
        <f>'Inputs advanced'!F342</f>
        <v>8.8000000000000007</v>
      </c>
      <c r="D338" s="107"/>
    </row>
    <row r="339" spans="1:12" x14ac:dyDescent="0.25">
      <c r="A339" s="113" t="s">
        <v>571</v>
      </c>
      <c r="B339" s="153">
        <f>'Inputs advanced'!F345</f>
        <v>362</v>
      </c>
      <c r="C339" s="153">
        <f>'Inputs advanced'!F346</f>
        <v>1.3</v>
      </c>
      <c r="D339" s="107"/>
    </row>
    <row r="340" spans="1:12" x14ac:dyDescent="0.25">
      <c r="A340" s="113" t="s">
        <v>593</v>
      </c>
      <c r="B340" s="153">
        <f>'Inputs advanced'!F347</f>
        <v>1328</v>
      </c>
      <c r="C340" s="153">
        <f>'Inputs advanced'!F348</f>
        <v>2.7</v>
      </c>
      <c r="D340" s="107"/>
    </row>
    <row r="341" spans="1:12" x14ac:dyDescent="0.25">
      <c r="A341" s="113" t="s">
        <v>572</v>
      </c>
      <c r="B341" s="153">
        <f>'Inputs advanced'!F349</f>
        <v>72.16</v>
      </c>
      <c r="C341" s="153">
        <f>'Inputs advanced'!F350</f>
        <v>1.03</v>
      </c>
      <c r="D341" s="107"/>
    </row>
    <row r="342" spans="1:12" x14ac:dyDescent="0.25">
      <c r="A342" s="113" t="s">
        <v>617</v>
      </c>
      <c r="B342" s="153">
        <f>'Inputs advanced'!F351</f>
        <v>302</v>
      </c>
      <c r="C342" s="153">
        <f>'Inputs advanced'!F352</f>
        <v>1.35</v>
      </c>
      <c r="D342" s="107"/>
    </row>
    <row r="343" spans="1:12" x14ac:dyDescent="0.25">
      <c r="A343" s="113" t="s">
        <v>618</v>
      </c>
      <c r="B343" s="153">
        <f>'Inputs advanced'!F353</f>
        <v>228</v>
      </c>
      <c r="C343" s="153">
        <f>'Inputs advanced'!F354</f>
        <v>6.3</v>
      </c>
      <c r="D343" s="107"/>
    </row>
    <row r="344" spans="1:12" x14ac:dyDescent="0.25">
      <c r="A344" s="113" t="s">
        <v>650</v>
      </c>
      <c r="B344" s="153">
        <f>'Inputs advanced'!F343</f>
        <v>0</v>
      </c>
      <c r="C344" s="153">
        <f>'Inputs advanced'!F344</f>
        <v>0</v>
      </c>
      <c r="D344" s="107"/>
    </row>
    <row r="345" spans="1:12" x14ac:dyDescent="0.25">
      <c r="A345" s="113" t="s">
        <v>550</v>
      </c>
      <c r="B345" s="153">
        <f>'Inputs advanced'!F355</f>
        <v>0</v>
      </c>
      <c r="C345" s="153">
        <f>'Inputs advanced'!F356</f>
        <v>1.9</v>
      </c>
      <c r="D345" s="107"/>
    </row>
    <row r="346" spans="1:12" x14ac:dyDescent="0.25">
      <c r="E346" s="550"/>
    </row>
    <row r="347" spans="1:12" x14ac:dyDescent="0.25">
      <c r="A347" s="63" t="s">
        <v>215</v>
      </c>
      <c r="B347" s="219" t="s">
        <v>469</v>
      </c>
      <c r="C347" s="219" t="s">
        <v>435</v>
      </c>
      <c r="D347" s="219" t="s">
        <v>470</v>
      </c>
      <c r="E347" s="219"/>
    </row>
    <row r="348" spans="1:12" ht="31.5" x14ac:dyDescent="0.25">
      <c r="A348" s="139" t="s">
        <v>806</v>
      </c>
      <c r="B348" s="508">
        <f>'Inputs advanced'!F393</f>
        <v>348</v>
      </c>
      <c r="C348" s="153" t="s">
        <v>643</v>
      </c>
      <c r="D348" s="153">
        <f>'Inputs advanced'!F394</f>
        <v>1</v>
      </c>
      <c r="E348" s="146">
        <f>B348*D348</f>
        <v>348</v>
      </c>
      <c r="F348" s="10" t="s">
        <v>216</v>
      </c>
    </row>
    <row r="349" spans="1:12" ht="31.5" x14ac:dyDescent="0.25">
      <c r="A349" s="139" t="s">
        <v>217</v>
      </c>
      <c r="B349" s="381">
        <v>0</v>
      </c>
      <c r="C349" s="128" t="s">
        <v>101</v>
      </c>
      <c r="D349" s="135">
        <v>0</v>
      </c>
      <c r="E349" s="135">
        <f>'Inputs advanced'!F395</f>
        <v>0</v>
      </c>
      <c r="F349" s="10" t="s">
        <v>218</v>
      </c>
    </row>
    <row r="350" spans="1:12" ht="31.5" x14ac:dyDescent="0.25">
      <c r="A350" s="139" t="s">
        <v>219</v>
      </c>
      <c r="B350" s="128" t="s">
        <v>101</v>
      </c>
      <c r="C350" s="128" t="s">
        <v>101</v>
      </c>
      <c r="D350" s="135">
        <v>0</v>
      </c>
      <c r="E350" s="135"/>
      <c r="F350" s="547" t="s">
        <v>220</v>
      </c>
    </row>
    <row r="351" spans="1:12" x14ac:dyDescent="0.25">
      <c r="A351" s="21"/>
      <c r="C351" s="22"/>
      <c r="D351" s="22"/>
      <c r="E351" s="22"/>
    </row>
    <row r="352" spans="1:12" x14ac:dyDescent="0.25">
      <c r="A352" s="21"/>
      <c r="C352" s="22"/>
      <c r="D352" s="22"/>
      <c r="E352" s="22"/>
      <c r="G352" s="113"/>
      <c r="L352" s="10"/>
    </row>
    <row r="353" spans="1:12" x14ac:dyDescent="0.25">
      <c r="A353" s="62" t="s">
        <v>347</v>
      </c>
      <c r="B353" s="242" t="s">
        <v>486</v>
      </c>
      <c r="C353" s="12"/>
      <c r="D353" s="113"/>
      <c r="E353" s="12"/>
      <c r="G353" s="113"/>
      <c r="L353" s="10"/>
    </row>
    <row r="354" spans="1:12" x14ac:dyDescent="0.25">
      <c r="A354" s="130" t="s">
        <v>471</v>
      </c>
      <c r="C354" s="113"/>
      <c r="D354" s="12"/>
      <c r="E354" s="12"/>
      <c r="G354" s="113"/>
      <c r="L354" s="10"/>
    </row>
    <row r="355" spans="1:12" x14ac:dyDescent="0.25">
      <c r="A355" s="22" t="s">
        <v>474</v>
      </c>
      <c r="B355" s="466">
        <f>'Inputs advanced'!F43</f>
        <v>79.78</v>
      </c>
      <c r="C355" s="153"/>
      <c r="D355" s="388"/>
      <c r="E355" s="388"/>
      <c r="G355" s="113"/>
      <c r="L355" s="10"/>
    </row>
    <row r="356" spans="1:12" x14ac:dyDescent="0.25">
      <c r="A356" s="22" t="s">
        <v>578</v>
      </c>
      <c r="B356" s="387">
        <f>'Inputs advanced'!F44</f>
        <v>113.84</v>
      </c>
      <c r="C356" s="387"/>
      <c r="D356" s="388"/>
      <c r="E356" s="388"/>
      <c r="G356" s="113"/>
      <c r="L356" s="10"/>
    </row>
    <row r="357" spans="1:12" x14ac:dyDescent="0.25">
      <c r="A357" s="22" t="s">
        <v>579</v>
      </c>
      <c r="B357" s="466">
        <f>'Inputs advanced'!F45</f>
        <v>172.32</v>
      </c>
      <c r="C357" s="153"/>
      <c r="D357" s="388"/>
      <c r="E357" s="388"/>
      <c r="G357" s="113"/>
      <c r="L357" s="10"/>
    </row>
    <row r="358" spans="1:12" x14ac:dyDescent="0.25">
      <c r="A358" s="22" t="s">
        <v>193</v>
      </c>
      <c r="B358" s="466">
        <f>'Inputs advanced'!F46</f>
        <v>0</v>
      </c>
      <c r="C358" s="153"/>
      <c r="D358" s="388"/>
      <c r="E358" s="153"/>
      <c r="G358" s="113"/>
      <c r="L358" s="10"/>
    </row>
    <row r="359" spans="1:12" x14ac:dyDescent="0.25">
      <c r="A359" s="130" t="s">
        <v>475</v>
      </c>
      <c r="B359" s="113"/>
      <c r="C359" s="113"/>
      <c r="D359" s="12"/>
      <c r="E359" s="113"/>
      <c r="G359" s="113"/>
      <c r="L359" s="10"/>
    </row>
    <row r="360" spans="1:12" x14ac:dyDescent="0.25">
      <c r="A360" s="22" t="s">
        <v>476</v>
      </c>
      <c r="B360" s="509">
        <f>'Inputs advanced'!F48</f>
        <v>475.84</v>
      </c>
      <c r="C360" s="153"/>
      <c r="D360" s="153"/>
      <c r="E360" s="153"/>
      <c r="G360" s="113"/>
      <c r="L360" s="10"/>
    </row>
    <row r="361" spans="1:12" x14ac:dyDescent="0.25">
      <c r="A361" s="22" t="s">
        <v>477</v>
      </c>
      <c r="B361" s="509">
        <f>'Inputs advanced'!F49</f>
        <v>338.87500000000006</v>
      </c>
      <c r="C361" s="153"/>
      <c r="D361" s="153"/>
      <c r="E361" s="153"/>
      <c r="G361" s="113"/>
      <c r="L361" s="10"/>
    </row>
    <row r="362" spans="1:12" x14ac:dyDescent="0.25">
      <c r="A362" s="22" t="s">
        <v>442</v>
      </c>
      <c r="B362" s="509">
        <f>'Inputs advanced'!F50</f>
        <v>0</v>
      </c>
      <c r="C362" s="153"/>
      <c r="D362" s="153"/>
      <c r="E362" s="153"/>
      <c r="G362" s="113"/>
      <c r="L362" s="10"/>
    </row>
    <row r="363" spans="1:12" x14ac:dyDescent="0.25">
      <c r="A363" s="130" t="s">
        <v>478</v>
      </c>
      <c r="B363" s="113"/>
      <c r="C363" s="113"/>
      <c r="D363" s="113"/>
      <c r="E363" s="113"/>
      <c r="G363" s="113"/>
      <c r="L363" s="10"/>
    </row>
    <row r="364" spans="1:12" x14ac:dyDescent="0.25">
      <c r="A364" s="22" t="s">
        <v>479</v>
      </c>
      <c r="B364" s="509">
        <f>'Inputs advanced'!F52</f>
        <v>266.39999999999998</v>
      </c>
      <c r="C364" s="153"/>
      <c r="D364" s="153"/>
      <c r="E364" s="153"/>
      <c r="G364" s="113"/>
      <c r="L364" s="10"/>
    </row>
    <row r="365" spans="1:12" x14ac:dyDescent="0.25">
      <c r="A365" s="22" t="s">
        <v>480</v>
      </c>
      <c r="B365" s="509">
        <f>'Inputs advanced'!F53</f>
        <v>142.12</v>
      </c>
      <c r="C365" s="153"/>
      <c r="D365" s="153"/>
      <c r="E365" s="153"/>
      <c r="G365" s="113"/>
      <c r="L365" s="10"/>
    </row>
    <row r="366" spans="1:12" x14ac:dyDescent="0.25">
      <c r="A366" s="22" t="s">
        <v>481</v>
      </c>
      <c r="B366" s="509">
        <f>'Inputs advanced'!F54</f>
        <v>1817.6</v>
      </c>
      <c r="C366" s="153"/>
      <c r="D366" s="495"/>
      <c r="E366" s="495"/>
      <c r="G366" s="113"/>
      <c r="L366" s="10"/>
    </row>
    <row r="367" spans="1:12" x14ac:dyDescent="0.25">
      <c r="A367" s="22" t="s">
        <v>442</v>
      </c>
      <c r="B367" s="386">
        <f>'Inputs advanced'!F55</f>
        <v>0</v>
      </c>
      <c r="C367" s="153"/>
      <c r="D367" s="153"/>
      <c r="E367" s="153"/>
      <c r="G367" s="113"/>
      <c r="L367" s="10"/>
    </row>
    <row r="368" spans="1:12" x14ac:dyDescent="0.25">
      <c r="A368" s="130" t="s">
        <v>482</v>
      </c>
      <c r="C368" s="113"/>
      <c r="D368" s="113"/>
      <c r="E368" s="113"/>
      <c r="G368" s="113"/>
      <c r="L368" s="10"/>
    </row>
    <row r="369" spans="1:12" x14ac:dyDescent="0.25">
      <c r="A369" s="22" t="s">
        <v>483</v>
      </c>
      <c r="B369" s="386">
        <f>'Inputs advanced'!F57</f>
        <v>439.4133333333333</v>
      </c>
      <c r="C369" s="153"/>
      <c r="D369" s="153"/>
      <c r="E369" s="153"/>
      <c r="G369" s="113"/>
      <c r="L369" s="10"/>
    </row>
    <row r="370" spans="1:12" s="22" customFormat="1" x14ac:dyDescent="0.25">
      <c r="A370" s="220" t="s">
        <v>484</v>
      </c>
      <c r="B370" s="386">
        <f>'Inputs advanced'!F58</f>
        <v>1195.8</v>
      </c>
      <c r="C370" s="153"/>
      <c r="D370" s="153"/>
      <c r="E370" s="153"/>
      <c r="G370" s="12"/>
      <c r="H370" s="12"/>
      <c r="I370" s="12"/>
      <c r="J370" s="12"/>
      <c r="K370" s="12"/>
    </row>
    <row r="371" spans="1:12" s="22" customFormat="1" ht="36" x14ac:dyDescent="0.25">
      <c r="A371" s="356" t="s">
        <v>758</v>
      </c>
      <c r="B371" s="386">
        <f>'Inputs advanced'!F59</f>
        <v>1355.5000000000002</v>
      </c>
      <c r="C371" s="153"/>
      <c r="D371" s="153"/>
      <c r="E371" s="153"/>
      <c r="G371" s="12"/>
      <c r="H371" s="12"/>
      <c r="I371" s="12"/>
      <c r="J371" s="12"/>
      <c r="K371" s="12"/>
    </row>
    <row r="372" spans="1:12" s="22" customFormat="1" ht="30.75" x14ac:dyDescent="0.25">
      <c r="A372" s="169" t="s">
        <v>487</v>
      </c>
      <c r="B372" s="386">
        <f>'Inputs advanced'!F60</f>
        <v>751.2</v>
      </c>
      <c r="C372" s="153"/>
      <c r="D372" s="153"/>
      <c r="E372" s="153"/>
      <c r="G372" s="12"/>
      <c r="H372" s="12"/>
      <c r="I372" s="12"/>
      <c r="J372" s="12"/>
      <c r="K372" s="12"/>
    </row>
    <row r="373" spans="1:12" s="22" customFormat="1" x14ac:dyDescent="0.25">
      <c r="A373" s="222" t="s">
        <v>488</v>
      </c>
      <c r="B373" s="386">
        <f>'Inputs advanced'!F61</f>
        <v>0</v>
      </c>
      <c r="C373" s="153"/>
      <c r="D373" s="153"/>
      <c r="E373" s="153"/>
      <c r="G373" s="12"/>
      <c r="H373" s="12"/>
      <c r="I373" s="12"/>
      <c r="J373" s="12"/>
      <c r="K373" s="12"/>
    </row>
    <row r="374" spans="1:12" s="22" customFormat="1" x14ac:dyDescent="0.25">
      <c r="A374" s="169"/>
      <c r="G374" s="12"/>
      <c r="H374" s="12"/>
      <c r="I374" s="12"/>
      <c r="J374" s="12"/>
      <c r="K374" s="12"/>
    </row>
    <row r="375" spans="1:12" x14ac:dyDescent="0.25">
      <c r="A375" s="169"/>
      <c r="B375" s="22"/>
      <c r="C375" s="22"/>
      <c r="D375" s="22"/>
      <c r="E375" s="22"/>
      <c r="F375" s="22"/>
    </row>
    <row r="376" spans="1:12" x14ac:dyDescent="0.25">
      <c r="A376" s="22"/>
      <c r="C376" s="22"/>
      <c r="D376" s="22"/>
      <c r="E376" s="22"/>
    </row>
    <row r="377" spans="1:12" x14ac:dyDescent="0.25">
      <c r="A377" s="94" t="s">
        <v>206</v>
      </c>
      <c r="D377" s="22"/>
      <c r="E377" s="22"/>
    </row>
    <row r="378" spans="1:12" x14ac:dyDescent="0.25">
      <c r="A378" s="21"/>
      <c r="D378" s="22"/>
      <c r="E378" s="22"/>
    </row>
    <row r="379" spans="1:12" x14ac:dyDescent="0.25">
      <c r="A379" s="144" t="s">
        <v>6</v>
      </c>
      <c r="B379" s="23" t="s">
        <v>32</v>
      </c>
      <c r="C379" s="23" t="s">
        <v>23</v>
      </c>
      <c r="D379" s="22"/>
      <c r="E379" s="22"/>
    </row>
    <row r="380" spans="1:12" x14ac:dyDescent="0.25">
      <c r="A380" s="22" t="s">
        <v>228</v>
      </c>
      <c r="B380" s="146">
        <f>'Inputs advanced'!F398</f>
        <v>2236</v>
      </c>
      <c r="C380" s="22"/>
      <c r="D380" s="22"/>
      <c r="E380" s="22"/>
    </row>
    <row r="381" spans="1:12" x14ac:dyDescent="0.25">
      <c r="A381" s="22" t="s">
        <v>229</v>
      </c>
      <c r="B381" s="22"/>
      <c r="C381" s="146">
        <f>'Inputs advanced'!F399</f>
        <v>0</v>
      </c>
      <c r="D381" s="22"/>
      <c r="E381" s="22"/>
    </row>
    <row r="382" spans="1:12" x14ac:dyDescent="0.25">
      <c r="A382" s="22" t="s">
        <v>230</v>
      </c>
      <c r="B382" s="22"/>
      <c r="C382" s="146">
        <f>'Inputs advanced'!F400</f>
        <v>0</v>
      </c>
      <c r="D382" s="22"/>
      <c r="E382" s="22"/>
    </row>
    <row r="383" spans="1:12" x14ac:dyDescent="0.25">
      <c r="A383" s="129" t="s">
        <v>231</v>
      </c>
      <c r="B383" s="22"/>
      <c r="C383" s="146">
        <v>0</v>
      </c>
      <c r="D383" s="22"/>
      <c r="E383" s="22"/>
    </row>
    <row r="384" spans="1:12" x14ac:dyDescent="0.25">
      <c r="A384" s="129" t="s">
        <v>232</v>
      </c>
      <c r="B384" s="22"/>
      <c r="C384" s="146">
        <v>0</v>
      </c>
      <c r="D384" s="22"/>
      <c r="E384" s="22"/>
    </row>
    <row r="385" spans="1:6" x14ac:dyDescent="0.25">
      <c r="A385" s="22"/>
      <c r="B385" s="22"/>
      <c r="C385" s="22"/>
      <c r="D385" s="22"/>
      <c r="E385" s="22"/>
    </row>
    <row r="386" spans="1:6" x14ac:dyDescent="0.25">
      <c r="A386" s="63" t="s">
        <v>34</v>
      </c>
      <c r="B386" s="95" t="s">
        <v>134</v>
      </c>
      <c r="C386" s="22"/>
      <c r="D386" s="22"/>
      <c r="E386" s="22"/>
    </row>
    <row r="387" spans="1:6" x14ac:dyDescent="0.25">
      <c r="A387" s="97" t="s">
        <v>226</v>
      </c>
      <c r="B387" s="146">
        <f>'Inputs advanced'!F402</f>
        <v>1</v>
      </c>
      <c r="C387" s="22"/>
      <c r="D387" s="22"/>
      <c r="E387" s="22"/>
    </row>
    <row r="388" spans="1:6" x14ac:dyDescent="0.25">
      <c r="A388" s="39"/>
      <c r="B388" s="36" t="s">
        <v>63</v>
      </c>
      <c r="C388" s="555" t="s">
        <v>64</v>
      </c>
    </row>
    <row r="389" spans="1:6" x14ac:dyDescent="0.25">
      <c r="A389" s="22" t="s">
        <v>594</v>
      </c>
      <c r="B389" s="239">
        <f>'Inputs advanced'!F403</f>
        <v>36217</v>
      </c>
      <c r="C389" s="71">
        <f>B389*0.04</f>
        <v>1448.68</v>
      </c>
      <c r="F389" s="10">
        <f>B389/B67</f>
        <v>1988.8522789676001</v>
      </c>
    </row>
    <row r="390" spans="1:6" x14ac:dyDescent="0.25">
      <c r="A390" s="22" t="s">
        <v>595</v>
      </c>
      <c r="B390" s="72">
        <f>B389*B7</f>
        <v>285027.78999999998</v>
      </c>
      <c r="C390" s="71">
        <f>B390*0.04</f>
        <v>11401.1116</v>
      </c>
    </row>
    <row r="391" spans="1:6" x14ac:dyDescent="0.25">
      <c r="A391" s="22"/>
      <c r="B391" s="22"/>
      <c r="C391" s="22"/>
    </row>
    <row r="392" spans="1:6" x14ac:dyDescent="0.25">
      <c r="F392" s="22">
        <f>70000*H6</f>
        <v>345799.99999999994</v>
      </c>
    </row>
    <row r="393" spans="1:6" ht="31.5" x14ac:dyDescent="0.25">
      <c r="A393" s="139" t="s">
        <v>227</v>
      </c>
      <c r="B393" s="146">
        <v>147.28</v>
      </c>
      <c r="C393" s="22"/>
      <c r="D393" s="22"/>
      <c r="E393" s="22"/>
    </row>
    <row r="394" spans="1:6" x14ac:dyDescent="0.25">
      <c r="A394" s="22"/>
      <c r="B394" s="22"/>
      <c r="C394" s="22"/>
      <c r="D394" s="22"/>
      <c r="E394" s="22"/>
    </row>
    <row r="395" spans="1:6" ht="31.5" x14ac:dyDescent="0.25">
      <c r="A395" s="143" t="s">
        <v>522</v>
      </c>
      <c r="B395" s="146">
        <f>'Inputs advanced'!F404</f>
        <v>0</v>
      </c>
      <c r="C395" s="22"/>
      <c r="D395" s="22"/>
      <c r="E395" s="22"/>
    </row>
    <row r="396" spans="1:6" x14ac:dyDescent="0.25">
      <c r="A396" s="22"/>
      <c r="B396" s="22"/>
      <c r="C396" s="22"/>
      <c r="D396" s="22"/>
      <c r="E396" s="22"/>
    </row>
    <row r="398" spans="1:6" x14ac:dyDescent="0.25">
      <c r="A398" s="94" t="s">
        <v>510</v>
      </c>
      <c r="B398" s="10" t="s">
        <v>512</v>
      </c>
    </row>
    <row r="399" spans="1:6" x14ac:dyDescent="0.25">
      <c r="A399" s="229" t="s">
        <v>511</v>
      </c>
      <c r="B399" s="128">
        <f>'Inputs advanced'!F146</f>
        <v>25.8</v>
      </c>
    </row>
    <row r="400" spans="1:6" ht="31.5" x14ac:dyDescent="0.25">
      <c r="A400" s="230" t="s">
        <v>619</v>
      </c>
      <c r="B400" s="128">
        <f>'Inputs advanced'!F149</f>
        <v>16750</v>
      </c>
    </row>
    <row r="403" spans="1:2" x14ac:dyDescent="0.25">
      <c r="A403" s="231" t="s">
        <v>513</v>
      </c>
    </row>
    <row r="404" spans="1:2" x14ac:dyDescent="0.25">
      <c r="A404" s="228" t="s">
        <v>27</v>
      </c>
      <c r="B404" s="128">
        <f>'Inputs advanced'!F178</f>
        <v>1</v>
      </c>
    </row>
    <row r="405" spans="1:2" x14ac:dyDescent="0.25">
      <c r="A405" s="228" t="s">
        <v>28</v>
      </c>
      <c r="B405" s="128">
        <f>'Inputs advanced'!F179</f>
        <v>0</v>
      </c>
    </row>
    <row r="406" spans="1:2" x14ac:dyDescent="0.25">
      <c r="A406" s="228" t="s">
        <v>514</v>
      </c>
      <c r="B406" s="128">
        <f>'Inputs advanced'!F180</f>
        <v>0</v>
      </c>
    </row>
    <row r="408" spans="1:2" ht="30.75" x14ac:dyDescent="0.25">
      <c r="A408" s="232" t="s">
        <v>515</v>
      </c>
    </row>
    <row r="409" spans="1:2" x14ac:dyDescent="0.25">
      <c r="A409" s="228" t="s">
        <v>516</v>
      </c>
      <c r="B409" s="128">
        <f>'Inputs advanced'!F182</f>
        <v>100</v>
      </c>
    </row>
    <row r="410" spans="1:2" x14ac:dyDescent="0.25">
      <c r="A410" s="228" t="s">
        <v>517</v>
      </c>
      <c r="B410" s="128">
        <f>'Inputs advanced'!F183</f>
        <v>0</v>
      </c>
    </row>
    <row r="411" spans="1:2" x14ac:dyDescent="0.25">
      <c r="A411" s="228" t="s">
        <v>256</v>
      </c>
      <c r="B411" s="128">
        <f>'Inputs advanced'!F184</f>
        <v>0</v>
      </c>
    </row>
    <row r="412" spans="1:2" x14ac:dyDescent="0.25">
      <c r="A412" s="228" t="s">
        <v>518</v>
      </c>
      <c r="B412" s="128">
        <f>'Inputs advanced'!F185</f>
        <v>0</v>
      </c>
    </row>
    <row r="413" spans="1:2" x14ac:dyDescent="0.25">
      <c r="A413" s="228" t="s">
        <v>519</v>
      </c>
      <c r="B413" s="621" t="s">
        <v>101</v>
      </c>
    </row>
    <row r="416" spans="1:2" ht="60.75" x14ac:dyDescent="0.25">
      <c r="A416" s="151" t="s">
        <v>520</v>
      </c>
      <c r="B416" s="128">
        <f>'Inputs advanced'!F197</f>
        <v>1</v>
      </c>
    </row>
    <row r="418" spans="1:3" ht="30.75" x14ac:dyDescent="0.25">
      <c r="A418" s="233" t="s">
        <v>521</v>
      </c>
      <c r="B418" s="128">
        <f>$B$387</f>
        <v>1</v>
      </c>
    </row>
    <row r="421" spans="1:3" ht="30.75" x14ac:dyDescent="0.25">
      <c r="A421" s="237" t="s">
        <v>540</v>
      </c>
      <c r="B421" s="381">
        <f>'Inputs advanced'!F206</f>
        <v>2012</v>
      </c>
    </row>
    <row r="422" spans="1:3" ht="30.75" x14ac:dyDescent="0.25">
      <c r="A422" s="237" t="s">
        <v>541</v>
      </c>
      <c r="B422" s="128">
        <f>'Inputs advanced'!F207</f>
        <v>0.5</v>
      </c>
    </row>
    <row r="423" spans="1:3" x14ac:dyDescent="0.25">
      <c r="A423" s="237"/>
      <c r="B423" s="128"/>
    </row>
    <row r="424" spans="1:3" ht="45.75" x14ac:dyDescent="0.25">
      <c r="A424" s="313" t="s">
        <v>786</v>
      </c>
      <c r="B424" s="381"/>
      <c r="C424" s="113"/>
    </row>
    <row r="425" spans="1:3" ht="18" x14ac:dyDescent="0.25">
      <c r="A425" s="360" t="s">
        <v>719</v>
      </c>
      <c r="B425" s="382">
        <f>'Inputs advanced'!F209</f>
        <v>1</v>
      </c>
      <c r="C425" s="556"/>
    </row>
    <row r="426" spans="1:3" ht="36" x14ac:dyDescent="0.25">
      <c r="A426" s="360" t="s">
        <v>720</v>
      </c>
      <c r="B426" s="382">
        <f>'Inputs advanced'!F210</f>
        <v>0</v>
      </c>
      <c r="C426" s="556"/>
    </row>
    <row r="427" spans="1:3" ht="18" x14ac:dyDescent="0.25">
      <c r="A427" s="361" t="s">
        <v>543</v>
      </c>
      <c r="B427" s="382">
        <f>'Inputs advanced'!F211</f>
        <v>0</v>
      </c>
      <c r="C427" s="556"/>
    </row>
    <row r="428" spans="1:3" ht="18" x14ac:dyDescent="0.25">
      <c r="A428" s="362" t="s">
        <v>721</v>
      </c>
      <c r="B428" s="382">
        <f>'Inputs advanced'!F212</f>
        <v>1</v>
      </c>
      <c r="C428" s="556"/>
    </row>
    <row r="429" spans="1:3" ht="18" x14ac:dyDescent="0.25">
      <c r="A429" s="360" t="s">
        <v>722</v>
      </c>
      <c r="B429" s="382">
        <f>'Inputs advanced'!F213</f>
        <v>0</v>
      </c>
      <c r="C429" s="556"/>
    </row>
    <row r="430" spans="1:3" ht="18" x14ac:dyDescent="0.25">
      <c r="A430" s="363" t="s">
        <v>542</v>
      </c>
      <c r="B430" s="382">
        <f>'Inputs advanced'!F214</f>
        <v>0</v>
      </c>
      <c r="C430" s="556"/>
    </row>
    <row r="431" spans="1:3" ht="18" x14ac:dyDescent="0.25">
      <c r="A431" s="364" t="s">
        <v>723</v>
      </c>
      <c r="B431" s="382">
        <f>'Inputs advanced'!F215</f>
        <v>0</v>
      </c>
      <c r="C431" s="556"/>
    </row>
    <row r="432" spans="1:3" ht="18" x14ac:dyDescent="0.25">
      <c r="A432" s="362" t="s">
        <v>544</v>
      </c>
      <c r="B432" s="382">
        <f>'Inputs advanced'!F216</f>
        <v>0</v>
      </c>
    </row>
    <row r="433" spans="1:3" ht="18" x14ac:dyDescent="0.25">
      <c r="A433" s="362" t="s">
        <v>210</v>
      </c>
      <c r="B433" s="382">
        <f>'Inputs advanced'!F217</f>
        <v>0</v>
      </c>
    </row>
    <row r="444" spans="1:3" x14ac:dyDescent="0.25">
      <c r="A444" s="313"/>
      <c r="B444" s="381"/>
      <c r="C444" s="556"/>
    </row>
    <row r="445" spans="1:3" x14ac:dyDescent="0.25">
      <c r="A445" s="151"/>
      <c r="B445" s="381"/>
      <c r="C445" s="556"/>
    </row>
    <row r="446" spans="1:3" x14ac:dyDescent="0.25">
      <c r="A446" s="390"/>
      <c r="B446" s="381"/>
      <c r="C446" s="556"/>
    </row>
    <row r="447" spans="1:3" x14ac:dyDescent="0.25">
      <c r="A447" s="391"/>
      <c r="B447" s="381"/>
      <c r="C447" s="556"/>
    </row>
    <row r="448" spans="1:3" x14ac:dyDescent="0.25">
      <c r="A448" s="185"/>
      <c r="B448" s="113"/>
      <c r="C448" s="556"/>
    </row>
    <row r="449" spans="1:3" x14ac:dyDescent="0.25">
      <c r="A449" s="185"/>
      <c r="B449" s="113"/>
      <c r="C449" s="556"/>
    </row>
    <row r="450" spans="1:3" x14ac:dyDescent="0.25">
      <c r="A450" s="113"/>
      <c r="B450" s="113"/>
      <c r="C450" s="113"/>
    </row>
  </sheetData>
  <mergeCells count="8">
    <mergeCell ref="B230:B231"/>
    <mergeCell ref="P56:S56"/>
    <mergeCell ref="D143:F143"/>
    <mergeCell ref="D194:F194"/>
    <mergeCell ref="I158:J158"/>
    <mergeCell ref="D170:F170"/>
    <mergeCell ref="F229:F231"/>
    <mergeCell ref="D183:F183"/>
  </mergeCells>
  <phoneticPr fontId="16" type="noConversion"/>
  <pageMargins left="0.75" right="0.75" top="1" bottom="1" header="0.5" footer="0.5"/>
  <pageSetup scale="61" orientation="landscape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Named Ranges</vt:lpstr>
      </vt:variant>
      <vt:variant>
        <vt:i4>6</vt:i4>
      </vt:variant>
    </vt:vector>
  </HeadingPairs>
  <TitlesOfParts>
    <vt:vector size="26" baseType="lpstr">
      <vt:lpstr>Inputs 1.0</vt:lpstr>
      <vt:lpstr>Outcome 1.0</vt:lpstr>
      <vt:lpstr>DATABASE_Schema</vt:lpstr>
      <vt:lpstr>Outcome TOTAL_Adj</vt:lpstr>
      <vt:lpstr>Outcome_Y_Adjustment</vt:lpstr>
      <vt:lpstr>Outcome_L Adjustment</vt:lpstr>
      <vt:lpstr>Proportions</vt:lpstr>
      <vt:lpstr>Inputs advanced</vt:lpstr>
      <vt:lpstr>Budget_Supuestos</vt:lpstr>
      <vt:lpstr>Budget_Equipo</vt:lpstr>
      <vt:lpstr>Budget_M Obra</vt:lpstr>
      <vt:lpstr>Budget_Presupuesto</vt:lpstr>
      <vt:lpstr>Budget_Valor de M Obra</vt:lpstr>
      <vt:lpstr>Budget_Establecimiento</vt:lpstr>
      <vt:lpstr>Budget_Sostenemiento</vt:lpstr>
      <vt:lpstr>Inputs 1.0_metric_currency</vt:lpstr>
      <vt:lpstr>Outcome 1.0 pre_metric_currency</vt:lpstr>
      <vt:lpstr>Conversiones</vt:lpstr>
      <vt:lpstr>Proporción de productividad</vt:lpstr>
      <vt:lpstr>Inputs 1.0 (Ref)</vt:lpstr>
      <vt:lpstr>Budget_Establecimiento!Print_Area</vt:lpstr>
      <vt:lpstr>'Budget_M Obra'!Print_Area</vt:lpstr>
      <vt:lpstr>Budget_Presupuesto!Print_Area</vt:lpstr>
      <vt:lpstr>Budget_Sostenemiento!Print_Area</vt:lpstr>
      <vt:lpstr>Budget_Supuestos!Print_Area</vt:lpstr>
      <vt:lpstr>'Budget_Valor de M Obra'!Print_Area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Kate</dc:creator>
  <cp:lastModifiedBy>SAPTARSHI MALLICK</cp:lastModifiedBy>
  <cp:lastPrinted>2015-09-23T00:46:13Z</cp:lastPrinted>
  <dcterms:created xsi:type="dcterms:W3CDTF">2015-01-08T03:31:31Z</dcterms:created>
  <dcterms:modified xsi:type="dcterms:W3CDTF">2018-02-16T19:54:24Z</dcterms:modified>
</cp:coreProperties>
</file>