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defaultThemeVersion="153222"/>
  <mc:AlternateContent xmlns:mc="http://schemas.openxmlformats.org/markup-compatibility/2006">
    <mc:Choice Requires="x15">
      <x15ac:absPath xmlns:x15ac="http://schemas.microsoft.com/office/spreadsheetml/2010/11/ac" url="S:\@Communications, Policy and Campaigns\Research\RESEARCH\More Affordable Homes\Future of low rent homes\low_rent_homes_report\"/>
    </mc:Choice>
  </mc:AlternateContent>
  <bookViews>
    <workbookView xWindow="0" yWindow="0" windowWidth="23040" windowHeight="8232"/>
  </bookViews>
  <sheets>
    <sheet name="Assumptions" sheetId="12" r:id="rId1"/>
    <sheet name="Regional Results" sheetId="15" r:id="rId2"/>
    <sheet name="SO Affordability" sheetId="1" r:id="rId3"/>
    <sheet name="NHF Shared Ownership" sheetId="2" r:id="rId4"/>
    <sheet name="Raw Data-Hometrack Assumptions" sheetId="3" r:id="rId5"/>
    <sheet name="HPSSA median NB" sheetId="20" r:id="rId6"/>
    <sheet name="HPSSA NB sales" sheetId="21" r:id="rId7"/>
  </sheets>
  <definedNames>
    <definedName name="rep_month">#REF!</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 i="15" l="1"/>
  <c r="H5" i="15"/>
  <c r="H6" i="15"/>
  <c r="H7" i="15"/>
  <c r="H8" i="15"/>
  <c r="H9" i="15"/>
  <c r="H10" i="15"/>
  <c r="H11" i="15"/>
  <c r="H12" i="15"/>
  <c r="H3" i="15"/>
  <c r="C5" i="15"/>
  <c r="C6" i="15"/>
  <c r="C7" i="15"/>
  <c r="C8" i="15"/>
  <c r="C9" i="15"/>
  <c r="C10" i="15"/>
  <c r="C11" i="15"/>
  <c r="C12" i="15"/>
  <c r="C4" i="15"/>
  <c r="C3" i="15"/>
  <c r="B24" i="1"/>
  <c r="B23" i="1"/>
  <c r="B22" i="1"/>
  <c r="B21" i="1"/>
  <c r="E21" i="1" s="1"/>
  <c r="I21" i="1" s="1"/>
  <c r="B20" i="1"/>
  <c r="B19" i="1"/>
  <c r="B18" i="1"/>
  <c r="B17" i="1"/>
  <c r="F17" i="1" s="1"/>
  <c r="B16" i="1"/>
  <c r="D16" i="1" s="1"/>
  <c r="B15" i="1"/>
  <c r="J12" i="1"/>
  <c r="J11" i="1"/>
  <c r="J10" i="1"/>
  <c r="J9" i="1"/>
  <c r="J8" i="1"/>
  <c r="J7" i="1"/>
  <c r="J6" i="1"/>
  <c r="J5" i="1"/>
  <c r="J4" i="1"/>
  <c r="J3" i="1"/>
  <c r="L21" i="12"/>
  <c r="K21" i="12"/>
  <c r="J21" i="12"/>
  <c r="I21" i="12"/>
  <c r="H21" i="12"/>
  <c r="G21" i="12"/>
  <c r="F21" i="12"/>
  <c r="E21" i="12"/>
  <c r="D21" i="12"/>
  <c r="C21" i="12"/>
  <c r="L20" i="12"/>
  <c r="K20" i="12"/>
  <c r="J20" i="12"/>
  <c r="I20" i="12"/>
  <c r="H20" i="12"/>
  <c r="G20" i="12"/>
  <c r="F20" i="12"/>
  <c r="E20" i="12"/>
  <c r="D20" i="12"/>
  <c r="C20" i="12"/>
  <c r="J24" i="1"/>
  <c r="J23" i="1"/>
  <c r="J22" i="1"/>
  <c r="J21" i="1"/>
  <c r="J20" i="1"/>
  <c r="J19" i="1"/>
  <c r="J18" i="1"/>
  <c r="J17" i="1"/>
  <c r="J16" i="1"/>
  <c r="J15" i="1"/>
  <c r="C24" i="1"/>
  <c r="C23" i="1"/>
  <c r="C22" i="1"/>
  <c r="C21" i="1"/>
  <c r="C20" i="1"/>
  <c r="C19" i="1"/>
  <c r="C18" i="1"/>
  <c r="C17" i="1"/>
  <c r="E16" i="1"/>
  <c r="I16" i="1" s="1"/>
  <c r="C16" i="1"/>
  <c r="C15" i="1"/>
  <c r="D15" i="1" s="1"/>
  <c r="L5" i="12"/>
  <c r="K5" i="12"/>
  <c r="J5" i="12"/>
  <c r="I5" i="12"/>
  <c r="H5" i="12"/>
  <c r="G5" i="12"/>
  <c r="F5" i="12"/>
  <c r="E5" i="12"/>
  <c r="D5" i="12"/>
  <c r="C5" i="12"/>
  <c r="L6" i="12"/>
  <c r="K6" i="12"/>
  <c r="J6" i="12"/>
  <c r="I6" i="12"/>
  <c r="H6" i="12"/>
  <c r="G6" i="12"/>
  <c r="F6" i="12"/>
  <c r="E6" i="12"/>
  <c r="D6" i="12"/>
  <c r="C6" i="12"/>
  <c r="CK12" i="20"/>
  <c r="CK13" i="20"/>
  <c r="CK14" i="20"/>
  <c r="CK15" i="20"/>
  <c r="CK16" i="20"/>
  <c r="CK17" i="20"/>
  <c r="CK18" i="20"/>
  <c r="CK19" i="20"/>
  <c r="CK20" i="20"/>
  <c r="CK21" i="20"/>
  <c r="CK10" i="20"/>
  <c r="CJ12" i="20"/>
  <c r="CJ13" i="20"/>
  <c r="CJ14" i="20"/>
  <c r="CJ15" i="20"/>
  <c r="CJ16" i="20"/>
  <c r="CJ17" i="20"/>
  <c r="CJ18" i="20"/>
  <c r="CJ19" i="20"/>
  <c r="CJ20" i="20"/>
  <c r="CJ21" i="20"/>
  <c r="CJ10" i="20"/>
  <c r="E23" i="1" l="1"/>
  <c r="I23" i="1" s="1"/>
  <c r="E17" i="1"/>
  <c r="I17" i="1" s="1"/>
  <c r="D20" i="1"/>
  <c r="F24" i="1"/>
  <c r="F19" i="1"/>
  <c r="F22" i="1"/>
  <c r="D23" i="1"/>
  <c r="D24" i="1"/>
  <c r="G24" i="1" s="1"/>
  <c r="H24" i="1" s="1"/>
  <c r="F18" i="1"/>
  <c r="D19" i="1"/>
  <c r="D21" i="1"/>
  <c r="E24" i="1"/>
  <c r="I24" i="1" s="1"/>
  <c r="F15" i="1"/>
  <c r="G15" i="1" s="1"/>
  <c r="H15" i="1" s="1"/>
  <c r="E19" i="1"/>
  <c r="I19" i="1" s="1"/>
  <c r="E20" i="1"/>
  <c r="I20" i="1" s="1"/>
  <c r="F23" i="1"/>
  <c r="G23" i="1" s="1"/>
  <c r="H23" i="1" s="1"/>
  <c r="E15" i="1"/>
  <c r="I15" i="1" s="1"/>
  <c r="K15" i="1" s="1"/>
  <c r="L15" i="1" s="1"/>
  <c r="F16" i="1"/>
  <c r="G16" i="1" s="1"/>
  <c r="H16" i="1" s="1"/>
  <c r="K16" i="1" s="1"/>
  <c r="L16" i="1" s="1"/>
  <c r="D18" i="1"/>
  <c r="F20" i="1"/>
  <c r="D22" i="1"/>
  <c r="D17" i="1"/>
  <c r="G17" i="1" s="1"/>
  <c r="H17" i="1" s="1"/>
  <c r="K17" i="1" s="1"/>
  <c r="L17" i="1" s="1"/>
  <c r="E18" i="1"/>
  <c r="I18" i="1" s="1"/>
  <c r="E22" i="1"/>
  <c r="I22" i="1" s="1"/>
  <c r="F21" i="1"/>
  <c r="G22" i="2"/>
  <c r="G15" i="2"/>
  <c r="G18" i="2"/>
  <c r="G23" i="2"/>
  <c r="G19" i="2"/>
  <c r="G20" i="2"/>
  <c r="G24" i="2"/>
  <c r="G16" i="2"/>
  <c r="G17" i="2"/>
  <c r="G21" i="2"/>
  <c r="K23" i="1" l="1"/>
  <c r="L23" i="1" s="1"/>
  <c r="G22" i="1"/>
  <c r="H22" i="1" s="1"/>
  <c r="K22" i="1" s="1"/>
  <c r="L22" i="1" s="1"/>
  <c r="G20" i="1"/>
  <c r="H20" i="1" s="1"/>
  <c r="K20" i="1" s="1"/>
  <c r="L20" i="1" s="1"/>
  <c r="G21" i="1"/>
  <c r="H21" i="1" s="1"/>
  <c r="K21" i="1" s="1"/>
  <c r="L21" i="1" s="1"/>
  <c r="G18" i="1"/>
  <c r="H18" i="1" s="1"/>
  <c r="K18" i="1" s="1"/>
  <c r="L18" i="1" s="1"/>
  <c r="K24" i="1"/>
  <c r="L24" i="1" s="1"/>
  <c r="G19" i="1"/>
  <c r="H19" i="1" s="1"/>
  <c r="K19" i="1" s="1"/>
  <c r="L19" i="1" s="1"/>
  <c r="C4" i="1"/>
  <c r="C5" i="1"/>
  <c r="C6" i="1"/>
  <c r="C7" i="1"/>
  <c r="C8" i="1"/>
  <c r="C9" i="1"/>
  <c r="C10" i="1"/>
  <c r="C11" i="1"/>
  <c r="C12" i="1"/>
  <c r="C3" i="1"/>
  <c r="H57" i="3" l="1"/>
  <c r="D27" i="3"/>
  <c r="F18" i="2" l="1"/>
  <c r="F19" i="2"/>
  <c r="H19" i="2" s="1"/>
  <c r="B7" i="1" s="1"/>
  <c r="D7" i="1" s="1"/>
  <c r="F20" i="2"/>
  <c r="H20" i="2" s="1"/>
  <c r="B8" i="1" s="1"/>
  <c r="D8" i="1" s="1"/>
  <c r="F21" i="2"/>
  <c r="H21" i="2" s="1"/>
  <c r="B9" i="1" s="1"/>
  <c r="D9" i="1" s="1"/>
  <c r="F22" i="2"/>
  <c r="H22" i="2" s="1"/>
  <c r="B10" i="1" s="1"/>
  <c r="D10" i="1" s="1"/>
  <c r="F23" i="2"/>
  <c r="H23" i="2" s="1"/>
  <c r="B11" i="1" s="1"/>
  <c r="D11" i="1" s="1"/>
  <c r="F24" i="2"/>
  <c r="H24" i="2" s="1"/>
  <c r="B12" i="1" s="1"/>
  <c r="D12" i="1" s="1"/>
  <c r="F17" i="2"/>
  <c r="F16" i="2"/>
  <c r="H16" i="2" s="1"/>
  <c r="B4" i="1" s="1"/>
  <c r="D4" i="1" s="1"/>
  <c r="F15" i="2"/>
  <c r="H15" i="2" s="1"/>
  <c r="B3" i="1" s="1"/>
  <c r="D3" i="1" s="1"/>
  <c r="H17" i="2" l="1"/>
  <c r="B5" i="1" s="1"/>
  <c r="D5" i="1" s="1"/>
  <c r="H18" i="2"/>
  <c r="B6" i="1" s="1"/>
  <c r="D6" i="1" s="1"/>
  <c r="K17" i="3" l="1"/>
  <c r="B21" i="3" l="1"/>
  <c r="E21" i="3" s="1"/>
  <c r="F21" i="3" l="1"/>
  <c r="J27" i="1" s="1"/>
  <c r="C21" i="3"/>
  <c r="C36" i="1" l="1"/>
  <c r="E36" i="1" s="1"/>
  <c r="I36" i="1" s="1"/>
  <c r="C35" i="1"/>
  <c r="E35" i="1" s="1"/>
  <c r="C34" i="1"/>
  <c r="F34" i="1" s="1"/>
  <c r="C33" i="1"/>
  <c r="F33" i="1" s="1"/>
  <c r="C32" i="1"/>
  <c r="E32" i="1" s="1"/>
  <c r="I32" i="1" s="1"/>
  <c r="C31" i="1"/>
  <c r="E31" i="1" s="1"/>
  <c r="I31" i="1" s="1"/>
  <c r="C30" i="1"/>
  <c r="F30" i="1" s="1"/>
  <c r="C29" i="1"/>
  <c r="E29" i="1" s="1"/>
  <c r="C28" i="1"/>
  <c r="E28" i="1" s="1"/>
  <c r="I28" i="1" s="1"/>
  <c r="C27" i="1"/>
  <c r="K3" i="3"/>
  <c r="F4" i="1"/>
  <c r="F5" i="1"/>
  <c r="E6" i="1"/>
  <c r="I6" i="1" s="1"/>
  <c r="E7" i="1"/>
  <c r="I7" i="1" s="1"/>
  <c r="F8" i="1"/>
  <c r="F9" i="1"/>
  <c r="E10" i="1"/>
  <c r="I10" i="1" s="1"/>
  <c r="E11" i="1"/>
  <c r="I11" i="1" s="1"/>
  <c r="F12" i="1"/>
  <c r="F3" i="1"/>
  <c r="B18" i="3"/>
  <c r="E18" i="3" s="1"/>
  <c r="B16" i="3"/>
  <c r="E16" i="3" s="1"/>
  <c r="B15" i="3"/>
  <c r="E15" i="3" s="1"/>
  <c r="B12" i="3"/>
  <c r="E12" i="3" s="1"/>
  <c r="B19" i="3"/>
  <c r="E19" i="3" s="1"/>
  <c r="B20" i="3"/>
  <c r="E20" i="3" s="1"/>
  <c r="B13" i="3"/>
  <c r="E13" i="3" s="1"/>
  <c r="B14" i="3"/>
  <c r="E14" i="3" s="1"/>
  <c r="B17" i="3"/>
  <c r="E17" i="3" s="1"/>
  <c r="C14" i="3" l="1"/>
  <c r="F14" i="3"/>
  <c r="J30" i="1" s="1"/>
  <c r="C12" i="3"/>
  <c r="F12" i="3"/>
  <c r="J28" i="1" s="1"/>
  <c r="C20" i="3"/>
  <c r="F20" i="3"/>
  <c r="J36" i="1" s="1"/>
  <c r="C16" i="3"/>
  <c r="F16" i="3"/>
  <c r="J32" i="1" s="1"/>
  <c r="C17" i="3"/>
  <c r="F17" i="3"/>
  <c r="J33" i="1" s="1"/>
  <c r="C19" i="3"/>
  <c r="F19" i="3"/>
  <c r="J35" i="1" s="1"/>
  <c r="C18" i="3"/>
  <c r="F18" i="3"/>
  <c r="J34" i="1" s="1"/>
  <c r="C13" i="3"/>
  <c r="F13" i="3"/>
  <c r="J29" i="1" s="1"/>
  <c r="C15" i="3"/>
  <c r="F15" i="3"/>
  <c r="J31" i="1" s="1"/>
  <c r="E33" i="1"/>
  <c r="I33" i="1" s="1"/>
  <c r="F28" i="1"/>
  <c r="D36" i="1"/>
  <c r="D32" i="1"/>
  <c r="F36" i="1"/>
  <c r="D28" i="1"/>
  <c r="F32" i="1"/>
  <c r="E34" i="1"/>
  <c r="I34" i="1" s="1"/>
  <c r="E30" i="1"/>
  <c r="I30" i="1" s="1"/>
  <c r="D35" i="1"/>
  <c r="D31" i="1"/>
  <c r="E27" i="1"/>
  <c r="I27" i="1" s="1"/>
  <c r="F35" i="1"/>
  <c r="F31" i="1"/>
  <c r="D34" i="1"/>
  <c r="G34" i="1" s="1"/>
  <c r="H34" i="1" s="1"/>
  <c r="D30" i="1"/>
  <c r="G30" i="1" s="1"/>
  <c r="H30" i="1" s="1"/>
  <c r="I29" i="1"/>
  <c r="D27" i="1"/>
  <c r="D33" i="1"/>
  <c r="G33" i="1" s="1"/>
  <c r="H33" i="1" s="1"/>
  <c r="D29" i="1"/>
  <c r="F27" i="1"/>
  <c r="F29" i="1"/>
  <c r="I35" i="1"/>
  <c r="F11" i="1"/>
  <c r="F10" i="1"/>
  <c r="F7" i="1"/>
  <c r="F6" i="1"/>
  <c r="E3" i="1"/>
  <c r="I3" i="1" s="1"/>
  <c r="E9" i="1"/>
  <c r="I9" i="1" s="1"/>
  <c r="E5" i="1"/>
  <c r="I5" i="1" s="1"/>
  <c r="E12" i="1"/>
  <c r="I12" i="1" s="1"/>
  <c r="E8" i="1"/>
  <c r="I8" i="1" s="1"/>
  <c r="E4" i="1"/>
  <c r="I4" i="1" s="1"/>
  <c r="G3" i="1"/>
  <c r="H3" i="1" s="1"/>
  <c r="G9" i="1"/>
  <c r="H9" i="1" s="1"/>
  <c r="G5" i="1"/>
  <c r="H5" i="1" s="1"/>
  <c r="G12" i="1"/>
  <c r="H12" i="1" s="1"/>
  <c r="G8" i="1"/>
  <c r="H8" i="1" s="1"/>
  <c r="G4" i="1"/>
  <c r="H4" i="1" s="1"/>
  <c r="G27" i="1" l="1"/>
  <c r="H27" i="1" s="1"/>
  <c r="K27" i="1" s="1"/>
  <c r="L27" i="1" s="1"/>
  <c r="K30" i="1"/>
  <c r="L30" i="1" s="1"/>
  <c r="G31" i="1"/>
  <c r="H31" i="1" s="1"/>
  <c r="K31" i="1" s="1"/>
  <c r="L31" i="1" s="1"/>
  <c r="G36" i="1"/>
  <c r="H36" i="1" s="1"/>
  <c r="K36" i="1" s="1"/>
  <c r="L36" i="1" s="1"/>
  <c r="G32" i="1"/>
  <c r="H32" i="1" s="1"/>
  <c r="K32" i="1" s="1"/>
  <c r="L32" i="1" s="1"/>
  <c r="K4" i="1"/>
  <c r="L4" i="1" s="1"/>
  <c r="B4" i="15" s="1"/>
  <c r="G4" i="15" s="1"/>
  <c r="K9" i="1"/>
  <c r="L9" i="1" s="1"/>
  <c r="B9" i="15" s="1"/>
  <c r="G9" i="15" s="1"/>
  <c r="K33" i="1"/>
  <c r="L33" i="1" s="1"/>
  <c r="G28" i="1"/>
  <c r="H28" i="1" s="1"/>
  <c r="K28" i="1" s="1"/>
  <c r="L28" i="1" s="1"/>
  <c r="K8" i="1"/>
  <c r="L8" i="1" s="1"/>
  <c r="B8" i="15" s="1"/>
  <c r="G8" i="15" s="1"/>
  <c r="K3" i="1"/>
  <c r="L3" i="1" s="1"/>
  <c r="B3" i="15" s="1"/>
  <c r="G3" i="15" s="1"/>
  <c r="G29" i="1"/>
  <c r="H29" i="1" s="1"/>
  <c r="K29" i="1" s="1"/>
  <c r="L29" i="1" s="1"/>
  <c r="K34" i="1"/>
  <c r="L34" i="1" s="1"/>
  <c r="G35" i="1"/>
  <c r="H35" i="1" s="1"/>
  <c r="K35" i="1" s="1"/>
  <c r="L35" i="1" s="1"/>
  <c r="K12" i="1"/>
  <c r="L12" i="1" s="1"/>
  <c r="B12" i="15" s="1"/>
  <c r="G12" i="15" s="1"/>
  <c r="K5" i="1"/>
  <c r="L5" i="1" s="1"/>
  <c r="B5" i="15" s="1"/>
  <c r="G5" i="15" s="1"/>
  <c r="G6" i="1"/>
  <c r="G10" i="1"/>
  <c r="G7" i="1"/>
  <c r="G11" i="1"/>
  <c r="H11" i="1" l="1"/>
  <c r="K11" i="1" s="1"/>
  <c r="L11" i="1" s="1"/>
  <c r="B11" i="15" s="1"/>
  <c r="G11" i="15" s="1"/>
  <c r="H7" i="1"/>
  <c r="K7" i="1" s="1"/>
  <c r="L7" i="1" s="1"/>
  <c r="B7" i="15" s="1"/>
  <c r="G7" i="15" s="1"/>
  <c r="H10" i="1"/>
  <c r="K10" i="1" s="1"/>
  <c r="L10" i="1" s="1"/>
  <c r="B10" i="15" s="1"/>
  <c r="G10" i="15" s="1"/>
  <c r="H6" i="1"/>
  <c r="K6" i="1" s="1"/>
  <c r="L6" i="1" s="1"/>
  <c r="B6" i="15" s="1"/>
  <c r="G6" i="15" s="1"/>
  <c r="I24" i="2"/>
  <c r="I23" i="2"/>
  <c r="I21" i="2"/>
  <c r="I19" i="2"/>
  <c r="I17" i="2"/>
  <c r="T11" i="2"/>
  <c r="Q11" i="2"/>
  <c r="R11" i="2" s="1"/>
  <c r="P11" i="2"/>
  <c r="I11" i="2"/>
  <c r="G11" i="2"/>
  <c r="H11" i="2" s="1"/>
  <c r="T10" i="2"/>
  <c r="Q10" i="2"/>
  <c r="R10" i="2" s="1"/>
  <c r="P10" i="2"/>
  <c r="I10" i="2"/>
  <c r="G10" i="2"/>
  <c r="J10" i="2" s="1"/>
  <c r="T9" i="2"/>
  <c r="Q9" i="2"/>
  <c r="R9" i="2" s="1"/>
  <c r="P9" i="2"/>
  <c r="I9" i="2"/>
  <c r="G9" i="2"/>
  <c r="J9" i="2" s="1"/>
  <c r="T8" i="2"/>
  <c r="Q8" i="2"/>
  <c r="R8" i="2" s="1"/>
  <c r="P8" i="2"/>
  <c r="I8" i="2"/>
  <c r="G8" i="2"/>
  <c r="H8" i="2" s="1"/>
  <c r="T7" i="2"/>
  <c r="Q7" i="2"/>
  <c r="R7" i="2" s="1"/>
  <c r="P7" i="2"/>
  <c r="I7" i="2"/>
  <c r="G7" i="2"/>
  <c r="H7" i="2" s="1"/>
  <c r="T6" i="2"/>
  <c r="Q6" i="2"/>
  <c r="R6" i="2" s="1"/>
  <c r="P6" i="2"/>
  <c r="I6" i="2"/>
  <c r="G6" i="2"/>
  <c r="J6" i="2" s="1"/>
  <c r="T5" i="2"/>
  <c r="Q5" i="2"/>
  <c r="R5" i="2" s="1"/>
  <c r="P5" i="2"/>
  <c r="I5" i="2"/>
  <c r="G5" i="2"/>
  <c r="H5" i="2" s="1"/>
  <c r="T4" i="2"/>
  <c r="Q4" i="2"/>
  <c r="R4" i="2" s="1"/>
  <c r="P4" i="2"/>
  <c r="I4" i="2"/>
  <c r="G4" i="2"/>
  <c r="H4" i="2" s="1"/>
  <c r="T3" i="2"/>
  <c r="Q3" i="2"/>
  <c r="R3" i="2" s="1"/>
  <c r="P3" i="2"/>
  <c r="I3" i="2"/>
  <c r="G3" i="2"/>
  <c r="H3" i="2" s="1"/>
  <c r="Q2" i="2"/>
  <c r="R2" i="2" s="1"/>
  <c r="T2" i="2" s="1"/>
  <c r="P2" i="2"/>
  <c r="I2" i="2"/>
  <c r="G2" i="2"/>
  <c r="H2" i="2" s="1"/>
  <c r="K6" i="2" l="1"/>
  <c r="L6" i="2" s="1"/>
  <c r="I15" i="2"/>
  <c r="J5" i="2"/>
  <c r="K5" i="2" s="1"/>
  <c r="L5" i="2" s="1"/>
  <c r="M5" i="2" s="1"/>
  <c r="O5" i="2" s="1"/>
  <c r="V5" i="2" s="1"/>
  <c r="W5" i="2" s="1"/>
  <c r="J7" i="2"/>
  <c r="K7" i="2" s="1"/>
  <c r="L7" i="2" s="1"/>
  <c r="M7" i="2" s="1"/>
  <c r="O7" i="2" s="1"/>
  <c r="V7" i="2" s="1"/>
  <c r="W7" i="2" s="1"/>
  <c r="J8" i="2"/>
  <c r="K8" i="2" s="1"/>
  <c r="L8" i="2" s="1"/>
  <c r="K9" i="2"/>
  <c r="L9" i="2" s="1"/>
  <c r="N9" i="2" s="1"/>
  <c r="J4" i="2"/>
  <c r="K4" i="2" s="1"/>
  <c r="L4" i="2" s="1"/>
  <c r="I20" i="2"/>
  <c r="I18" i="2"/>
  <c r="J11" i="2"/>
  <c r="K11" i="2" s="1"/>
  <c r="L11" i="2" s="1"/>
  <c r="M11" i="2" s="1"/>
  <c r="O11" i="2" s="1"/>
  <c r="V11" i="2" s="1"/>
  <c r="W11" i="2" s="1"/>
  <c r="I16" i="2"/>
  <c r="J3" i="2"/>
  <c r="K3" i="2" s="1"/>
  <c r="L3" i="2" s="1"/>
  <c r="I22" i="2"/>
  <c r="K10" i="2"/>
  <c r="L10" i="2" s="1"/>
  <c r="J2" i="2"/>
  <c r="K2" i="2" s="1"/>
  <c r="L2" i="2" s="1"/>
  <c r="H9" i="2"/>
  <c r="H6" i="2"/>
  <c r="H10" i="2"/>
  <c r="N5" i="2" l="1"/>
  <c r="M9" i="2"/>
  <c r="O9" i="2" s="1"/>
  <c r="V9" i="2" s="1"/>
  <c r="W9" i="2" s="1"/>
  <c r="N11" i="2"/>
  <c r="N7" i="2"/>
  <c r="M3" i="2"/>
  <c r="O3" i="2" s="1"/>
  <c r="V3" i="2" s="1"/>
  <c r="W3" i="2" s="1"/>
  <c r="N3" i="2"/>
  <c r="N4" i="2"/>
  <c r="M4" i="2"/>
  <c r="O4" i="2" s="1"/>
  <c r="V4" i="2" s="1"/>
  <c r="W4" i="2" s="1"/>
  <c r="N6" i="2"/>
  <c r="M6" i="2"/>
  <c r="O6" i="2" s="1"/>
  <c r="V6" i="2" s="1"/>
  <c r="W6" i="2" s="1"/>
  <c r="N10" i="2"/>
  <c r="M10" i="2"/>
  <c r="O10" i="2" s="1"/>
  <c r="V10" i="2" s="1"/>
  <c r="W10" i="2" s="1"/>
  <c r="N2" i="2"/>
  <c r="M2" i="2"/>
  <c r="O2" i="2" s="1"/>
  <c r="V2" i="2" s="1"/>
  <c r="W2" i="2" s="1"/>
  <c r="N8" i="2"/>
  <c r="M8" i="2"/>
  <c r="O8" i="2" s="1"/>
  <c r="V8" i="2" s="1"/>
  <c r="W8" i="2" s="1"/>
</calcChain>
</file>

<file path=xl/comments1.xml><?xml version="1.0" encoding="utf-8"?>
<comments xmlns="http://schemas.openxmlformats.org/spreadsheetml/2006/main">
  <authors>
    <author>Rachael Emmett</author>
    <author>Sara_Mahmoud</author>
  </authors>
  <commentList>
    <comment ref="A1" authorId="0" shapeId="0">
      <text>
        <r>
          <rPr>
            <b/>
            <sz val="9"/>
            <color indexed="81"/>
            <rFont val="Tahoma"/>
            <family val="2"/>
          </rPr>
          <t>Rachael Emmett:</t>
        </r>
        <r>
          <rPr>
            <sz val="9"/>
            <color indexed="81"/>
            <rFont val="Tahoma"/>
            <family val="2"/>
          </rPr>
          <t xml:space="preserve">
http://s3-eu-west-1.amazonaws.com/pub.housing.org.uk/SharedOwnership-MeetingAspiration.pdf</t>
        </r>
      </text>
    </comment>
    <comment ref="B14" authorId="0" shapeId="0">
      <text>
        <r>
          <rPr>
            <b/>
            <sz val="9"/>
            <color indexed="81"/>
            <rFont val="Tahoma"/>
            <family val="2"/>
          </rPr>
          <t>Rachael Emmett:</t>
        </r>
        <r>
          <rPr>
            <sz val="9"/>
            <color indexed="81"/>
            <rFont val="Tahoma"/>
            <family val="2"/>
          </rPr>
          <t xml:space="preserve">
Rachael Emmett:
http://s3-eu-west-1.amazonaws.com/pub.housing.org.uk/SharedOwnership-MeetingAspiration.pdf</t>
        </r>
      </text>
    </comment>
    <comment ref="E14" authorId="1" shapeId="0">
      <text>
        <r>
          <rPr>
            <b/>
            <sz val="9"/>
            <color indexed="81"/>
            <rFont val="Tahoma"/>
            <charset val="1"/>
          </rPr>
          <t>Sara_Mahmoud:</t>
        </r>
        <r>
          <rPr>
            <sz val="9"/>
            <color indexed="81"/>
            <rFont val="Tahoma"/>
            <charset val="1"/>
          </rPr>
          <t xml:space="preserve">
ONS HPI table 25</t>
        </r>
      </text>
    </comment>
  </commentList>
</comments>
</file>

<file path=xl/comments2.xml><?xml version="1.0" encoding="utf-8"?>
<comments xmlns="http://schemas.openxmlformats.org/spreadsheetml/2006/main">
  <authors>
    <author>Rachael Emmett</author>
    <author>Sara_Mahmoud</author>
  </authors>
  <commentList>
    <comment ref="B4" authorId="0" shapeId="0">
      <text>
        <r>
          <rPr>
            <b/>
            <sz val="9"/>
            <color indexed="81"/>
            <rFont val="Tahoma"/>
            <family val="2"/>
          </rPr>
          <t>Rachael Emmett:</t>
        </r>
        <r>
          <rPr>
            <sz val="9"/>
            <color indexed="81"/>
            <rFont val="Tahoma"/>
            <family val="2"/>
          </rPr>
          <t xml:space="preserve">
Table ML5: Mortgage rate types for new house purchase and remortgages, UK (CML)
Q3 2015 fixed rate</t>
        </r>
      </text>
    </comment>
    <comment ref="B5" authorId="1" shapeId="0">
      <text>
        <r>
          <rPr>
            <b/>
            <sz val="9"/>
            <color indexed="81"/>
            <rFont val="Tahoma"/>
            <family val="2"/>
          </rPr>
          <t>Sara_Mahmoud:</t>
        </r>
        <r>
          <rPr>
            <sz val="9"/>
            <color indexed="81"/>
            <rFont val="Tahoma"/>
            <family val="2"/>
          </rPr>
          <t xml:space="preserve">
Median calculated from Sharetobuy.com properties listed on 29/01/16</t>
        </r>
      </text>
    </comment>
    <comment ref="B8" authorId="1" shapeId="0">
      <text>
        <r>
          <rPr>
            <b/>
            <sz val="9"/>
            <color indexed="81"/>
            <rFont val="Tahoma"/>
            <family val="2"/>
          </rPr>
          <t>Sara_Mahmoud:</t>
        </r>
        <r>
          <rPr>
            <sz val="9"/>
            <color indexed="81"/>
            <rFont val="Tahoma"/>
            <family val="2"/>
          </rPr>
          <t xml:space="preserve">
corresponds to average deposit calculated from NHF data</t>
        </r>
      </text>
    </comment>
  </commentList>
</comments>
</file>

<file path=xl/sharedStrings.xml><?xml version="1.0" encoding="utf-8"?>
<sst xmlns="http://schemas.openxmlformats.org/spreadsheetml/2006/main" count="818" uniqueCount="251">
  <si>
    <t>2011-12</t>
  </si>
  <si>
    <t>Average SO sales price</t>
  </si>
  <si>
    <t>Average SO deposit</t>
  </si>
  <si>
    <t>Median income of a shared ownership buyer</t>
  </si>
  <si>
    <t>Average shared ownership monthly housing cost</t>
  </si>
  <si>
    <t>Average initial share bought</t>
  </si>
  <si>
    <t>Amount of share owned by tenant</t>
  </si>
  <si>
    <t>Amount of share owned by HA</t>
  </si>
  <si>
    <t>Amount owner would pay on mortgage</t>
  </si>
  <si>
    <t>Total market value owner would be paying costs on</t>
  </si>
  <si>
    <t>% of costs paid on rent to HA</t>
  </si>
  <si>
    <t>% of costs paid on mortgage</t>
  </si>
  <si>
    <t>Monthly cost on rent/ service charge</t>
  </si>
  <si>
    <t>Monthly cost on mortgage</t>
  </si>
  <si>
    <t>% deposit of total value</t>
  </si>
  <si>
    <t>Loan amount</t>
  </si>
  <si>
    <t>% loan of total amount</t>
  </si>
  <si>
    <t>FTB 2011</t>
  </si>
  <si>
    <t>Share to Buy- mortgage calculator</t>
  </si>
  <si>
    <t>£ monthly</t>
  </si>
  <si>
    <t>deposit as % of share</t>
  </si>
  <si>
    <t>Mortgage length (years)</t>
  </si>
  <si>
    <t>England</t>
  </si>
  <si>
    <t>South East</t>
  </si>
  <si>
    <t>London</t>
  </si>
  <si>
    <t>East of England</t>
  </si>
  <si>
    <t>South West</t>
  </si>
  <si>
    <t>West Midlands</t>
  </si>
  <si>
    <t>East Midlands</t>
  </si>
  <si>
    <t>Yorkshire and the Humber</t>
  </si>
  <si>
    <t>North West</t>
  </si>
  <si>
    <t>North East</t>
  </si>
  <si>
    <t>East</t>
  </si>
  <si>
    <t>Average SO sales price- estimated 2020</t>
  </si>
  <si>
    <t>Average SO sales price 2011-12</t>
  </si>
  <si>
    <t>Median Land Reg 2011</t>
  </si>
  <si>
    <t>% difference between land reg and SO</t>
  </si>
  <si>
    <t>Assumptions</t>
  </si>
  <si>
    <t>All</t>
  </si>
  <si>
    <t>Share - shared ownership</t>
  </si>
  <si>
    <t>Mortgage rate</t>
  </si>
  <si>
    <t>S/O rent on unsold equity</t>
  </si>
  <si>
    <t>Number of years</t>
  </si>
  <si>
    <t>Number of payments a year</t>
  </si>
  <si>
    <t>Average deposit (% of share)</t>
  </si>
  <si>
    <t>Service charge</t>
  </si>
  <si>
    <t>Service Charge</t>
  </si>
  <si>
    <t xml:space="preserve">Source: IPSOS/MORI poll for CMA </t>
  </si>
  <si>
    <t>Yorkshire and The Humber</t>
  </si>
  <si>
    <t>Source: https://www.sharetobuy.com/compare-mortgage-products/search/results?sortby=initial_rate&amp;order=asc</t>
  </si>
  <si>
    <t xml:space="preserve">Assuming </t>
  </si>
  <si>
    <t>Total property price (£)</t>
  </si>
  <si>
    <t>Share (%)</t>
  </si>
  <si>
    <t>Term (years)</t>
  </si>
  <si>
    <t>Max. deposit (£)</t>
  </si>
  <si>
    <t>Average:</t>
  </si>
  <si>
    <t>Region</t>
  </si>
  <si>
    <t>Average initial share</t>
  </si>
  <si>
    <t>Average deposit</t>
  </si>
  <si>
    <t>Total mortgage</t>
  </si>
  <si>
    <t>Mortgage repayments</t>
  </si>
  <si>
    <t>Rent repayments</t>
  </si>
  <si>
    <t>Total monthly costs</t>
  </si>
  <si>
    <t>Minimum Net income required (35%)</t>
  </si>
  <si>
    <t>Occupier share</t>
  </si>
  <si>
    <t>HA share</t>
  </si>
  <si>
    <t>Wales</t>
  </si>
  <si>
    <t>UK</t>
  </si>
  <si>
    <t>Yorks &amp; Humber</t>
  </si>
  <si>
    <t>Check this</t>
  </si>
  <si>
    <t>RPI forecast from OBR Economic and Fiscal Outlook July 2015</t>
  </si>
  <si>
    <t>2015-2020</t>
  </si>
  <si>
    <t>Service Charge 2020 - uprated by RPI</t>
  </si>
  <si>
    <t>Adjusted to SO prices 2015</t>
  </si>
  <si>
    <t>Mix adjusted FTB 2011</t>
  </si>
  <si>
    <t>Notes:</t>
  </si>
  <si>
    <t>Variable</t>
  </si>
  <si>
    <t>Source</t>
  </si>
  <si>
    <t>House price inflation</t>
  </si>
  <si>
    <t>OBR 2015 November Economic Forecast - pg65. Inflation between Nov 2015 to 1st quarter of 2021</t>
  </si>
  <si>
    <t>YEAR FIXED</t>
  </si>
  <si>
    <t>2 YEAR FIXED</t>
  </si>
  <si>
    <t>2 YEAR TRACKER</t>
  </si>
  <si>
    <t>2 YEAR DISCOUNT</t>
  </si>
  <si>
    <t>3 YEAR FIXED</t>
  </si>
  <si>
    <t>5 YEAR FIXED</t>
  </si>
  <si>
    <t>10 YEAR FIXED</t>
  </si>
  <si>
    <t>initial rate</t>
  </si>
  <si>
    <t>overall cost</t>
  </si>
  <si>
    <t>monthly payments</t>
  </si>
  <si>
    <t>two earners</t>
  </si>
  <si>
    <t xml:space="preserve">Found on </t>
  </si>
  <si>
    <t>http://www.money.co.uk/mortgages/shared-ownership-mortgages.htm</t>
  </si>
  <si>
    <t>60% LTV</t>
  </si>
  <si>
    <t>Halifax</t>
  </si>
  <si>
    <t>Lloyds Bank</t>
  </si>
  <si>
    <t>75% LTV</t>
  </si>
  <si>
    <t>TSB</t>
  </si>
  <si>
    <t>Average</t>
  </si>
  <si>
    <t>Accessed 02/02/2016</t>
  </si>
  <si>
    <t>Prop of net income</t>
  </si>
  <si>
    <t>Adjusted to SO prices 2020</t>
  </si>
  <si>
    <t>2015 service charge - uprated by RPI</t>
  </si>
  <si>
    <t>Mix-adjusted FTB</t>
  </si>
  <si>
    <t>Shared ownership equity</t>
  </si>
  <si>
    <t>N/A</t>
  </si>
  <si>
    <t>Deposit as % of share</t>
  </si>
  <si>
    <t>Average based on figures in NHF report</t>
  </si>
  <si>
    <t>Mortgage length</t>
  </si>
  <si>
    <t>In years</t>
  </si>
  <si>
    <t>Number of payments in a year</t>
  </si>
  <si>
    <t>Interest on mortgage</t>
  </si>
  <si>
    <t>Table ML5: Mortgage rate types for new house purchase and remortgages, UK (CML) Q4 2015 fixed rate</t>
  </si>
  <si>
    <t>Based on 2014 IPSOS/MORI survey for CMA, uprated to 2015 by RPI</t>
  </si>
  <si>
    <t>Proportion of income deemed affordable</t>
  </si>
  <si>
    <t>Yorkshire and Humber</t>
  </si>
  <si>
    <t>House price inflation 2015-2020</t>
  </si>
  <si>
    <t>Paul Chesire, 'Property Millionaires' 2016 http://www.google.co.uk/url?sa=t&amp;rct=j&amp;q=&amp;esrc=s&amp;source=web&amp;cd=1&amp;cad=rja&amp;uact=8&amp;ved=0ahUKEwjrxoqQkdTLAhUCXBoKHZiiA9oQFggdMAA&amp;url=http%3A%2F%2Fwww.santander.co.uk%2Fcsdlvlr%2FContentServer%3Fc%3DSANDocument_C%26pagename%3DWCSUKPublicaLte%252FSANDocument_C%252FSANDocumentPreview%26cid%3D1324582166149&amp;usg=AFQjCNHgHC74DE8wmTMMyyoDJ-Tzp2IOSQ&amp;sig2=4_YhwnHNs8bXqtYNldq9pw</t>
  </si>
  <si>
    <t>(England is UK figure)</t>
  </si>
  <si>
    <t>Contents</t>
  </si>
  <si>
    <t>Table 1a</t>
  </si>
  <si>
    <t>Code</t>
  </si>
  <si>
    <t>Name</t>
  </si>
  <si>
    <t>Q4-1995</t>
  </si>
  <si>
    <t>Q1-1996</t>
  </si>
  <si>
    <t>Q2-1996</t>
  </si>
  <si>
    <t>Q3-1996</t>
  </si>
  <si>
    <t>Q4-1996</t>
  </si>
  <si>
    <t>Q1-1997</t>
  </si>
  <si>
    <t>Q2-1997</t>
  </si>
  <si>
    <t>Q3-1997</t>
  </si>
  <si>
    <t>Q4-1997</t>
  </si>
  <si>
    <t>Q1-1998</t>
  </si>
  <si>
    <t>Q2-1998</t>
  </si>
  <si>
    <t>Q3-1998</t>
  </si>
  <si>
    <t>Q4-1998</t>
  </si>
  <si>
    <t>Q1-1999</t>
  </si>
  <si>
    <t>Q2-1999</t>
  </si>
  <si>
    <t>Q3-1999</t>
  </si>
  <si>
    <t>Q4-1999</t>
  </si>
  <si>
    <t>Q1-2000</t>
  </si>
  <si>
    <t>Q2-2000</t>
  </si>
  <si>
    <t>Q3-2000</t>
  </si>
  <si>
    <t>Q4-2000</t>
  </si>
  <si>
    <t>Q1-2001</t>
  </si>
  <si>
    <t>Q2-2001</t>
  </si>
  <si>
    <t>Q3-2001</t>
  </si>
  <si>
    <t>Q4-2001</t>
  </si>
  <si>
    <t>Q1-2002</t>
  </si>
  <si>
    <t>Q2-2002</t>
  </si>
  <si>
    <t>Q3-2002</t>
  </si>
  <si>
    <t>Q4-2002</t>
  </si>
  <si>
    <t>Q1-2003</t>
  </si>
  <si>
    <t>Q2-2003</t>
  </si>
  <si>
    <t>Q3-2003</t>
  </si>
  <si>
    <t>Q4-2003</t>
  </si>
  <si>
    <t>Q1-2004</t>
  </si>
  <si>
    <t>Q2-2004</t>
  </si>
  <si>
    <t>Q3-2004</t>
  </si>
  <si>
    <t>Q4-2004</t>
  </si>
  <si>
    <t>Q1-2005</t>
  </si>
  <si>
    <t>Q2-2005</t>
  </si>
  <si>
    <t>Q3-2005</t>
  </si>
  <si>
    <t>Q4-2005</t>
  </si>
  <si>
    <t>Q1-2006</t>
  </si>
  <si>
    <t>Q2-2006</t>
  </si>
  <si>
    <t>Q3-2006</t>
  </si>
  <si>
    <t>Q4-2006</t>
  </si>
  <si>
    <t>Q1-2007</t>
  </si>
  <si>
    <t>Q2-2007</t>
  </si>
  <si>
    <t>Q3-2007</t>
  </si>
  <si>
    <t>Q4-2007</t>
  </si>
  <si>
    <t>Q1-2008</t>
  </si>
  <si>
    <t>Q2-2008</t>
  </si>
  <si>
    <t>Q3-2008</t>
  </si>
  <si>
    <t>Q4-2008</t>
  </si>
  <si>
    <t>Q1-2009</t>
  </si>
  <si>
    <t>Q2-2009</t>
  </si>
  <si>
    <t>Q3-2009</t>
  </si>
  <si>
    <t>Q4-2009</t>
  </si>
  <si>
    <t>Q1-2010</t>
  </si>
  <si>
    <t>Q2-2010</t>
  </si>
  <si>
    <t>Q3-2010</t>
  </si>
  <si>
    <t>Q4-2010</t>
  </si>
  <si>
    <t>Q1-2011</t>
  </si>
  <si>
    <t>Q2-2011</t>
  </si>
  <si>
    <t>Q3-2011</t>
  </si>
  <si>
    <t>Q4-2011</t>
  </si>
  <si>
    <t>Q1-2012</t>
  </si>
  <si>
    <t>Q2-2012</t>
  </si>
  <si>
    <t>Q3-2012</t>
  </si>
  <si>
    <t>Q4-2012</t>
  </si>
  <si>
    <t>Q1-2013</t>
  </si>
  <si>
    <t>Q2-2013</t>
  </si>
  <si>
    <t>Q3-2013</t>
  </si>
  <si>
    <t>Q4-2013</t>
  </si>
  <si>
    <t>Q1-2014</t>
  </si>
  <si>
    <t>Q2-2014</t>
  </si>
  <si>
    <t>Q3-2014</t>
  </si>
  <si>
    <t>Q4-2014</t>
  </si>
  <si>
    <t>Q1-2015</t>
  </si>
  <si>
    <t>Q2-2015</t>
  </si>
  <si>
    <t>Q3-2015</t>
  </si>
  <si>
    <t>Q4-2015</t>
  </si>
  <si>
    <t/>
  </si>
  <si>
    <t>K04000001</t>
  </si>
  <si>
    <t>England and Wales</t>
  </si>
  <si>
    <t>E92000001</t>
  </si>
  <si>
    <t>W92000004</t>
  </si>
  <si>
    <t>E12000001</t>
  </si>
  <si>
    <t>E12000002</t>
  </si>
  <si>
    <t>E12000003</t>
  </si>
  <si>
    <t>E12000004</t>
  </si>
  <si>
    <t>E12000005</t>
  </si>
  <si>
    <t>E12000006</t>
  </si>
  <si>
    <t>E12000007</t>
  </si>
  <si>
    <t>E12000008</t>
  </si>
  <si>
    <t>E12000009</t>
  </si>
  <si>
    <t>Source: Office for National Statistics, Land Registry</t>
  </si>
  <si>
    <t>1. The ' : ' symbol means fewer than 5 sales recorded. For more information, see the metadata section of this workbook.</t>
  </si>
  <si>
    <t>2. House price statistics are based on price paid data from the Land Registry. For more information, see the metadata section of this workbook or the full release quality and methodology information</t>
  </si>
  <si>
    <t>1. House price statistics are based on price paid data from the Land Registry. For more information, see the metadata section of this workbook or the full release quality and methodology information.</t>
  </si>
  <si>
    <t>HPSSA Dataset 10; weighted average for Q2 2014 - Q1 2015</t>
  </si>
  <si>
    <t>CML table ML2R - weighted average for Q2 2014 - Q1 2015</t>
  </si>
  <si>
    <t xml:space="preserve">UK HPI FTB - simple mean for apr 2014 - Mar 2015 </t>
  </si>
  <si>
    <t>Median new build Q4 2015</t>
  </si>
  <si>
    <t>Median new build (recent)</t>
  </si>
  <si>
    <t>HPSSA Dataset 10; Q2 2016</t>
  </si>
  <si>
    <t>Median price paid (newly built dwellings) by region and country, quarterly rolling year, year ending Q4-1995 to year ending Q3-2016</t>
  </si>
  <si>
    <t>Q1-2016</t>
  </si>
  <si>
    <t>Q2-2016</t>
  </si>
  <si>
    <t>Q3-2016</t>
  </si>
  <si>
    <t>Average Q2 2014 - Q1 2015</t>
  </si>
  <si>
    <t>Average Q2 2013 - Q1 2014</t>
  </si>
  <si>
    <t>Number of residential property sales (newly built dwellings) by region and country, quarterly rolling year, year ending Q4-1995 to year ending Q3-2016</t>
  </si>
  <si>
    <t>Data table 7</t>
  </si>
  <si>
    <t>Median new build 14/15</t>
  </si>
  <si>
    <t>Median new build 13/14</t>
  </si>
  <si>
    <t>HPSSA Dataset 10; weighted average for Q2 2013 - Q1 2014</t>
  </si>
  <si>
    <t>Shared Ownership 2014/15</t>
  </si>
  <si>
    <t>Shared Ownership 2013/14</t>
  </si>
  <si>
    <t>First time buyer advance 14/15</t>
  </si>
  <si>
    <t>CML table ML2R -  weighted average for Q2 2014 - Q1 2015</t>
  </si>
  <si>
    <t>First time buyer LTI 14/15</t>
  </si>
  <si>
    <t>First time buyer advance 13/14</t>
  </si>
  <si>
    <t>First time buyer LTI 13/14</t>
  </si>
  <si>
    <t>CML table ML2R -  weighted average for Q2 2013 - Q1 2014</t>
  </si>
  <si>
    <t>CML table ML2R - weighted average for Q2 2013 - Q1 2014</t>
  </si>
  <si>
    <t>Service charge 14/15</t>
  </si>
  <si>
    <t>Service charge 13/14</t>
  </si>
  <si>
    <t>Based on 2014 IPSOS/MORI survey for CMA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</si>
</sst>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6" formatCode="&quot;£&quot;#,##0;[Red]\-&quot;£&quot;#,##0"/>
    <numFmt numFmtId="8" formatCode="&quot;£&quot;#,##0.00;[Red]\-&quot;£&quot;#,##0.00"/>
    <numFmt numFmtId="44" formatCode="_-&quot;£&quot;* #,##0.00_-;\-&quot;£&quot;* #,##0.00_-;_-&quot;£&quot;* &quot;-&quot;??_-;_-@_-"/>
    <numFmt numFmtId="43" formatCode="_-* #,##0.00_-;\-* #,##0.00_-;_-* &quot;-&quot;??_-;_-@_-"/>
    <numFmt numFmtId="164" formatCode="#,##0,\,\0\0\0\ ;[Red]\(#,##0,\);\-\ ;"/>
    <numFmt numFmtId="165" formatCode="0.00000%"/>
    <numFmt numFmtId="166" formatCode="_-&quot;£&quot;* #,##0_-;\-&quot;£&quot;* #,##0_-;_-&quot;£&quot;* &quot;-&quot;??_-;_-@_-"/>
    <numFmt numFmtId="167" formatCode="0.0%"/>
    <numFmt numFmtId="169" formatCode="#,##0;[Red]#,##0"/>
    <numFmt numFmtId="175" formatCode="_-* #,##0.000_-;\-* #,##0.000_-;_-* &quot;-&quot;??_-;_-@_-"/>
  </numFmts>
  <fonts count="47">
    <font>
      <sz val="11"/>
      <color theme="1"/>
      <name val="Calibri"/>
      <family val="2"/>
      <scheme val="minor"/>
    </font>
    <font>
      <sz val="11"/>
      <color theme="1"/>
      <name val="Calibri"/>
      <family val="2"/>
      <scheme val="minor"/>
    </font>
    <font>
      <b/>
      <sz val="11"/>
      <color theme="1"/>
      <name val="Calibri"/>
      <family val="2"/>
      <scheme val="minor"/>
    </font>
    <font>
      <b/>
      <sz val="10"/>
      <name val="Arial"/>
      <family val="2"/>
    </font>
    <font>
      <b/>
      <sz val="10"/>
      <color rgb="FF444444"/>
      <name val="Arial"/>
      <family val="2"/>
    </font>
    <font>
      <sz val="10"/>
      <color indexed="8"/>
      <name val="Arial"/>
      <family val="2"/>
    </font>
    <font>
      <b/>
      <sz val="9"/>
      <color indexed="81"/>
      <name val="Tahoma"/>
      <family val="2"/>
    </font>
    <font>
      <sz val="9"/>
      <color indexed="81"/>
      <name val="Tahoma"/>
      <family val="2"/>
    </font>
    <font>
      <sz val="9.5"/>
      <color indexed="59"/>
      <name val="Arial"/>
      <family val="2"/>
    </font>
    <font>
      <b/>
      <sz val="11"/>
      <color indexed="59"/>
      <name val="Arial"/>
      <family val="2"/>
    </font>
    <font>
      <sz val="11"/>
      <color indexed="59"/>
      <name val="Arial"/>
      <family val="2"/>
    </font>
    <font>
      <sz val="11"/>
      <color indexed="37"/>
      <name val="Arial"/>
      <family val="2"/>
    </font>
    <font>
      <i/>
      <sz val="9.5"/>
      <color indexed="59"/>
      <name val="Arial"/>
      <family val="2"/>
    </font>
    <font>
      <b/>
      <sz val="9.5"/>
      <color indexed="59"/>
      <name val="Arial"/>
      <family val="2"/>
    </font>
    <font>
      <sz val="11"/>
      <color rgb="FF444444"/>
      <name val="Arial"/>
      <family val="2"/>
    </font>
    <font>
      <sz val="10"/>
      <name val="Arial"/>
      <family val="2"/>
    </font>
    <font>
      <sz val="12"/>
      <name val="Arial"/>
      <family val="2"/>
    </font>
    <font>
      <sz val="10"/>
      <name val="Arial"/>
    </font>
    <font>
      <sz val="8"/>
      <name val="Arial"/>
      <family val="2"/>
    </font>
    <font>
      <sz val="9"/>
      <color indexed="81"/>
      <name val="Tahoma"/>
      <charset val="1"/>
    </font>
    <font>
      <b/>
      <sz val="9"/>
      <color indexed="81"/>
      <name val="Tahoma"/>
      <charset val="1"/>
    </font>
    <font>
      <sz val="12"/>
      <name val="Arial"/>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8"/>
      <color theme="3"/>
      <name val="Calibri Light"/>
      <family val="2"/>
      <scheme val="major"/>
    </font>
    <font>
      <sz val="12"/>
      <name val="CG Times"/>
    </font>
    <font>
      <u/>
      <sz val="12"/>
      <color indexed="12"/>
      <name val="CG Times"/>
    </font>
    <font>
      <sz val="11"/>
      <name val="Calibri"/>
      <family val="2"/>
      <scheme val="minor"/>
    </font>
    <font>
      <sz val="11"/>
      <name val="Arial"/>
      <family val="2"/>
    </font>
    <font>
      <u/>
      <sz val="11"/>
      <color theme="10"/>
      <name val="Calibri"/>
      <family val="2"/>
      <scheme val="minor"/>
    </font>
    <font>
      <sz val="9"/>
      <color indexed="8"/>
      <name val="Arial"/>
      <family val="2"/>
    </font>
    <font>
      <u/>
      <sz val="10"/>
      <color indexed="12"/>
      <name val="Arial"/>
      <family val="2"/>
    </font>
    <font>
      <b/>
      <sz val="9"/>
      <color theme="1"/>
      <name val="Arial"/>
      <family val="2"/>
    </font>
    <font>
      <sz val="9"/>
      <color theme="1"/>
      <name val="Arial"/>
      <family val="2"/>
    </font>
    <font>
      <b/>
      <sz val="11"/>
      <name val="Calibri"/>
      <family val="2"/>
      <scheme val="minor"/>
    </font>
  </fonts>
  <fills count="36">
    <fill>
      <patternFill patternType="none"/>
    </fill>
    <fill>
      <patternFill patternType="gray125"/>
    </fill>
    <fill>
      <patternFill patternType="solid">
        <fgColor theme="0" tint="-0.14999847407452621"/>
        <bgColor indexed="64"/>
      </patternFill>
    </fill>
    <fill>
      <patternFill patternType="solid">
        <fgColor indexed="44"/>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s>
  <borders count="16">
    <border>
      <left/>
      <right/>
      <top/>
      <bottom/>
      <diagonal/>
    </border>
    <border>
      <left style="medium">
        <color indexed="8"/>
      </left>
      <right style="medium">
        <color indexed="8"/>
      </right>
      <top style="medium">
        <color indexed="8"/>
      </top>
      <bottom/>
      <diagonal/>
    </border>
    <border>
      <left style="medium">
        <color indexed="8"/>
      </left>
      <right/>
      <top/>
      <bottom/>
      <diagonal/>
    </border>
    <border>
      <left/>
      <right style="medium">
        <color indexed="8"/>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indexed="64"/>
      </top>
      <bottom style="thin">
        <color indexed="64"/>
      </bottom>
      <diagonal/>
    </border>
    <border>
      <left/>
      <right/>
      <top/>
      <bottom style="medium">
        <color indexed="64"/>
      </bottom>
      <diagonal/>
    </border>
  </borders>
  <cellStyleXfs count="64">
    <xf numFmtId="0" fontId="0" fillId="0" borderId="0"/>
    <xf numFmtId="44" fontId="1" fillId="0" borderId="0" applyFont="0" applyFill="0" applyBorder="0" applyAlignment="0" applyProtection="0"/>
    <xf numFmtId="9" fontId="1" fillId="0" borderId="0" applyFont="0" applyFill="0" applyBorder="0" applyAlignment="0" applyProtection="0"/>
    <xf numFmtId="0" fontId="8" fillId="0" borderId="0"/>
    <xf numFmtId="0" fontId="15" fillId="0" borderId="0"/>
    <xf numFmtId="0" fontId="17" fillId="0" borderId="0"/>
    <xf numFmtId="43" fontId="1" fillId="0" borderId="0" applyFont="0" applyFill="0" applyBorder="0" applyAlignment="0" applyProtection="0"/>
    <xf numFmtId="43" fontId="15" fillId="0" borderId="0" applyFont="0" applyFill="0" applyBorder="0" applyAlignment="0" applyProtection="0"/>
    <xf numFmtId="0" fontId="21" fillId="0" borderId="0"/>
    <xf numFmtId="0" fontId="16" fillId="0" borderId="0"/>
    <xf numFmtId="0" fontId="22" fillId="0" borderId="5" applyNumberFormat="0" applyFill="0" applyAlignment="0" applyProtection="0"/>
    <xf numFmtId="0" fontId="23" fillId="0" borderId="6" applyNumberFormat="0" applyFill="0" applyAlignment="0" applyProtection="0"/>
    <xf numFmtId="0" fontId="24" fillId="0" borderId="7" applyNumberFormat="0" applyFill="0" applyAlignment="0" applyProtection="0"/>
    <xf numFmtId="0" fontId="24" fillId="0" borderId="0" applyNumberFormat="0" applyFill="0" applyBorder="0" applyAlignment="0" applyProtection="0"/>
    <xf numFmtId="0" fontId="25" fillId="4" borderId="0" applyNumberFormat="0" applyBorder="0" applyAlignment="0" applyProtection="0"/>
    <xf numFmtId="0" fontId="26" fillId="5" borderId="0" applyNumberFormat="0" applyBorder="0" applyAlignment="0" applyProtection="0"/>
    <xf numFmtId="0" fontId="27" fillId="6" borderId="0" applyNumberFormat="0" applyBorder="0" applyAlignment="0" applyProtection="0"/>
    <xf numFmtId="0" fontId="28" fillId="7" borderId="8" applyNumberFormat="0" applyAlignment="0" applyProtection="0"/>
    <xf numFmtId="0" fontId="29" fillId="8" borderId="9" applyNumberFormat="0" applyAlignment="0" applyProtection="0"/>
    <xf numFmtId="0" fontId="30" fillId="8" borderId="8" applyNumberFormat="0" applyAlignment="0" applyProtection="0"/>
    <xf numFmtId="0" fontId="31" fillId="0" borderId="10" applyNumberFormat="0" applyFill="0" applyAlignment="0" applyProtection="0"/>
    <xf numFmtId="0" fontId="32" fillId="9" borderId="11" applyNumberFormat="0" applyAlignment="0" applyProtection="0"/>
    <xf numFmtId="0" fontId="33" fillId="0" borderId="0" applyNumberFormat="0" applyFill="0" applyBorder="0" applyAlignment="0" applyProtection="0"/>
    <xf numFmtId="0" fontId="1" fillId="10" borderId="12" applyNumberFormat="0" applyFont="0" applyAlignment="0" applyProtection="0"/>
    <xf numFmtId="0" fontId="34" fillId="0" borderId="0" applyNumberFormat="0" applyFill="0" applyBorder="0" applyAlignment="0" applyProtection="0"/>
    <xf numFmtId="0" fontId="2" fillId="0" borderId="13" applyNumberFormat="0" applyFill="0" applyAlignment="0" applyProtection="0"/>
    <xf numFmtId="0" fontId="35"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35" fillId="14" borderId="0" applyNumberFormat="0" applyBorder="0" applyAlignment="0" applyProtection="0"/>
    <xf numFmtId="0" fontId="35"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35" fillId="18" borderId="0" applyNumberFormat="0" applyBorder="0" applyAlignment="0" applyProtection="0"/>
    <xf numFmtId="0" fontId="35"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35" fillId="22" borderId="0" applyNumberFormat="0" applyBorder="0" applyAlignment="0" applyProtection="0"/>
    <xf numFmtId="0" fontId="35"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35" fillId="26" borderId="0" applyNumberFormat="0" applyBorder="0" applyAlignment="0" applyProtection="0"/>
    <xf numFmtId="0" fontId="35"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35" fillId="30" borderId="0" applyNumberFormat="0" applyBorder="0" applyAlignment="0" applyProtection="0"/>
    <xf numFmtId="0" fontId="35"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35" fillId="34" borderId="0" applyNumberFormat="0" applyBorder="0" applyAlignment="0" applyProtection="0"/>
    <xf numFmtId="0" fontId="15" fillId="0" borderId="0"/>
    <xf numFmtId="43" fontId="37" fillId="0" borderId="0" applyFont="0" applyFill="0" applyBorder="0" applyAlignment="0" applyProtection="0"/>
    <xf numFmtId="43" fontId="37" fillId="0" borderId="0" applyFont="0" applyFill="0" applyBorder="0" applyAlignment="0" applyProtection="0"/>
    <xf numFmtId="0" fontId="38" fillId="0" borderId="0" applyNumberFormat="0" applyFill="0" applyBorder="0" applyAlignment="0" applyProtection="0">
      <alignment vertical="top"/>
      <protection locked="0"/>
    </xf>
    <xf numFmtId="0" fontId="1" fillId="0" borderId="0"/>
    <xf numFmtId="0" fontId="1" fillId="0" borderId="0"/>
    <xf numFmtId="0" fontId="36" fillId="0" borderId="0" applyNumberFormat="0" applyFill="0" applyBorder="0" applyAlignment="0" applyProtection="0"/>
    <xf numFmtId="43" fontId="37" fillId="0" borderId="0" applyFont="0" applyFill="0" applyBorder="0" applyAlignment="0" applyProtection="0"/>
    <xf numFmtId="0" fontId="37" fillId="0" borderId="0"/>
    <xf numFmtId="0" fontId="41" fillId="0" borderId="0" applyNumberFormat="0" applyFill="0" applyBorder="0" applyAlignment="0" applyProtection="0"/>
    <xf numFmtId="0" fontId="3" fillId="35" borderId="4">
      <alignment horizontal="left" indent="2"/>
    </xf>
    <xf numFmtId="44" fontId="1" fillId="0" borderId="0" applyFont="0" applyFill="0" applyBorder="0" applyAlignment="0" applyProtection="0"/>
    <xf numFmtId="0" fontId="3" fillId="35" borderId="4">
      <alignment horizontal="left" indent="1"/>
    </xf>
    <xf numFmtId="0" fontId="43" fillId="0" borderId="0" applyNumberFormat="0" applyFill="0" applyBorder="0" applyAlignment="0" applyProtection="0">
      <alignment vertical="top"/>
      <protection locked="0"/>
    </xf>
  </cellStyleXfs>
  <cellXfs count="118">
    <xf numFmtId="0" fontId="0" fillId="0" borderId="0" xfId="0"/>
    <xf numFmtId="0" fontId="0" fillId="2" borderId="0" xfId="0" applyFill="1"/>
    <xf numFmtId="0" fontId="0" fillId="2" borderId="0" xfId="0" applyFill="1" applyAlignment="1">
      <alignment wrapText="1"/>
    </xf>
    <xf numFmtId="0" fontId="0" fillId="0" borderId="0" xfId="0" applyFill="1" applyAlignment="1">
      <alignment wrapText="1"/>
    </xf>
    <xf numFmtId="0" fontId="0" fillId="0" borderId="0" xfId="0" applyAlignment="1">
      <alignment wrapText="1"/>
    </xf>
    <xf numFmtId="0" fontId="3" fillId="2" borderId="0" xfId="0" applyFont="1" applyFill="1" applyBorder="1" applyAlignment="1">
      <alignment horizontal="center"/>
    </xf>
    <xf numFmtId="6" fontId="0" fillId="2" borderId="0" xfId="0" applyNumberFormat="1" applyFill="1" applyAlignment="1">
      <alignment wrapText="1"/>
    </xf>
    <xf numFmtId="9" fontId="0" fillId="2" borderId="0" xfId="0" applyNumberFormat="1" applyFill="1" applyAlignment="1">
      <alignment wrapText="1"/>
    </xf>
    <xf numFmtId="44" fontId="0" fillId="0" borderId="0" xfId="1" applyFont="1" applyAlignment="1">
      <alignment wrapText="1"/>
    </xf>
    <xf numFmtId="9" fontId="0" fillId="0" borderId="0" xfId="2" applyFont="1" applyAlignment="1">
      <alignment wrapText="1"/>
    </xf>
    <xf numFmtId="9" fontId="0" fillId="0" borderId="0" xfId="1" applyNumberFormat="1" applyFont="1" applyAlignment="1">
      <alignment wrapText="1"/>
    </xf>
    <xf numFmtId="9" fontId="0" fillId="0" borderId="0" xfId="2" applyFont="1"/>
    <xf numFmtId="44" fontId="0" fillId="0" borderId="0" xfId="1" applyFont="1"/>
    <xf numFmtId="164" fontId="0" fillId="0" borderId="0" xfId="0" applyNumberFormat="1"/>
    <xf numFmtId="8" fontId="4" fillId="0" borderId="0" xfId="0" applyNumberFormat="1" applyFont="1"/>
    <xf numFmtId="44" fontId="0" fillId="0" borderId="0" xfId="1" applyNumberFormat="1" applyFont="1"/>
    <xf numFmtId="8" fontId="0" fillId="0" borderId="0" xfId="0" applyNumberFormat="1"/>
    <xf numFmtId="165" fontId="0" fillId="0" borderId="0" xfId="2" applyNumberFormat="1" applyFont="1"/>
    <xf numFmtId="2" fontId="0" fillId="0" borderId="0" xfId="0" applyNumberFormat="1"/>
    <xf numFmtId="9" fontId="0" fillId="2" borderId="0" xfId="2" applyFont="1" applyFill="1" applyAlignment="1">
      <alignment wrapText="1"/>
    </xf>
    <xf numFmtId="0" fontId="3" fillId="3" borderId="0" xfId="0" applyFont="1" applyFill="1" applyBorder="1" applyAlignment="1">
      <alignment horizontal="center"/>
    </xf>
    <xf numFmtId="8" fontId="0" fillId="0" borderId="0" xfId="0" applyNumberFormat="1" applyAlignment="1">
      <alignment wrapText="1"/>
    </xf>
    <xf numFmtId="0" fontId="0" fillId="0" borderId="0" xfId="0" applyFill="1"/>
    <xf numFmtId="167" fontId="0" fillId="0" borderId="0" xfId="2" applyNumberFormat="1" applyFont="1"/>
    <xf numFmtId="6" fontId="0" fillId="0" borderId="0" xfId="0" applyNumberFormat="1" applyAlignment="1">
      <alignment wrapText="1"/>
    </xf>
    <xf numFmtId="3" fontId="5" fillId="0" borderId="0" xfId="0" applyNumberFormat="1" applyFont="1" applyFill="1" applyAlignment="1">
      <alignment horizontal="right" vertical="center"/>
    </xf>
    <xf numFmtId="0" fontId="9" fillId="0" borderId="1" xfId="3" applyFont="1" applyBorder="1" applyAlignment="1"/>
    <xf numFmtId="0" fontId="9" fillId="0" borderId="2" xfId="3" applyFont="1" applyBorder="1" applyAlignment="1">
      <alignment horizontal="left"/>
    </xf>
    <xf numFmtId="0" fontId="9" fillId="0" borderId="3" xfId="3" applyFont="1" applyBorder="1" applyAlignment="1" applyProtection="1">
      <alignment horizontal="left"/>
      <protection locked="0"/>
    </xf>
    <xf numFmtId="0" fontId="8" fillId="0" borderId="0" xfId="3"/>
    <xf numFmtId="9" fontId="10" fillId="0" borderId="2" xfId="3" applyNumberFormat="1" applyFont="1" applyBorder="1" applyAlignment="1">
      <alignment horizontal="left"/>
    </xf>
    <xf numFmtId="9" fontId="11" fillId="0" borderId="3" xfId="3" applyNumberFormat="1" applyFont="1" applyBorder="1" applyAlignment="1" applyProtection="1">
      <alignment horizontal="center"/>
      <protection locked="0"/>
    </xf>
    <xf numFmtId="0" fontId="12" fillId="0" borderId="0" xfId="3" applyFont="1"/>
    <xf numFmtId="0" fontId="10" fillId="0" borderId="2" xfId="3" applyFont="1" applyBorder="1" applyAlignment="1">
      <alignment horizontal="left"/>
    </xf>
    <xf numFmtId="10" fontId="8" fillId="0" borderId="0" xfId="2" applyNumberFormat="1" applyFont="1"/>
    <xf numFmtId="9" fontId="0" fillId="0" borderId="0" xfId="0" applyNumberFormat="1"/>
    <xf numFmtId="10" fontId="11" fillId="0" borderId="3" xfId="3" applyNumberFormat="1" applyFont="1" applyBorder="1" applyAlignment="1" applyProtection="1">
      <alignment horizontal="center"/>
      <protection locked="0"/>
    </xf>
    <xf numFmtId="9" fontId="8" fillId="0" borderId="0" xfId="2" applyFont="1"/>
    <xf numFmtId="0" fontId="8" fillId="0" borderId="0" xfId="3" applyFill="1" applyBorder="1"/>
    <xf numFmtId="0" fontId="13" fillId="0" borderId="0" xfId="3" applyFont="1" applyFill="1" applyBorder="1"/>
    <xf numFmtId="1" fontId="0" fillId="0" borderId="0" xfId="0" applyNumberFormat="1"/>
    <xf numFmtId="0" fontId="8" fillId="0" borderId="0" xfId="3" applyFill="1"/>
    <xf numFmtId="0" fontId="2" fillId="0" borderId="0" xfId="0" applyFont="1"/>
    <xf numFmtId="10" fontId="0" fillId="0" borderId="0" xfId="0" applyNumberFormat="1"/>
    <xf numFmtId="0" fontId="14" fillId="0" borderId="0" xfId="0" applyFont="1" applyAlignment="1">
      <alignment horizontal="left" vertical="center" wrapText="1" indent="1"/>
    </xf>
    <xf numFmtId="0" fontId="3" fillId="0" borderId="0" xfId="0" applyFont="1" applyAlignment="1">
      <alignment wrapText="1"/>
    </xf>
    <xf numFmtId="0" fontId="2" fillId="0" borderId="0" xfId="0" applyFont="1" applyAlignment="1">
      <alignment wrapText="1"/>
    </xf>
    <xf numFmtId="164" fontId="15" fillId="0" borderId="0" xfId="5" applyNumberFormat="1" applyFont="1" applyFill="1" applyBorder="1"/>
    <xf numFmtId="164" fontId="15" fillId="0" borderId="0" xfId="5" applyNumberFormat="1" applyFont="1" applyFill="1" applyBorder="1"/>
    <xf numFmtId="164" fontId="15" fillId="0" borderId="0" xfId="5" applyNumberFormat="1" applyFont="1" applyFill="1" applyBorder="1"/>
    <xf numFmtId="164" fontId="15" fillId="0" borderId="0" xfId="5" applyNumberFormat="1" applyFont="1" applyFill="1" applyBorder="1"/>
    <xf numFmtId="164" fontId="15" fillId="0" borderId="0" xfId="5" applyNumberFormat="1" applyFont="1" applyFill="1" applyBorder="1"/>
    <xf numFmtId="164" fontId="15" fillId="0" borderId="0" xfId="5" applyNumberFormat="1" applyFont="1" applyFill="1" applyBorder="1"/>
    <xf numFmtId="164" fontId="15" fillId="0" borderId="0" xfId="5" applyNumberFormat="1" applyFont="1" applyFill="1" applyBorder="1"/>
    <xf numFmtId="164" fontId="15" fillId="0" borderId="0" xfId="5" applyNumberFormat="1" applyFont="1" applyFill="1" applyBorder="1"/>
    <xf numFmtId="164" fontId="15" fillId="0" borderId="0" xfId="5" applyNumberFormat="1" applyFont="1" applyFill="1" applyBorder="1"/>
    <xf numFmtId="164" fontId="15" fillId="0" borderId="0" xfId="8" applyNumberFormat="1" applyFont="1" applyAlignment="1"/>
    <xf numFmtId="44" fontId="0" fillId="0" borderId="0" xfId="0" applyNumberFormat="1"/>
    <xf numFmtId="169" fontId="15" fillId="0" borderId="0" xfId="8" applyNumberFormat="1" applyFont="1" applyFill="1" applyAlignment="1"/>
    <xf numFmtId="9" fontId="18" fillId="0" borderId="0" xfId="2" applyFont="1" applyBorder="1" applyAlignment="1">
      <alignment horizontal="right"/>
    </xf>
    <xf numFmtId="3" fontId="0" fillId="0" borderId="0" xfId="0" applyNumberFormat="1" applyFill="1" applyBorder="1"/>
    <xf numFmtId="3" fontId="0" fillId="0" borderId="0" xfId="0" applyNumberFormat="1" applyFill="1" applyBorder="1"/>
    <xf numFmtId="164" fontId="15" fillId="0" borderId="0" xfId="0" applyNumberFormat="1" applyFont="1" applyFill="1"/>
    <xf numFmtId="0" fontId="3" fillId="3" borderId="0" xfId="0" applyFont="1" applyFill="1" applyBorder="1" applyAlignment="1">
      <alignment horizontal="center" wrapText="1"/>
    </xf>
    <xf numFmtId="9" fontId="18" fillId="0" borderId="0" xfId="2" applyFont="1" applyFill="1" applyBorder="1" applyAlignment="1">
      <alignment horizontal="right"/>
    </xf>
    <xf numFmtId="3" fontId="0" fillId="0" borderId="0" xfId="0" applyNumberFormat="1" applyFill="1" applyBorder="1"/>
    <xf numFmtId="3" fontId="0" fillId="0" borderId="0" xfId="0" applyNumberFormat="1" applyFill="1" applyBorder="1"/>
    <xf numFmtId="3" fontId="0" fillId="0" borderId="0" xfId="0" applyNumberFormat="1" applyFont="1" applyFill="1" applyBorder="1"/>
    <xf numFmtId="3" fontId="0" fillId="0" borderId="0" xfId="0" applyNumberFormat="1" applyFill="1" applyBorder="1"/>
    <xf numFmtId="3" fontId="0" fillId="0" borderId="0" xfId="0" applyNumberFormat="1" applyFill="1" applyBorder="1"/>
    <xf numFmtId="3" fontId="0" fillId="0" borderId="0" xfId="0" applyNumberFormat="1" applyFill="1" applyBorder="1"/>
    <xf numFmtId="3" fontId="0" fillId="0" borderId="0" xfId="0" applyNumberFormat="1" applyFill="1" applyBorder="1"/>
    <xf numFmtId="3" fontId="0" fillId="0" borderId="0" xfId="0" applyNumberFormat="1" applyFill="1" applyBorder="1"/>
    <xf numFmtId="3" fontId="0" fillId="0" borderId="0" xfId="0" applyNumberFormat="1" applyFont="1" applyFill="1" applyBorder="1"/>
    <xf numFmtId="0" fontId="0" fillId="0" borderId="0" xfId="0" applyAlignment="1">
      <alignment wrapText="1"/>
    </xf>
    <xf numFmtId="2" fontId="18" fillId="0" borderId="0" xfId="50" applyNumberFormat="1" applyFont="1" applyBorder="1" applyAlignment="1">
      <alignment horizontal="right"/>
    </xf>
    <xf numFmtId="2" fontId="18" fillId="0" borderId="0" xfId="50" applyNumberFormat="1" applyFont="1" applyBorder="1" applyAlignment="1">
      <alignment horizontal="right"/>
    </xf>
    <xf numFmtId="2" fontId="18" fillId="0" borderId="0" xfId="50" applyNumberFormat="1" applyFont="1" applyBorder="1" applyAlignment="1">
      <alignment horizontal="right"/>
    </xf>
    <xf numFmtId="2" fontId="18" fillId="0" borderId="0" xfId="50" applyNumberFormat="1" applyFont="1" applyBorder="1" applyAlignment="1">
      <alignment horizontal="right"/>
    </xf>
    <xf numFmtId="2" fontId="18" fillId="0" borderId="0" xfId="50" applyNumberFormat="1" applyFont="1" applyBorder="1" applyAlignment="1">
      <alignment horizontal="right"/>
    </xf>
    <xf numFmtId="2" fontId="18" fillId="0" borderId="0" xfId="50" applyNumberFormat="1" applyFont="1" applyBorder="1" applyAlignment="1">
      <alignment horizontal="right"/>
    </xf>
    <xf numFmtId="2" fontId="18" fillId="0" borderId="0" xfId="50" applyNumberFormat="1" applyFont="1" applyBorder="1" applyAlignment="1">
      <alignment horizontal="right"/>
    </xf>
    <xf numFmtId="2" fontId="18" fillId="0" borderId="0" xfId="50" applyNumberFormat="1" applyFont="1" applyBorder="1" applyAlignment="1">
      <alignment horizontal="right"/>
    </xf>
    <xf numFmtId="2" fontId="18" fillId="0" borderId="0" xfId="50" applyNumberFormat="1" applyFont="1" applyBorder="1" applyAlignment="1">
      <alignment horizontal="right"/>
    </xf>
    <xf numFmtId="3" fontId="18" fillId="0" borderId="0" xfId="50" applyNumberFormat="1" applyFont="1" applyBorder="1" applyAlignment="1">
      <alignment horizontal="right"/>
    </xf>
    <xf numFmtId="0" fontId="0" fillId="0" borderId="0" xfId="0"/>
    <xf numFmtId="0" fontId="0" fillId="0" borderId="0" xfId="0" applyAlignment="1">
      <alignment wrapText="1"/>
    </xf>
    <xf numFmtId="2" fontId="0" fillId="0" borderId="0" xfId="0" applyNumberFormat="1"/>
    <xf numFmtId="166" fontId="0" fillId="0" borderId="0" xfId="0" applyNumberFormat="1"/>
    <xf numFmtId="9" fontId="0" fillId="0" borderId="0" xfId="0" applyNumberFormat="1"/>
    <xf numFmtId="1" fontId="0" fillId="0" borderId="0" xfId="0" applyNumberFormat="1"/>
    <xf numFmtId="3" fontId="0" fillId="0" borderId="0" xfId="0" applyNumberFormat="1"/>
    <xf numFmtId="0" fontId="2" fillId="0" borderId="0" xfId="0" applyFont="1" applyAlignment="1">
      <alignment horizontal="right" wrapText="1"/>
    </xf>
    <xf numFmtId="0" fontId="2" fillId="0" borderId="0" xfId="0" applyFont="1" applyAlignment="1">
      <alignment horizontal="right" wrapText="1"/>
    </xf>
    <xf numFmtId="0" fontId="43" fillId="0" borderId="0" xfId="63" applyAlignment="1" applyProtection="1"/>
    <xf numFmtId="0" fontId="44" fillId="0" borderId="0" xfId="0" applyFont="1" applyAlignment="1">
      <alignment wrapText="1"/>
    </xf>
    <xf numFmtId="0" fontId="0" fillId="0" borderId="15" xfId="0" applyBorder="1"/>
    <xf numFmtId="0" fontId="44" fillId="0" borderId="15" xfId="0" applyFont="1" applyBorder="1" applyAlignment="1">
      <alignment vertical="top"/>
    </xf>
    <xf numFmtId="0" fontId="44" fillId="0" borderId="14" xfId="0" applyFont="1" applyBorder="1"/>
    <xf numFmtId="0" fontId="46" fillId="0" borderId="14" xfId="0" applyFont="1" applyBorder="1" applyAlignment="1">
      <alignment horizontal="right"/>
    </xf>
    <xf numFmtId="0" fontId="45" fillId="0" borderId="0" xfId="0" applyFont="1"/>
    <xf numFmtId="3" fontId="0" fillId="0" borderId="15" xfId="0" applyNumberFormat="1" applyFont="1" applyFill="1" applyBorder="1"/>
    <xf numFmtId="0" fontId="42" fillId="0" borderId="0" xfId="0" applyFont="1" applyFill="1" applyBorder="1"/>
    <xf numFmtId="0" fontId="35" fillId="0" borderId="0" xfId="0" applyFont="1"/>
    <xf numFmtId="175" fontId="18" fillId="0" borderId="0" xfId="50" applyNumberFormat="1" applyFont="1" applyBorder="1"/>
    <xf numFmtId="2" fontId="39" fillId="0" borderId="0" xfId="2" applyNumberFormat="1" applyFont="1" applyBorder="1" applyAlignment="1">
      <alignment horizontal="right"/>
    </xf>
    <xf numFmtId="2" fontId="40" fillId="0" borderId="0" xfId="2" applyNumberFormat="1" applyFont="1" applyBorder="1" applyAlignment="1">
      <alignment horizontal="right"/>
    </xf>
    <xf numFmtId="2" fontId="18" fillId="0" borderId="0" xfId="2" applyNumberFormat="1" applyFont="1" applyBorder="1" applyAlignment="1">
      <alignment horizontal="right"/>
    </xf>
    <xf numFmtId="0" fontId="2" fillId="0" borderId="0" xfId="0" applyFont="1" applyAlignment="1">
      <alignment horizontal="right" wrapText="1"/>
    </xf>
    <xf numFmtId="0" fontId="0" fillId="0" borderId="0" xfId="0" applyAlignment="1">
      <alignment horizontal="center"/>
    </xf>
    <xf numFmtId="0" fontId="45" fillId="0" borderId="0" xfId="0" applyFont="1" applyAlignment="1">
      <alignment horizontal="left" vertical="top" wrapText="1"/>
    </xf>
    <xf numFmtId="0" fontId="0" fillId="0" borderId="0" xfId="0" applyFont="1"/>
    <xf numFmtId="3" fontId="0" fillId="0" borderId="0" xfId="0" applyNumberFormat="1" applyFont="1"/>
    <xf numFmtId="0" fontId="0" fillId="0" borderId="0" xfId="0" applyFont="1" applyBorder="1"/>
    <xf numFmtId="0" fontId="0" fillId="0" borderId="15" xfId="0" applyFont="1" applyBorder="1"/>
    <xf numFmtId="0" fontId="46" fillId="0" borderId="14" xfId="0" applyFont="1" applyBorder="1" applyAlignment="1">
      <alignment horizontal="right" wrapText="1"/>
    </xf>
    <xf numFmtId="0" fontId="2" fillId="0" borderId="14" xfId="0" applyFont="1" applyBorder="1"/>
    <xf numFmtId="4" fontId="0" fillId="0" borderId="0" xfId="0" applyNumberFormat="1"/>
  </cellXfs>
  <cellStyles count="64">
    <cellStyle name="20% - Accent1" xfId="27" builtinId="30" customBuiltin="1"/>
    <cellStyle name="20% - Accent2" xfId="31" builtinId="34" customBuiltin="1"/>
    <cellStyle name="20% - Accent3" xfId="35" builtinId="38" customBuiltin="1"/>
    <cellStyle name="20% - Accent4" xfId="39" builtinId="42" customBuiltin="1"/>
    <cellStyle name="20% - Accent5" xfId="43" builtinId="46" customBuiltin="1"/>
    <cellStyle name="20% - Accent6" xfId="47" builtinId="50" customBuiltin="1"/>
    <cellStyle name="40% - Accent1" xfId="28" builtinId="31" customBuiltin="1"/>
    <cellStyle name="40% - Accent2" xfId="32" builtinId="35" customBuiltin="1"/>
    <cellStyle name="40% - Accent3" xfId="36" builtinId="39" customBuiltin="1"/>
    <cellStyle name="40% - Accent4" xfId="40" builtinId="43" customBuiltin="1"/>
    <cellStyle name="40% - Accent5" xfId="44" builtinId="47" customBuiltin="1"/>
    <cellStyle name="40% - Accent6" xfId="48" builtinId="51" customBuiltin="1"/>
    <cellStyle name="60% - Accent1" xfId="29" builtinId="32" customBuiltin="1"/>
    <cellStyle name="60% - Accent2" xfId="33" builtinId="36" customBuiltin="1"/>
    <cellStyle name="60% - Accent3" xfId="37" builtinId="40" customBuiltin="1"/>
    <cellStyle name="60% - Accent4" xfId="41" builtinId="44" customBuiltin="1"/>
    <cellStyle name="60% - Accent5" xfId="45" builtinId="48" customBuiltin="1"/>
    <cellStyle name="60%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Bad" xfId="15" builtinId="27" customBuiltin="1"/>
    <cellStyle name="Calculation" xfId="19" builtinId="22" customBuiltin="1"/>
    <cellStyle name="CellNationName" xfId="62"/>
    <cellStyle name="CellRegionName" xfId="60"/>
    <cellStyle name="Check Cell" xfId="21" builtinId="23" customBuiltin="1"/>
    <cellStyle name="Comma 2" xfId="7"/>
    <cellStyle name="Comma 2 2" xfId="52"/>
    <cellStyle name="Comma 2 3" xfId="51"/>
    <cellStyle name="Comma 3" xfId="6"/>
    <cellStyle name="Comma 4" xfId="57"/>
    <cellStyle name="Currency" xfId="1" builtinId="4"/>
    <cellStyle name="Currency 2" xfId="61"/>
    <cellStyle name="Excel Built-in Normal" xfId="3"/>
    <cellStyle name="Explanatory Text" xfId="24" builtinId="53" customBuiltin="1"/>
    <cellStyle name="Good" xfId="14" builtinId="26" customBuiltin="1"/>
    <cellStyle name="Heading 1" xfId="10" builtinId="16" customBuiltin="1"/>
    <cellStyle name="Heading 2" xfId="11" builtinId="17" customBuiltin="1"/>
    <cellStyle name="Heading 3" xfId="12" builtinId="18" customBuiltin="1"/>
    <cellStyle name="Heading 4" xfId="13" builtinId="19" customBuiltin="1"/>
    <cellStyle name="Hyperlink" xfId="63" builtinId="8"/>
    <cellStyle name="Hyperlink 2" xfId="53"/>
    <cellStyle name="Hyperlink 3" xfId="59"/>
    <cellStyle name="Input" xfId="17" builtinId="20" customBuiltin="1"/>
    <cellStyle name="Linked Cell" xfId="20" builtinId="24" customBuiltin="1"/>
    <cellStyle name="Neutral" xfId="16" builtinId="28" customBuiltin="1"/>
    <cellStyle name="Normal" xfId="0" builtinId="0"/>
    <cellStyle name="Normal 2" xfId="4"/>
    <cellStyle name="Normal 2 2" xfId="55"/>
    <cellStyle name="Normal 2 3" xfId="54"/>
    <cellStyle name="Normal 28" xfId="8"/>
    <cellStyle name="Normal 28 2" xfId="9"/>
    <cellStyle name="Normal 3" xfId="5"/>
    <cellStyle name="Normal 4" xfId="58"/>
    <cellStyle name="Normal_Table 9" xfId="50"/>
    <cellStyle name="Note" xfId="23" builtinId="10" customBuiltin="1"/>
    <cellStyle name="Output" xfId="18" builtinId="21" customBuiltin="1"/>
    <cellStyle name="Percent" xfId="2" builtinId="5"/>
    <cellStyle name="Title 2" xfId="56"/>
    <cellStyle name="Total" xfId="25" builtinId="25" customBuiltin="1"/>
    <cellStyle name="Warning Text" xfId="2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activeX1.xml><?xml version="1.0" encoding="utf-8"?>
<ax:ocx xmlns:ax="http://schemas.microsoft.com/office/2006/activeX" xmlns:r="http://schemas.openxmlformats.org/officeDocument/2006/relationships" ax:classid="{5512D11A-5CC6-11CF-8D67-00AA00BDCE1D}" ax:persistence="persistStream" r:id="rId1"/>
</file>

<file path=xl/activeX/activeX2.xml><?xml version="1.0" encoding="utf-8"?>
<ax:ocx xmlns:ax="http://schemas.microsoft.com/office/2006/activeX" xmlns:r="http://schemas.openxmlformats.org/officeDocument/2006/relationships" ax:classid="{5512D11A-5CC6-11CF-8D67-00AA00BDCE1D}" ax:persistence="persistStream" r:id="rId1"/>
</file>

<file path=xl/activeX/activeX3.xml><?xml version="1.0" encoding="utf-8"?>
<ax:ocx xmlns:ax="http://schemas.microsoft.com/office/2006/activeX" xmlns:r="http://schemas.openxmlformats.org/officeDocument/2006/relationships" ax:classid="{5512D122-5CC6-11CF-8D67-00AA00BDCE1D}" ax:persistence="persistStream" r:id="rId1"/>
</file>

<file path=xl/activeX/activeX4.xml><?xml version="1.0" encoding="utf-8"?>
<ax:ocx xmlns:ax="http://schemas.microsoft.com/office/2006/activeX" xmlns:r="http://schemas.openxmlformats.org/officeDocument/2006/relationships" ax:classid="{5512D11A-5CC6-11CF-8D67-00AA00BDCE1D}" ax:persistence="persistStream" r:id="rId1"/>
</file>

<file path=xl/drawings/_rels/vmlDrawing2.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23</xdr:row>
          <xdr:rowOff>0</xdr:rowOff>
        </xdr:from>
        <xdr:to>
          <xdr:col>4</xdr:col>
          <xdr:colOff>396240</xdr:colOff>
          <xdr:row>23</xdr:row>
          <xdr:rowOff>228600</xdr:rowOff>
        </xdr:to>
        <xdr:sp macro="" textlink="">
          <xdr:nvSpPr>
            <xdr:cNvPr id="2049" name="Control 1" hidden="1">
              <a:extLst>
                <a:ext uri="{63B3BB69-23CF-44E3-9099-C40C66FF867C}">
                  <a14:compatExt spid="_x0000_s2049"/>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23</xdr:row>
          <xdr:rowOff>0</xdr:rowOff>
        </xdr:from>
        <xdr:to>
          <xdr:col>6</xdr:col>
          <xdr:colOff>213360</xdr:colOff>
          <xdr:row>23</xdr:row>
          <xdr:rowOff>228600</xdr:rowOff>
        </xdr:to>
        <xdr:sp macro="" textlink="">
          <xdr:nvSpPr>
            <xdr:cNvPr id="2050" name="Control 2" hidden="1">
              <a:extLst>
                <a:ext uri="{63B3BB69-23CF-44E3-9099-C40C66FF867C}">
                  <a14:compatExt spid="_x0000_s205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24</xdr:row>
          <xdr:rowOff>0</xdr:rowOff>
        </xdr:from>
        <xdr:to>
          <xdr:col>4</xdr:col>
          <xdr:colOff>708660</xdr:colOff>
          <xdr:row>24</xdr:row>
          <xdr:rowOff>228600</xdr:rowOff>
        </xdr:to>
        <xdr:sp macro="" textlink="">
          <xdr:nvSpPr>
            <xdr:cNvPr id="2051" name="Control 3" hidden="1">
              <a:extLst>
                <a:ext uri="{63B3BB69-23CF-44E3-9099-C40C66FF867C}">
                  <a14:compatExt spid="_x0000_s2051"/>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24</xdr:row>
          <xdr:rowOff>0</xdr:rowOff>
        </xdr:from>
        <xdr:to>
          <xdr:col>6</xdr:col>
          <xdr:colOff>396240</xdr:colOff>
          <xdr:row>24</xdr:row>
          <xdr:rowOff>228600</xdr:rowOff>
        </xdr:to>
        <xdr:sp macro="" textlink="">
          <xdr:nvSpPr>
            <xdr:cNvPr id="2052" name="Control 4" hidden="1">
              <a:extLst>
                <a:ext uri="{63B3BB69-23CF-44E3-9099-C40C66FF867C}">
                  <a14:compatExt spid="_x0000_s205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control" Target="../activeX/activeX3.xml"/><Relationship Id="rId3" Type="http://schemas.openxmlformats.org/officeDocument/2006/relationships/vmlDrawing" Target="../drawings/vmlDrawing2.vml"/><Relationship Id="rId7" Type="http://schemas.openxmlformats.org/officeDocument/2006/relationships/image" Target="../media/image2.emf"/><Relationship Id="rId12" Type="http://schemas.openxmlformats.org/officeDocument/2006/relationships/comments" Target="../comments2.xml"/><Relationship Id="rId2" Type="http://schemas.openxmlformats.org/officeDocument/2006/relationships/drawing" Target="../drawings/drawing1.xml"/><Relationship Id="rId1" Type="http://schemas.openxmlformats.org/officeDocument/2006/relationships/printerSettings" Target="../printerSettings/printerSettings4.bin"/><Relationship Id="rId6" Type="http://schemas.openxmlformats.org/officeDocument/2006/relationships/control" Target="../activeX/activeX2.xml"/><Relationship Id="rId11" Type="http://schemas.openxmlformats.org/officeDocument/2006/relationships/image" Target="../media/image4.emf"/><Relationship Id="rId5" Type="http://schemas.openxmlformats.org/officeDocument/2006/relationships/image" Target="../media/image1.emf"/><Relationship Id="rId10" Type="http://schemas.openxmlformats.org/officeDocument/2006/relationships/control" Target="../activeX/activeX4.xml"/><Relationship Id="rId4" Type="http://schemas.openxmlformats.org/officeDocument/2006/relationships/control" Target="../activeX/activeX1.xml"/><Relationship Id="rId9" Type="http://schemas.openxmlformats.org/officeDocument/2006/relationships/image" Target="../media/image3.emf"/></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
  <sheetViews>
    <sheetView tabSelected="1" topLeftCell="A10" workbookViewId="0">
      <selection activeCell="G21" sqref="G21"/>
    </sheetView>
  </sheetViews>
  <sheetFormatPr defaultRowHeight="14.4"/>
  <cols>
    <col min="1" max="1" width="26.6640625" style="4" customWidth="1"/>
    <col min="2" max="2" width="41.6640625" style="4" customWidth="1"/>
    <col min="3" max="3" width="13.6640625" customWidth="1"/>
    <col min="4" max="4" width="8" customWidth="1"/>
  </cols>
  <sheetData>
    <row r="1" spans="1:14" s="4" customFormat="1" ht="28.8">
      <c r="A1" s="4" t="s">
        <v>76</v>
      </c>
      <c r="B1" s="4" t="s">
        <v>77</v>
      </c>
      <c r="C1" s="63" t="s">
        <v>22</v>
      </c>
      <c r="D1" s="4" t="s">
        <v>23</v>
      </c>
      <c r="E1" s="4" t="s">
        <v>24</v>
      </c>
      <c r="F1" s="4" t="s">
        <v>32</v>
      </c>
      <c r="G1" s="4" t="s">
        <v>26</v>
      </c>
      <c r="H1" s="4" t="s">
        <v>27</v>
      </c>
      <c r="I1" s="4" t="s">
        <v>28</v>
      </c>
      <c r="J1" s="4" t="s">
        <v>68</v>
      </c>
      <c r="K1" s="4" t="s">
        <v>30</v>
      </c>
      <c r="L1" s="4" t="s">
        <v>31</v>
      </c>
    </row>
    <row r="2" spans="1:14" ht="26.25" customHeight="1">
      <c r="A2" s="4" t="s">
        <v>103</v>
      </c>
      <c r="B2" s="4" t="s">
        <v>224</v>
      </c>
      <c r="C2" s="62">
        <v>169191.94501666666</v>
      </c>
      <c r="D2" s="62">
        <v>208287.53643333333</v>
      </c>
      <c r="E2" s="62">
        <v>347605.04491666664</v>
      </c>
      <c r="F2" s="62">
        <v>186675.00099166669</v>
      </c>
      <c r="G2" s="62">
        <v>172796.37035833334</v>
      </c>
      <c r="H2" s="62">
        <v>124201.52886666666</v>
      </c>
      <c r="I2" s="62">
        <v>129311.13239166664</v>
      </c>
      <c r="J2" s="62">
        <v>118070.73322500002</v>
      </c>
      <c r="K2" s="62">
        <v>115115.80943333334</v>
      </c>
      <c r="L2" s="62">
        <v>102798.61283333333</v>
      </c>
    </row>
    <row r="3" spans="1:14" ht="30.75" customHeight="1">
      <c r="A3" s="4" t="s">
        <v>78</v>
      </c>
      <c r="B3" s="4" t="s">
        <v>79</v>
      </c>
      <c r="C3" t="s">
        <v>67</v>
      </c>
      <c r="D3" s="43">
        <v>0.28399999999999997</v>
      </c>
    </row>
    <row r="4" spans="1:14" s="85" customFormat="1" ht="56.25" customHeight="1">
      <c r="A4" s="86" t="s">
        <v>116</v>
      </c>
      <c r="B4" s="86" t="s">
        <v>117</v>
      </c>
      <c r="C4" s="89">
        <v>0.23</v>
      </c>
      <c r="D4" s="11">
        <v>0.23</v>
      </c>
      <c r="E4" s="11">
        <v>0.33</v>
      </c>
      <c r="F4" s="11">
        <v>0.23</v>
      </c>
      <c r="G4" s="11">
        <v>0.22</v>
      </c>
      <c r="H4" s="11">
        <v>0.18</v>
      </c>
      <c r="I4" s="11">
        <v>0.19</v>
      </c>
      <c r="J4" s="11">
        <v>0.18</v>
      </c>
      <c r="K4" s="11">
        <v>0.17</v>
      </c>
      <c r="L4" s="11">
        <v>0.17</v>
      </c>
      <c r="M4" s="11"/>
      <c r="N4" s="85" t="s">
        <v>118</v>
      </c>
    </row>
    <row r="5" spans="1:14" s="85" customFormat="1" ht="34.799999999999997" customHeight="1">
      <c r="A5" s="86" t="s">
        <v>237</v>
      </c>
      <c r="B5" s="86" t="s">
        <v>238</v>
      </c>
      <c r="C5" s="58">
        <f>'HPSSA median NB'!$CK$10</f>
        <v>207057.05456095483</v>
      </c>
      <c r="D5" s="72">
        <f>'HPSSA median NB'!$CK$19</f>
        <v>249988.51638502287</v>
      </c>
      <c r="E5" s="72">
        <f>'HPSSA median NB'!$CK$18</f>
        <v>310621.14150943398</v>
      </c>
      <c r="F5" s="72">
        <f>'HPSSA median NB'!$CK$17</f>
        <v>222736.40388129617</v>
      </c>
      <c r="G5" s="73">
        <f>'HPSSA median NB'!$CK$20</f>
        <v>195347.91493283436</v>
      </c>
      <c r="H5" s="72">
        <f>'HPSSA median NB'!$CK$16</f>
        <v>167908.0534968907</v>
      </c>
      <c r="I5" s="72">
        <f>'HPSSA median NB'!$CK$15</f>
        <v>171017.39886907351</v>
      </c>
      <c r="J5" s="72">
        <f>'HPSSA median NB'!$CK$14</f>
        <v>158055.81625167219</v>
      </c>
      <c r="K5" s="72">
        <f>'HPSSA median NB'!$CK$13</f>
        <v>161520.29247517054</v>
      </c>
      <c r="L5" s="72">
        <f>'HPSSA median NB'!$CK$12</f>
        <v>150273.78069694061</v>
      </c>
      <c r="M5" s="11"/>
    </row>
    <row r="6" spans="1:14" ht="28.8">
      <c r="A6" s="4" t="s">
        <v>236</v>
      </c>
      <c r="B6" s="4" t="s">
        <v>222</v>
      </c>
      <c r="C6" s="58">
        <f>'HPSSA median NB'!$CJ$10</f>
        <v>223769.79935408192</v>
      </c>
      <c r="D6" s="60">
        <f>'HPSSA median NB'!$CJ$19</f>
        <v>273283.39462956396</v>
      </c>
      <c r="E6" s="65">
        <f>'HPSSA median NB'!$CJ$18</f>
        <v>369687.87957660941</v>
      </c>
      <c r="F6" s="61">
        <f>'HPSSA median NB'!$CJ$17</f>
        <v>244697.51308962543</v>
      </c>
      <c r="G6" s="67">
        <f>'HPSSA median NB'!$CJ$20</f>
        <v>215335.07776166304</v>
      </c>
      <c r="H6" s="66">
        <f>'HPSSA median NB'!$CJ$16</f>
        <v>181540.97322492464</v>
      </c>
      <c r="I6" s="68">
        <f>'HPSSA median NB'!$CJ$15</f>
        <v>184626.06074226677</v>
      </c>
      <c r="J6" s="69">
        <f>'HPSSA median NB'!$CJ$14</f>
        <v>169750.36828551738</v>
      </c>
      <c r="K6" s="70">
        <f>'HPSSA median NB'!$CJ$13</f>
        <v>170287.46176365975</v>
      </c>
      <c r="L6" s="71">
        <f>'HPSSA median NB'!$CJ$12</f>
        <v>162205.05987027151</v>
      </c>
    </row>
    <row r="7" spans="1:14" s="85" customFormat="1" ht="28.8">
      <c r="A7" s="86" t="s">
        <v>244</v>
      </c>
      <c r="B7" s="86" t="s">
        <v>246</v>
      </c>
      <c r="C7" s="117">
        <v>0.81</v>
      </c>
      <c r="D7" s="117">
        <v>0.81</v>
      </c>
      <c r="E7" s="117">
        <v>0.75</v>
      </c>
      <c r="F7" s="117">
        <v>0.8</v>
      </c>
      <c r="G7" s="117">
        <v>0.81</v>
      </c>
      <c r="H7" s="117">
        <v>0.83</v>
      </c>
      <c r="I7" s="117">
        <v>0.85</v>
      </c>
      <c r="J7" s="117">
        <v>0.85</v>
      </c>
      <c r="K7" s="117">
        <v>0.85</v>
      </c>
      <c r="L7" s="117">
        <v>0.85</v>
      </c>
    </row>
    <row r="8" spans="1:14" s="85" customFormat="1" ht="28.8">
      <c r="A8" s="86" t="s">
        <v>245</v>
      </c>
      <c r="B8" s="86" t="s">
        <v>247</v>
      </c>
      <c r="C8" s="117">
        <v>3.44</v>
      </c>
      <c r="D8" s="117">
        <v>3.66</v>
      </c>
      <c r="E8" s="117">
        <v>3.76</v>
      </c>
      <c r="F8" s="117">
        <v>3.47</v>
      </c>
      <c r="G8" s="117">
        <v>3.58</v>
      </c>
      <c r="H8" s="117">
        <v>3.27</v>
      </c>
      <c r="I8" s="117">
        <v>3.21</v>
      </c>
      <c r="J8" s="117">
        <v>3.13</v>
      </c>
      <c r="K8" s="117">
        <v>3.12</v>
      </c>
      <c r="L8" s="117">
        <v>2.96</v>
      </c>
    </row>
    <row r="9" spans="1:14" ht="28.8">
      <c r="A9" s="4" t="s">
        <v>241</v>
      </c>
      <c r="B9" s="4" t="s">
        <v>242</v>
      </c>
      <c r="C9" s="105">
        <v>0.82607319663127066</v>
      </c>
      <c r="D9" s="106">
        <v>0.83039849170437408</v>
      </c>
      <c r="E9" s="107">
        <v>0.76106633064516127</v>
      </c>
      <c r="F9" s="107">
        <v>0.82459826086956534</v>
      </c>
      <c r="G9" s="107">
        <v>0.8104521235521237</v>
      </c>
      <c r="H9" s="107">
        <v>0.84523358778625945</v>
      </c>
      <c r="I9" s="107">
        <v>0.84906331877729257</v>
      </c>
      <c r="J9" s="107">
        <v>0.85004000000000002</v>
      </c>
      <c r="K9" s="107">
        <v>0.85</v>
      </c>
      <c r="L9" s="107">
        <v>0.85</v>
      </c>
    </row>
    <row r="10" spans="1:14" ht="28.8">
      <c r="A10" s="4" t="s">
        <v>243</v>
      </c>
      <c r="B10" s="4" t="s">
        <v>223</v>
      </c>
      <c r="C10" s="104">
        <v>3.4825521786891249</v>
      </c>
      <c r="D10" s="104">
        <v>3.7352941176470589</v>
      </c>
      <c r="E10" s="104">
        <v>3.8624193548387096</v>
      </c>
      <c r="F10" s="104">
        <v>3.5101739130434781</v>
      </c>
      <c r="G10" s="104">
        <v>3.6319305019305017</v>
      </c>
      <c r="H10" s="104">
        <v>3.299389312977099</v>
      </c>
      <c r="I10" s="104">
        <v>3.2465938864628821</v>
      </c>
      <c r="J10" s="104">
        <v>3.1420392156862746</v>
      </c>
      <c r="K10" s="104">
        <v>3.1241587301587304</v>
      </c>
      <c r="L10" s="104">
        <v>2.946544117647059</v>
      </c>
    </row>
    <row r="11" spans="1:14" s="85" customFormat="1">
      <c r="A11" s="86" t="s">
        <v>226</v>
      </c>
      <c r="B11" s="86" t="s">
        <v>227</v>
      </c>
      <c r="C11" s="91">
        <v>255000</v>
      </c>
      <c r="D11" s="91">
        <v>304995</v>
      </c>
      <c r="E11" s="91">
        <v>445000</v>
      </c>
      <c r="F11" s="91">
        <v>265000</v>
      </c>
      <c r="G11" s="91">
        <v>245000</v>
      </c>
      <c r="H11" s="91">
        <v>206950</v>
      </c>
      <c r="I11" s="91">
        <v>215000</v>
      </c>
      <c r="J11" s="91">
        <v>189950</v>
      </c>
      <c r="K11" s="91">
        <v>183695</v>
      </c>
      <c r="L11" s="91">
        <v>174950</v>
      </c>
    </row>
    <row r="12" spans="1:14">
      <c r="C12" s="59"/>
      <c r="D12" s="59"/>
      <c r="E12" s="59"/>
      <c r="F12" s="59"/>
      <c r="G12" s="59"/>
      <c r="H12" s="59"/>
      <c r="I12" s="59"/>
      <c r="J12" s="59"/>
      <c r="K12" s="59"/>
      <c r="L12" s="59"/>
    </row>
    <row r="13" spans="1:14">
      <c r="C13" s="78"/>
      <c r="D13" s="79"/>
      <c r="E13" s="80"/>
      <c r="F13" s="81"/>
      <c r="G13" s="82"/>
      <c r="H13" s="83"/>
      <c r="I13" s="84"/>
      <c r="J13" s="75"/>
      <c r="K13" s="76"/>
      <c r="L13" s="77"/>
    </row>
    <row r="15" spans="1:14">
      <c r="A15" s="4" t="s">
        <v>104</v>
      </c>
      <c r="B15" s="4" t="s">
        <v>105</v>
      </c>
      <c r="C15" s="35">
        <v>0.25</v>
      </c>
    </row>
    <row r="16" spans="1:14">
      <c r="A16" s="74" t="s">
        <v>106</v>
      </c>
      <c r="B16" s="74" t="s">
        <v>107</v>
      </c>
      <c r="C16" s="35">
        <v>0.2</v>
      </c>
    </row>
    <row r="17" spans="1:12">
      <c r="A17" s="4" t="s">
        <v>108</v>
      </c>
      <c r="B17" s="4" t="s">
        <v>109</v>
      </c>
      <c r="C17">
        <v>25</v>
      </c>
    </row>
    <row r="18" spans="1:12">
      <c r="A18" s="4" t="s">
        <v>110</v>
      </c>
      <c r="C18">
        <v>12</v>
      </c>
    </row>
    <row r="19" spans="1:12" ht="43.2">
      <c r="A19" s="86" t="s">
        <v>111</v>
      </c>
      <c r="B19" s="86" t="s">
        <v>112</v>
      </c>
      <c r="C19" s="64">
        <v>2.6571400702302E-2</v>
      </c>
    </row>
    <row r="20" spans="1:12" ht="28.8">
      <c r="A20" s="4" t="s">
        <v>248</v>
      </c>
      <c r="B20" s="86" t="s">
        <v>113</v>
      </c>
      <c r="C20">
        <f>'Raw Data-Hometrack Assumptions'!$E$21</f>
        <v>75.682775065104167</v>
      </c>
      <c r="D20">
        <f>'Raw Data-Hometrack Assumptions'!$E$12</f>
        <v>108.53045084635417</v>
      </c>
      <c r="E20">
        <f>'Raw Data-Hometrack Assumptions'!$E$13</f>
        <v>118.15604166666667</v>
      </c>
      <c r="F20">
        <f>'Raw Data-Hometrack Assumptions'!$E$14</f>
        <v>95.252874348958329</v>
      </c>
      <c r="G20">
        <f>'Raw Data-Hometrack Assumptions'!$E$15</f>
        <v>94.871687825520837</v>
      </c>
      <c r="H20">
        <f>'Raw Data-Hometrack Assumptions'!$E$16</f>
        <v>82.049347330729177</v>
      </c>
      <c r="I20">
        <f>'Raw Data-Hometrack Assumptions'!$E$17</f>
        <v>74.180748697916655</v>
      </c>
      <c r="J20">
        <f>'Raw Data-Hometrack Assumptions'!$E$18</f>
        <v>65.304908854166669</v>
      </c>
      <c r="K20">
        <f>'Raw Data-Hometrack Assumptions'!$E$19</f>
        <v>61.138784179687505</v>
      </c>
      <c r="L20" s="90">
        <f>'Raw Data-Hometrack Assumptions'!$E$20</f>
        <v>79.015843098958328</v>
      </c>
    </row>
    <row r="21" spans="1:12" s="85" customFormat="1">
      <c r="A21" s="86" t="s">
        <v>249</v>
      </c>
      <c r="B21" s="86" t="s">
        <v>250</v>
      </c>
      <c r="C21" s="85">
        <f>'Raw Data-Hometrack Assumptions'!$B$21</f>
        <v>74.950833333333335</v>
      </c>
      <c r="D21" s="85">
        <f>'Raw Data-Hometrack Assumptions'!$B$12</f>
        <v>107.48083333333334</v>
      </c>
      <c r="E21" s="85">
        <f>'Raw Data-Hometrack Assumptions'!$B$13</f>
        <v>117.01333333333334</v>
      </c>
      <c r="F21" s="85">
        <f>'Raw Data-Hometrack Assumptions'!$B$14</f>
        <v>94.331666666666663</v>
      </c>
      <c r="G21" s="85">
        <f>'Raw Data-Hometrack Assumptions'!$B$15</f>
        <v>93.954166666666666</v>
      </c>
      <c r="H21" s="85">
        <f>'Raw Data-Hometrack Assumptions'!$B$16</f>
        <v>81.255833333333342</v>
      </c>
      <c r="I21" s="85">
        <f>'Raw Data-Hometrack Assumptions'!$B$17</f>
        <v>73.463333333333324</v>
      </c>
      <c r="J21" s="85">
        <f>'Raw Data-Hometrack Assumptions'!$B$18</f>
        <v>64.673333333333332</v>
      </c>
      <c r="K21" s="85">
        <f>'Raw Data-Hometrack Assumptions'!$B$19</f>
        <v>60.547500000000007</v>
      </c>
      <c r="L21" s="90">
        <f>'Raw Data-Hometrack Assumptions'!$B$20</f>
        <v>78.251666666666665</v>
      </c>
    </row>
    <row r="22" spans="1:12" ht="28.8">
      <c r="A22" s="4" t="s">
        <v>114</v>
      </c>
      <c r="B22" s="4" t="s">
        <v>105</v>
      </c>
      <c r="C22" s="89">
        <v>0.35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selection activeCell="C12" sqref="C12"/>
    </sheetView>
  </sheetViews>
  <sheetFormatPr defaultRowHeight="14.4"/>
  <cols>
    <col min="1" max="1" width="21" customWidth="1"/>
    <col min="2" max="2" width="16.109375" customWidth="1"/>
    <col min="3" max="3" width="16.77734375" customWidth="1"/>
    <col min="7" max="7" width="12.5546875" customWidth="1"/>
    <col min="8" max="8" width="13.33203125" customWidth="1"/>
  </cols>
  <sheetData>
    <row r="1" spans="1:8" s="46" customFormat="1" ht="49.2" customHeight="1">
      <c r="B1" s="92" t="s">
        <v>239</v>
      </c>
      <c r="C1" s="108" t="s">
        <v>240</v>
      </c>
      <c r="G1" s="108" t="s">
        <v>239</v>
      </c>
      <c r="H1" s="108" t="s">
        <v>240</v>
      </c>
    </row>
    <row r="2" spans="1:8" s="46" customFormat="1">
      <c r="A2" s="42" t="s">
        <v>56</v>
      </c>
      <c r="B2" s="92"/>
      <c r="F2" s="42" t="s">
        <v>56</v>
      </c>
      <c r="G2" s="93"/>
    </row>
    <row r="3" spans="1:8">
      <c r="A3" t="s">
        <v>22</v>
      </c>
      <c r="B3" s="88">
        <f>'SO Affordability'!L3</f>
        <v>24260.992213260386</v>
      </c>
      <c r="C3" s="90">
        <f>'SO Affordability'!L15</f>
        <v>22617.712187893849</v>
      </c>
      <c r="F3" s="85" t="s">
        <v>22</v>
      </c>
      <c r="G3" s="88">
        <f>ROUND(B3,-2)</f>
        <v>24300</v>
      </c>
      <c r="H3" s="88">
        <f>ROUND(C3,-2)</f>
        <v>22600</v>
      </c>
    </row>
    <row r="4" spans="1:8">
      <c r="A4" t="s">
        <v>23</v>
      </c>
      <c r="B4" s="88">
        <f>'SO Affordability'!L4</f>
        <v>26601.480005435184</v>
      </c>
      <c r="C4" s="90">
        <f>'SO Affordability'!L16</f>
        <v>24615.147870617344</v>
      </c>
      <c r="F4" s="85" t="s">
        <v>23</v>
      </c>
      <c r="G4" s="88">
        <f t="shared" ref="G4:G12" si="0">ROUND(B4,-2)</f>
        <v>26600</v>
      </c>
      <c r="H4" s="88">
        <f t="shared" ref="H4:H12" si="1">ROUND(C4,-2)</f>
        <v>24600</v>
      </c>
    </row>
    <row r="5" spans="1:8">
      <c r="A5" t="s">
        <v>24</v>
      </c>
      <c r="B5" s="88">
        <f>'SO Affordability'!L5</f>
        <v>33385.680929914888</v>
      </c>
      <c r="C5" s="90">
        <f>'SO Affordability'!L17</f>
        <v>28659.575322608362</v>
      </c>
      <c r="F5" s="85" t="s">
        <v>24</v>
      </c>
      <c r="G5" s="88">
        <f t="shared" si="0"/>
        <v>33400</v>
      </c>
      <c r="H5" s="88">
        <f t="shared" si="1"/>
        <v>28700</v>
      </c>
    </row>
    <row r="6" spans="1:8">
      <c r="A6" t="s">
        <v>32</v>
      </c>
      <c r="B6" s="88">
        <f>'SO Affordability'!L6</f>
        <v>25160.965687600183</v>
      </c>
      <c r="C6" s="90">
        <f>'SO Affordability'!L18</f>
        <v>23164.335531988476</v>
      </c>
      <c r="F6" s="85" t="s">
        <v>32</v>
      </c>
      <c r="G6" s="88">
        <f t="shared" si="0"/>
        <v>25200</v>
      </c>
      <c r="H6" s="88">
        <f t="shared" si="1"/>
        <v>23200</v>
      </c>
    </row>
    <row r="7" spans="1:8">
      <c r="A7" t="s">
        <v>26</v>
      </c>
      <c r="B7" s="88">
        <f>'SO Affordability'!L7</f>
        <v>22205.616988049722</v>
      </c>
      <c r="C7" s="90">
        <f>'SO Affordability'!L19</f>
        <v>20414.974453844239</v>
      </c>
      <c r="F7" s="85" t="s">
        <v>26</v>
      </c>
      <c r="G7" s="88">
        <f t="shared" si="0"/>
        <v>22200</v>
      </c>
      <c r="H7" s="88">
        <f t="shared" si="1"/>
        <v>20400</v>
      </c>
    </row>
    <row r="8" spans="1:8">
      <c r="A8" t="s">
        <v>27</v>
      </c>
      <c r="B8" s="88">
        <f>'SO Affordability'!L8</f>
        <v>20104.446830673965</v>
      </c>
      <c r="C8" s="90">
        <f>'SO Affordability'!L20</f>
        <v>18778.738926678241</v>
      </c>
      <c r="F8" s="85" t="s">
        <v>27</v>
      </c>
      <c r="G8" s="88">
        <f t="shared" si="0"/>
        <v>20100</v>
      </c>
      <c r="H8" s="88">
        <f t="shared" si="1"/>
        <v>18800</v>
      </c>
    </row>
    <row r="9" spans="1:8">
      <c r="A9" t="s">
        <v>28</v>
      </c>
      <c r="B9" s="88">
        <f>'SO Affordability'!L9</f>
        <v>19933.103162558244</v>
      </c>
      <c r="C9" s="90">
        <f>'SO Affordability'!L21</f>
        <v>18626.718398018478</v>
      </c>
      <c r="F9" s="85" t="s">
        <v>28</v>
      </c>
      <c r="G9" s="88">
        <f t="shared" si="0"/>
        <v>19900</v>
      </c>
      <c r="H9" s="88">
        <f t="shared" si="1"/>
        <v>18600</v>
      </c>
    </row>
    <row r="10" spans="1:8">
      <c r="A10" t="s">
        <v>115</v>
      </c>
      <c r="B10" s="88">
        <f>'SO Affordability'!L10</f>
        <v>18084.812898050695</v>
      </c>
      <c r="C10" s="90">
        <f>'SO Affordability'!L22</f>
        <v>16971.50065440073</v>
      </c>
      <c r="F10" s="85" t="s">
        <v>115</v>
      </c>
      <c r="G10" s="88">
        <f t="shared" si="0"/>
        <v>18100</v>
      </c>
      <c r="H10" s="88">
        <f t="shared" si="1"/>
        <v>17000</v>
      </c>
    </row>
    <row r="11" spans="1:8">
      <c r="A11" t="s">
        <v>30</v>
      </c>
      <c r="B11" s="88">
        <f>'SO Affordability'!L11</f>
        <v>19246.761340741265</v>
      </c>
      <c r="C11" s="90">
        <f>'SO Affordability'!L23</f>
        <v>18343.499540262997</v>
      </c>
      <c r="F11" s="85" t="s">
        <v>30</v>
      </c>
      <c r="G11" s="88">
        <f t="shared" si="0"/>
        <v>19200</v>
      </c>
      <c r="H11" s="88">
        <f t="shared" si="1"/>
        <v>18300</v>
      </c>
    </row>
    <row r="12" spans="1:8">
      <c r="A12" t="s">
        <v>31</v>
      </c>
      <c r="B12" s="88">
        <f>'SO Affordability'!L12</f>
        <v>20725.837962252168</v>
      </c>
      <c r="C12" s="90">
        <f>'SO Affordability'!L24</f>
        <v>19374.385775542702</v>
      </c>
      <c r="F12" s="85" t="s">
        <v>31</v>
      </c>
      <c r="G12" s="88">
        <f t="shared" si="0"/>
        <v>20700</v>
      </c>
      <c r="H12" s="88">
        <f t="shared" si="1"/>
        <v>19400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workbookViewId="0">
      <pane xSplit="1" ySplit="2" topLeftCell="B12" activePane="bottomRight" state="frozen"/>
      <selection pane="topRight" activeCell="B1" sqref="B1"/>
      <selection pane="bottomLeft" activeCell="A3" sqref="A3"/>
      <selection pane="bottomRight" activeCell="D24" sqref="D24"/>
    </sheetView>
  </sheetViews>
  <sheetFormatPr defaultRowHeight="14.4"/>
  <cols>
    <col min="1" max="1" width="25.44140625" customWidth="1"/>
    <col min="2" max="3" width="20.33203125" customWidth="1"/>
    <col min="4" max="4" width="11.5546875" bestFit="1" customWidth="1"/>
    <col min="6" max="6" width="12.44140625" customWidth="1"/>
    <col min="7" max="7" width="11.109375" customWidth="1"/>
    <col min="8" max="8" width="14" customWidth="1"/>
    <col min="9" max="9" width="12.109375" customWidth="1"/>
    <col min="10" max="10" width="12.88671875" customWidth="1"/>
    <col min="11" max="11" width="14.44140625" customWidth="1"/>
    <col min="12" max="12" width="12.44140625" customWidth="1"/>
  </cols>
  <sheetData>
    <row r="1" spans="1:12">
      <c r="C1" s="109">
        <v>2014</v>
      </c>
      <c r="D1" s="109"/>
      <c r="E1" s="109"/>
      <c r="F1" s="109"/>
      <c r="G1" s="109"/>
      <c r="H1" s="109"/>
      <c r="I1" s="109"/>
      <c r="J1" s="109"/>
      <c r="K1" s="109"/>
      <c r="L1" s="109"/>
    </row>
    <row r="2" spans="1:12" ht="53.4">
      <c r="A2" s="42" t="s">
        <v>56</v>
      </c>
      <c r="B2" s="46" t="s">
        <v>73</v>
      </c>
      <c r="C2" s="45" t="s">
        <v>57</v>
      </c>
      <c r="D2" s="45" t="s">
        <v>58</v>
      </c>
      <c r="E2" s="45" t="s">
        <v>65</v>
      </c>
      <c r="F2" s="45" t="s">
        <v>64</v>
      </c>
      <c r="G2" s="45" t="s">
        <v>59</v>
      </c>
      <c r="H2" s="45" t="s">
        <v>60</v>
      </c>
      <c r="I2" s="45" t="s">
        <v>61</v>
      </c>
      <c r="J2" s="45" t="s">
        <v>45</v>
      </c>
      <c r="K2" s="45" t="s">
        <v>62</v>
      </c>
      <c r="L2" s="45" t="s">
        <v>63</v>
      </c>
    </row>
    <row r="3" spans="1:12">
      <c r="A3" s="20" t="s">
        <v>22</v>
      </c>
      <c r="B3" s="57">
        <f>'NHF Shared Ownership'!H15</f>
        <v>240104.54210171374</v>
      </c>
      <c r="C3" s="35">
        <f>Assumptions!$C$15</f>
        <v>0.25</v>
      </c>
      <c r="D3" s="57">
        <f>C3*B3*Assumptions!$C$16</f>
        <v>12005.227105085687</v>
      </c>
      <c r="E3">
        <f t="shared" ref="E3:E12" si="0">(1-C3)*B3</f>
        <v>180078.40657628531</v>
      </c>
      <c r="F3">
        <f t="shared" ref="F3:F12" si="1">C3*B3</f>
        <v>60026.135525428435</v>
      </c>
      <c r="G3">
        <f>F3-D3</f>
        <v>48020.908420342748</v>
      </c>
      <c r="H3" s="16">
        <f>-PMT(Assumptions!$C$19/12,300,G3)</f>
        <v>219.24981608433666</v>
      </c>
      <c r="I3">
        <f>('Raw Data-Hometrack Assumptions'!$B$5*'SO Affordability'!E3)/12</f>
        <v>412.67968173732055</v>
      </c>
      <c r="J3" s="18">
        <f>'Raw Data-Hometrack Assumptions'!$E$21</f>
        <v>75.682775065104167</v>
      </c>
      <c r="K3" s="16">
        <f>SUM(H3:J3)</f>
        <v>707.61227288676128</v>
      </c>
      <c r="L3">
        <f>(K3/'Raw Data-Hometrack Assumptions'!$B$9)*12</f>
        <v>24260.992213260386</v>
      </c>
    </row>
    <row r="4" spans="1:12">
      <c r="A4" t="s">
        <v>23</v>
      </c>
      <c r="B4" s="57">
        <f>'NHF Shared Ownership'!H16</f>
        <v>253561.2250192941</v>
      </c>
      <c r="C4" s="35">
        <f>Assumptions!$C$15</f>
        <v>0.25</v>
      </c>
      <c r="D4" s="57">
        <f>C4*B4*Assumptions!$C$16</f>
        <v>12678.061250964705</v>
      </c>
      <c r="E4">
        <f t="shared" si="0"/>
        <v>190170.91876447058</v>
      </c>
      <c r="F4">
        <f t="shared" si="1"/>
        <v>63390.306254823525</v>
      </c>
      <c r="G4">
        <f t="shared" ref="G4:G12" si="2">F4-D4</f>
        <v>50712.245003858821</v>
      </c>
      <c r="H4" s="16">
        <f>-PMT(Assumptions!$C$19/12,300,G4)</f>
        <v>231.53769381026024</v>
      </c>
      <c r="I4">
        <f>('Raw Data-Hometrack Assumptions'!$B$5*'SO Affordability'!E4)/12</f>
        <v>435.80835550191176</v>
      </c>
      <c r="J4" s="18">
        <f>'Raw Data-Hometrack Assumptions'!$E$12</f>
        <v>108.53045084635417</v>
      </c>
      <c r="K4" s="16">
        <f>SUM(H4:J4)</f>
        <v>775.87650015852614</v>
      </c>
      <c r="L4">
        <f>(K4/'Raw Data-Hometrack Assumptions'!$B$9)*12</f>
        <v>26601.480005435184</v>
      </c>
    </row>
    <row r="5" spans="1:12">
      <c r="A5" t="s">
        <v>24</v>
      </c>
      <c r="B5" s="57">
        <f>'NHF Shared Ownership'!H17</f>
        <v>325086.52105411311</v>
      </c>
      <c r="C5" s="35">
        <f>Assumptions!$C$15</f>
        <v>0.25</v>
      </c>
      <c r="D5" s="57">
        <f>C5*B5*Assumptions!$C$16</f>
        <v>16254.326052705655</v>
      </c>
      <c r="E5">
        <f t="shared" si="0"/>
        <v>243814.89079058485</v>
      </c>
      <c r="F5">
        <f t="shared" si="1"/>
        <v>81271.630263528277</v>
      </c>
      <c r="G5">
        <f t="shared" si="2"/>
        <v>65017.304210822622</v>
      </c>
      <c r="H5" s="16">
        <f>-PMT(Assumptions!$C$19/12,300,G5)</f>
        <v>296.85052739409389</v>
      </c>
      <c r="I5">
        <f>('Raw Data-Hometrack Assumptions'!$B$5*'SO Affordability'!E5)/12</f>
        <v>558.74245806175691</v>
      </c>
      <c r="J5" s="18">
        <f>'Raw Data-Hometrack Assumptions'!$E$13</f>
        <v>118.15604166666667</v>
      </c>
      <c r="K5" s="16">
        <f t="shared" ref="K5:K12" si="3">SUM(H5:J5)</f>
        <v>973.74902712251742</v>
      </c>
      <c r="L5">
        <f>(K5/'Raw Data-Hometrack Assumptions'!$B$9)*12</f>
        <v>33385.680929914888</v>
      </c>
    </row>
    <row r="6" spans="1:12">
      <c r="A6" t="s">
        <v>25</v>
      </c>
      <c r="B6" s="57">
        <f>'NHF Shared Ownership'!H18</f>
        <v>242642.30738686211</v>
      </c>
      <c r="C6" s="35">
        <f>Assumptions!$C$15</f>
        <v>0.25</v>
      </c>
      <c r="D6" s="57">
        <f>C6*B6*Assumptions!$C$16</f>
        <v>12132.115369343106</v>
      </c>
      <c r="E6">
        <f t="shared" si="0"/>
        <v>181981.73054014659</v>
      </c>
      <c r="F6">
        <f t="shared" si="1"/>
        <v>60660.576846715529</v>
      </c>
      <c r="G6">
        <f t="shared" si="2"/>
        <v>48528.461477372424</v>
      </c>
      <c r="H6" s="16">
        <f>-PMT(Assumptions!$C$19/12,300,G6)</f>
        <v>221.56715905154419</v>
      </c>
      <c r="I6">
        <f>('Raw Data-Hometrack Assumptions'!$B$5*'SO Affordability'!E6)/12</f>
        <v>417.04146582116931</v>
      </c>
      <c r="J6" s="18">
        <f>'Raw Data-Hometrack Assumptions'!$E$14</f>
        <v>95.252874348958329</v>
      </c>
      <c r="K6" s="16">
        <f t="shared" si="3"/>
        <v>733.86149922167192</v>
      </c>
      <c r="L6">
        <f>(K6/'Raw Data-Hometrack Assumptions'!$B$9)*12</f>
        <v>25160.965687600183</v>
      </c>
    </row>
    <row r="7" spans="1:12">
      <c r="A7" t="s">
        <v>26</v>
      </c>
      <c r="B7" s="57">
        <f>'NHF Shared Ownership'!H19</f>
        <v>210035.93652137389</v>
      </c>
      <c r="C7" s="35">
        <f>Assumptions!$C$15</f>
        <v>0.25</v>
      </c>
      <c r="D7" s="57">
        <f>C7*B7*Assumptions!$C$16</f>
        <v>10501.796826068696</v>
      </c>
      <c r="E7">
        <f t="shared" si="0"/>
        <v>157526.95239103041</v>
      </c>
      <c r="F7">
        <f t="shared" si="1"/>
        <v>52508.984130343473</v>
      </c>
      <c r="G7">
        <f t="shared" si="2"/>
        <v>42007.187304274776</v>
      </c>
      <c r="H7" s="16">
        <f>-PMT(Assumptions!$C$19/12,300,G7)</f>
        <v>191.79287509648469</v>
      </c>
      <c r="I7">
        <f>('Raw Data-Hometrack Assumptions'!$B$5*'SO Affordability'!E7)/12</f>
        <v>360.99926589611135</v>
      </c>
      <c r="J7" s="18">
        <f>'Raw Data-Hometrack Assumptions'!$E$15</f>
        <v>94.871687825520837</v>
      </c>
      <c r="K7" s="16">
        <f t="shared" si="3"/>
        <v>647.66382881811683</v>
      </c>
      <c r="L7">
        <f>(K7/'Raw Data-Hometrack Assumptions'!$B$9)*12</f>
        <v>22205.616988049722</v>
      </c>
    </row>
    <row r="8" spans="1:12">
      <c r="A8" t="s">
        <v>27</v>
      </c>
      <c r="B8" s="57">
        <f>'NHF Shared Ownership'!H20</f>
        <v>191622.65510267834</v>
      </c>
      <c r="C8" s="35">
        <f>Assumptions!$C$15</f>
        <v>0.25</v>
      </c>
      <c r="D8" s="57">
        <f>C8*B8*Assumptions!$C$16</f>
        <v>9581.1327551339182</v>
      </c>
      <c r="E8">
        <f t="shared" si="0"/>
        <v>143716.99132700876</v>
      </c>
      <c r="F8">
        <f t="shared" si="1"/>
        <v>47905.663775669585</v>
      </c>
      <c r="G8">
        <f t="shared" si="2"/>
        <v>38324.531020535665</v>
      </c>
      <c r="H8" s="16">
        <f>-PMT(Assumptions!$C$19/12,300,G8)</f>
        <v>174.9789134395331</v>
      </c>
      <c r="I8">
        <f>('Raw Data-Hometrack Assumptions'!$B$5*'SO Affordability'!E8)/12</f>
        <v>329.35143845772842</v>
      </c>
      <c r="J8" s="18">
        <f>'Raw Data-Hometrack Assumptions'!$E$16</f>
        <v>82.049347330729177</v>
      </c>
      <c r="K8" s="16">
        <f t="shared" si="3"/>
        <v>586.37969922799061</v>
      </c>
      <c r="L8">
        <f>(K8/'Raw Data-Hometrack Assumptions'!$B$9)*12</f>
        <v>20104.446830673965</v>
      </c>
    </row>
    <row r="9" spans="1:12">
      <c r="A9" t="s">
        <v>28</v>
      </c>
      <c r="B9" s="57">
        <f>'NHF Shared Ownership'!H21</f>
        <v>192713.53335041605</v>
      </c>
      <c r="C9" s="35">
        <f>Assumptions!$C$15</f>
        <v>0.25</v>
      </c>
      <c r="D9" s="57">
        <f>C9*B9*Assumptions!$C$16</f>
        <v>9635.6766675208037</v>
      </c>
      <c r="E9">
        <f t="shared" si="0"/>
        <v>144535.15001281205</v>
      </c>
      <c r="F9">
        <f t="shared" si="1"/>
        <v>48178.383337604013</v>
      </c>
      <c r="G9">
        <f t="shared" si="2"/>
        <v>38542.706670083207</v>
      </c>
      <c r="H9" s="16">
        <f>-PMT(Assumptions!$C$19/12,300,G9)</f>
        <v>175.97504143067113</v>
      </c>
      <c r="I9">
        <f>('Raw Data-Hometrack Assumptions'!$B$5*'SO Affordability'!E9)/12</f>
        <v>331.22638544602762</v>
      </c>
      <c r="J9" s="18">
        <f>'Raw Data-Hometrack Assumptions'!$E$17</f>
        <v>74.180748697916655</v>
      </c>
      <c r="K9" s="16">
        <f t="shared" si="3"/>
        <v>581.38217557461542</v>
      </c>
      <c r="L9">
        <f>(K9/'Raw Data-Hometrack Assumptions'!$B$9)*12</f>
        <v>19933.103162558244</v>
      </c>
    </row>
    <row r="10" spans="1:12">
      <c r="A10" t="s">
        <v>29</v>
      </c>
      <c r="B10" s="57">
        <f>'NHF Shared Ownership'!H22</f>
        <v>175603.17826853722</v>
      </c>
      <c r="C10" s="35">
        <f>Assumptions!$C$15</f>
        <v>0.25</v>
      </c>
      <c r="D10" s="57">
        <f>C10*B10*Assumptions!$C$16</f>
        <v>8780.1589134268615</v>
      </c>
      <c r="E10">
        <f t="shared" si="0"/>
        <v>131702.38370140293</v>
      </c>
      <c r="F10">
        <f t="shared" si="1"/>
        <v>43900.794567134304</v>
      </c>
      <c r="G10">
        <f t="shared" si="2"/>
        <v>35120.635653707446</v>
      </c>
      <c r="H10" s="16">
        <f>-PMT(Assumptions!$C$19/12,300,G10)</f>
        <v>160.35083802326358</v>
      </c>
      <c r="I10">
        <f>('Raw Data-Hometrack Assumptions'!$B$5*'SO Affordability'!E10)/12</f>
        <v>301.81796264904841</v>
      </c>
      <c r="J10" s="18">
        <f>'Raw Data-Hometrack Assumptions'!$E$18</f>
        <v>65.304908854166669</v>
      </c>
      <c r="K10" s="16">
        <f t="shared" si="3"/>
        <v>527.47370952647861</v>
      </c>
      <c r="L10">
        <f>(K10/'Raw Data-Hometrack Assumptions'!$B$9)*12</f>
        <v>18084.812898050695</v>
      </c>
    </row>
    <row r="11" spans="1:12">
      <c r="A11" t="s">
        <v>30</v>
      </c>
      <c r="B11" s="57">
        <f>'NHF Shared Ownership'!H23</f>
        <v>190062.84115260065</v>
      </c>
      <c r="C11" s="35">
        <f>Assumptions!$C$15</f>
        <v>0.25</v>
      </c>
      <c r="D11" s="57">
        <f>C11*B11*Assumptions!$C$16</f>
        <v>9503.1420576300334</v>
      </c>
      <c r="E11">
        <f t="shared" si="0"/>
        <v>142547.13086445048</v>
      </c>
      <c r="F11">
        <f t="shared" si="1"/>
        <v>47515.710288150163</v>
      </c>
      <c r="G11">
        <f t="shared" si="2"/>
        <v>38012.568230520134</v>
      </c>
      <c r="H11" s="16">
        <f>-PMT(Assumptions!$C$19/12,300,G11)</f>
        <v>173.55458002756691</v>
      </c>
      <c r="I11">
        <f>('Raw Data-Hometrack Assumptions'!$B$5*'SO Affordability'!E11)/12</f>
        <v>326.67050823103233</v>
      </c>
      <c r="J11" s="18">
        <f>'Raw Data-Hometrack Assumptions'!$E$19</f>
        <v>61.138784179687505</v>
      </c>
      <c r="K11" s="16">
        <f t="shared" si="3"/>
        <v>561.36387243828676</v>
      </c>
      <c r="L11">
        <f>(K11/'Raw Data-Hometrack Assumptions'!$B$9)*12</f>
        <v>19246.761340741265</v>
      </c>
    </row>
    <row r="12" spans="1:12">
      <c r="A12" t="s">
        <v>31</v>
      </c>
      <c r="B12" s="57">
        <f>'NHF Shared Ownership'!H24</f>
        <v>199661.51196016918</v>
      </c>
      <c r="C12" s="35">
        <f>Assumptions!$C$15</f>
        <v>0.25</v>
      </c>
      <c r="D12" s="57">
        <f>C12*B12*Assumptions!$C$16</f>
        <v>9983.0755980084596</v>
      </c>
      <c r="E12">
        <f t="shared" si="0"/>
        <v>149746.13397012689</v>
      </c>
      <c r="F12">
        <f t="shared" si="1"/>
        <v>49915.377990042296</v>
      </c>
      <c r="G12">
        <f t="shared" si="2"/>
        <v>39932.302392033838</v>
      </c>
      <c r="H12" s="16">
        <f>-PMT(Assumptions!$C$19/12,300,G12)</f>
        <v>182.31954045185566</v>
      </c>
      <c r="I12">
        <f>('Raw Data-Hometrack Assumptions'!$B$5*'SO Affordability'!E12)/12</f>
        <v>343.16822368154084</v>
      </c>
      <c r="J12" s="18">
        <f>'Raw Data-Hometrack Assumptions'!$E$20</f>
        <v>79.015843098958328</v>
      </c>
      <c r="K12" s="16">
        <f t="shared" si="3"/>
        <v>604.50360723235485</v>
      </c>
      <c r="L12">
        <f>(K12/'Raw Data-Hometrack Assumptions'!$B$9)*12</f>
        <v>20725.837962252168</v>
      </c>
    </row>
    <row r="14" spans="1:12" s="85" customFormat="1" ht="53.4">
      <c r="A14" s="42" t="s">
        <v>56</v>
      </c>
      <c r="B14" s="46" t="s">
        <v>73</v>
      </c>
      <c r="C14" s="45" t="s">
        <v>57</v>
      </c>
      <c r="D14" s="45" t="s">
        <v>58</v>
      </c>
      <c r="E14" s="45" t="s">
        <v>65</v>
      </c>
      <c r="F14" s="45" t="s">
        <v>64</v>
      </c>
      <c r="G14" s="45" t="s">
        <v>59</v>
      </c>
      <c r="H14" s="45" t="s">
        <v>60</v>
      </c>
      <c r="I14" s="45" t="s">
        <v>61</v>
      </c>
      <c r="J14" s="45" t="s">
        <v>45</v>
      </c>
      <c r="K14" s="45" t="s">
        <v>62</v>
      </c>
      <c r="L14" s="45" t="s">
        <v>63</v>
      </c>
    </row>
    <row r="15" spans="1:12" s="85" customFormat="1">
      <c r="A15" s="20" t="s">
        <v>22</v>
      </c>
      <c r="B15" s="57">
        <f>Assumptions!C5*(1+'NHF Shared Ownership'!F15)</f>
        <v>222171.80074251487</v>
      </c>
      <c r="C15" s="89">
        <f>Assumptions!$C$15</f>
        <v>0.25</v>
      </c>
      <c r="D15" s="57">
        <f>C15*B15*Assumptions!$C$16</f>
        <v>11108.590037125745</v>
      </c>
      <c r="E15" s="85">
        <f t="shared" ref="E15:E24" si="4">(1-C15)*B15</f>
        <v>166628.85055688614</v>
      </c>
      <c r="F15" s="85">
        <f t="shared" ref="F15:F24" si="5">C15*B15</f>
        <v>55542.950185628717</v>
      </c>
      <c r="G15" s="85">
        <f>F15-D15</f>
        <v>44434.360148502972</v>
      </c>
      <c r="H15" s="16">
        <f>-PMT(Assumptions!$C$19/12,300,G15)</f>
        <v>202.87465628737309</v>
      </c>
      <c r="I15" s="85">
        <f>('Raw Data-Hometrack Assumptions'!$B$5*'SO Affordability'!E15)/12</f>
        <v>381.85778252619747</v>
      </c>
      <c r="J15" s="87">
        <f>'Raw Data-Hometrack Assumptions'!$B$21</f>
        <v>74.950833333333335</v>
      </c>
      <c r="K15" s="16">
        <f>SUM(H15:J15)</f>
        <v>659.68327214690385</v>
      </c>
      <c r="L15" s="85">
        <f>(K15/'Raw Data-Hometrack Assumptions'!$B$9)*12</f>
        <v>22617.712187893849</v>
      </c>
    </row>
    <row r="16" spans="1:12" s="85" customFormat="1">
      <c r="A16" s="85" t="s">
        <v>23</v>
      </c>
      <c r="B16" s="57">
        <f>Assumptions!D5*(1+'NHF Shared Ownership'!F16)</f>
        <v>231947.47906752248</v>
      </c>
      <c r="C16" s="89">
        <f>Assumptions!$C$15</f>
        <v>0.25</v>
      </c>
      <c r="D16" s="57">
        <f>C16*B16*Assumptions!$C$16</f>
        <v>11597.373953376125</v>
      </c>
      <c r="E16" s="85">
        <f t="shared" si="4"/>
        <v>173960.60930064187</v>
      </c>
      <c r="F16" s="85">
        <f t="shared" si="5"/>
        <v>57986.86976688062</v>
      </c>
      <c r="G16" s="85">
        <f t="shared" ref="G16:G24" si="6">F16-D16</f>
        <v>46389.495813504494</v>
      </c>
      <c r="H16" s="16">
        <f>-PMT(Assumptions!$C$19/12,300,G16)</f>
        <v>211.80124991236829</v>
      </c>
      <c r="I16" s="85">
        <f>('Raw Data-Hometrack Assumptions'!$B$5*'SO Affordability'!E16)/12</f>
        <v>398.65972964730423</v>
      </c>
      <c r="J16" s="87">
        <f>'Raw Data-Hometrack Assumptions'!$B$12</f>
        <v>107.48083333333334</v>
      </c>
      <c r="K16" s="16">
        <f>SUM(H16:J16)</f>
        <v>717.94181289300582</v>
      </c>
      <c r="L16" s="85">
        <f>(K16/'Raw Data-Hometrack Assumptions'!$B$9)*12</f>
        <v>24615.147870617344</v>
      </c>
    </row>
    <row r="17" spans="1:13" s="85" customFormat="1">
      <c r="A17" s="85" t="s">
        <v>24</v>
      </c>
      <c r="B17" s="57">
        <f>Assumptions!E5*(1+'NHF Shared Ownership'!F17)</f>
        <v>273145.94780550199</v>
      </c>
      <c r="C17" s="89">
        <f>Assumptions!$C$15</f>
        <v>0.25</v>
      </c>
      <c r="D17" s="57">
        <f>C17*B17*Assumptions!$C$16</f>
        <v>13657.2973902751</v>
      </c>
      <c r="E17" s="85">
        <f t="shared" si="4"/>
        <v>204859.46085412649</v>
      </c>
      <c r="F17" s="85">
        <f t="shared" si="5"/>
        <v>68286.486951375497</v>
      </c>
      <c r="G17" s="85">
        <f t="shared" si="6"/>
        <v>54629.1895611004</v>
      </c>
      <c r="H17" s="16">
        <f>-PMT(Assumptions!$C$19/12,300,G17)</f>
        <v>249.42134911870409</v>
      </c>
      <c r="I17" s="85">
        <f>('Raw Data-Hometrack Assumptions'!$B$5*'SO Affordability'!E17)/12</f>
        <v>469.46959779070653</v>
      </c>
      <c r="J17" s="87">
        <f>'Raw Data-Hometrack Assumptions'!$B$13</f>
        <v>117.01333333333334</v>
      </c>
      <c r="K17" s="16">
        <f t="shared" ref="K17:K24" si="7">SUM(H17:J17)</f>
        <v>835.90428024274388</v>
      </c>
      <c r="L17" s="85">
        <f>(K17/'Raw Data-Hometrack Assumptions'!$B$9)*12</f>
        <v>28659.575322608362</v>
      </c>
    </row>
    <row r="18" spans="1:13" s="85" customFormat="1">
      <c r="A18" s="85" t="s">
        <v>25</v>
      </c>
      <c r="B18" s="57">
        <f>Assumptions!F5*(1+'NHF Shared Ownership'!F18)</f>
        <v>220865.64875309769</v>
      </c>
      <c r="C18" s="89">
        <f>Assumptions!$C$15</f>
        <v>0.25</v>
      </c>
      <c r="D18" s="57">
        <f>C18*B18*Assumptions!$C$16</f>
        <v>11043.282437654885</v>
      </c>
      <c r="E18" s="85">
        <f t="shared" si="4"/>
        <v>165649.23656482325</v>
      </c>
      <c r="F18" s="85">
        <f t="shared" si="5"/>
        <v>55216.412188274422</v>
      </c>
      <c r="G18" s="85">
        <f t="shared" si="6"/>
        <v>44173.129750619541</v>
      </c>
      <c r="H18" s="16">
        <f>-PMT(Assumptions!$C$19/12,300,G18)</f>
        <v>201.68195255527712</v>
      </c>
      <c r="I18" s="85">
        <f>('Raw Data-Hometrack Assumptions'!$B$5*'SO Affordability'!E18)/12</f>
        <v>379.61283379438663</v>
      </c>
      <c r="J18" s="87">
        <f>'Raw Data-Hometrack Assumptions'!$B$14</f>
        <v>94.331666666666663</v>
      </c>
      <c r="K18" s="16">
        <f t="shared" si="7"/>
        <v>675.62645301633052</v>
      </c>
      <c r="L18" s="85">
        <f>(K18/'Raw Data-Hometrack Assumptions'!$B$9)*12</f>
        <v>23164.335531988476</v>
      </c>
    </row>
    <row r="19" spans="1:13" s="85" customFormat="1">
      <c r="A19" s="85" t="s">
        <v>26</v>
      </c>
      <c r="B19" s="57">
        <f>Assumptions!G5*(1+'NHF Shared Ownership'!F19)</f>
        <v>190540.63409877152</v>
      </c>
      <c r="C19" s="89">
        <f>Assumptions!$C$15</f>
        <v>0.25</v>
      </c>
      <c r="D19" s="57">
        <f>C19*B19*Assumptions!$C$16</f>
        <v>9527.0317049385758</v>
      </c>
      <c r="E19" s="85">
        <f t="shared" si="4"/>
        <v>142905.47557407865</v>
      </c>
      <c r="F19" s="85">
        <f t="shared" si="5"/>
        <v>47635.158524692881</v>
      </c>
      <c r="G19" s="85">
        <f t="shared" si="6"/>
        <v>38108.126819754303</v>
      </c>
      <c r="H19" s="16">
        <f>-PMT(Assumptions!$C$19/12,300,G19)</f>
        <v>173.99087337986001</v>
      </c>
      <c r="I19" s="85">
        <f>('Raw Data-Hometrack Assumptions'!$B$5*'SO Affordability'!E19)/12</f>
        <v>327.49171485726356</v>
      </c>
      <c r="J19" s="87">
        <f>'Raw Data-Hometrack Assumptions'!$B$15</f>
        <v>93.954166666666666</v>
      </c>
      <c r="K19" s="16">
        <f t="shared" si="7"/>
        <v>595.43675490379019</v>
      </c>
      <c r="L19" s="85">
        <f>(K19/'Raw Data-Hometrack Assumptions'!$B$9)*12</f>
        <v>20414.974453844239</v>
      </c>
    </row>
    <row r="20" spans="1:13" s="85" customFormat="1">
      <c r="A20" s="85" t="s">
        <v>27</v>
      </c>
      <c r="B20" s="57">
        <f>Assumptions!H5*(1+'NHF Shared Ownership'!F20)</f>
        <v>177232.64590155502</v>
      </c>
      <c r="C20" s="89">
        <f>Assumptions!$C$15</f>
        <v>0.25</v>
      </c>
      <c r="D20" s="57">
        <f>C20*B20*Assumptions!$C$16</f>
        <v>8861.6322950777521</v>
      </c>
      <c r="E20" s="85">
        <f t="shared" si="4"/>
        <v>132924.48442616628</v>
      </c>
      <c r="F20" s="85">
        <f t="shared" si="5"/>
        <v>44308.161475388755</v>
      </c>
      <c r="G20" s="85">
        <f t="shared" si="6"/>
        <v>35446.529180311001</v>
      </c>
      <c r="H20" s="16">
        <f>-PMT(Assumptions!$C$19/12,300,G20)</f>
        <v>161.83877521815089</v>
      </c>
      <c r="I20" s="85">
        <f>('Raw Data-Hometrack Assumptions'!$B$5*'SO Affordability'!E20)/12</f>
        <v>304.61861014329776</v>
      </c>
      <c r="J20" s="87">
        <f>'Raw Data-Hometrack Assumptions'!$B$16</f>
        <v>81.255833333333342</v>
      </c>
      <c r="K20" s="16">
        <f t="shared" si="7"/>
        <v>547.71321869478197</v>
      </c>
      <c r="L20" s="85">
        <f>(K20/'Raw Data-Hometrack Assumptions'!$B$9)*12</f>
        <v>18778.738926678241</v>
      </c>
    </row>
    <row r="21" spans="1:13" s="85" customFormat="1">
      <c r="A21" s="85" t="s">
        <v>28</v>
      </c>
      <c r="B21" s="57">
        <f>Assumptions!I5*(1+'NHF Shared Ownership'!F21)</f>
        <v>178508.74934966108</v>
      </c>
      <c r="C21" s="89">
        <f>Assumptions!$C$15</f>
        <v>0.25</v>
      </c>
      <c r="D21" s="57">
        <f>C21*B21*Assumptions!$C$16</f>
        <v>8925.4374674830542</v>
      </c>
      <c r="E21" s="85">
        <f t="shared" si="4"/>
        <v>133881.56201224582</v>
      </c>
      <c r="F21" s="85">
        <f t="shared" si="5"/>
        <v>44627.187337415271</v>
      </c>
      <c r="G21" s="85">
        <f t="shared" si="6"/>
        <v>35701.749869932217</v>
      </c>
      <c r="H21" s="16">
        <f>-PMT(Assumptions!$C$19/12,300,G21)</f>
        <v>163.00404033080886</v>
      </c>
      <c r="I21" s="85">
        <f>('Raw Data-Hometrack Assumptions'!$B$5*'SO Affordability'!E21)/12</f>
        <v>306.81191294473001</v>
      </c>
      <c r="J21" s="87">
        <f>'Raw Data-Hometrack Assumptions'!$B$17</f>
        <v>73.463333333333324</v>
      </c>
      <c r="K21" s="16">
        <f t="shared" si="7"/>
        <v>543.27928660887221</v>
      </c>
      <c r="L21" s="85">
        <f>(K21/'Raw Data-Hometrack Assumptions'!$B$9)*12</f>
        <v>18626.718398018478</v>
      </c>
    </row>
    <row r="22" spans="1:13" s="85" customFormat="1">
      <c r="A22" s="85" t="s">
        <v>29</v>
      </c>
      <c r="B22" s="57">
        <f>Assumptions!J5*(1+'NHF Shared Ownership'!F22)</f>
        <v>163505.41066831688</v>
      </c>
      <c r="C22" s="89">
        <f>Assumptions!$C$15</f>
        <v>0.25</v>
      </c>
      <c r="D22" s="57">
        <f>C22*B22*Assumptions!$C$16</f>
        <v>8175.2705334158445</v>
      </c>
      <c r="E22" s="85">
        <f t="shared" si="4"/>
        <v>122629.05800123766</v>
      </c>
      <c r="F22" s="85">
        <f t="shared" si="5"/>
        <v>40876.35266707922</v>
      </c>
      <c r="G22" s="85">
        <f t="shared" si="6"/>
        <v>32701.082133663374</v>
      </c>
      <c r="H22" s="16">
        <f>-PMT(Assumptions!$C$19/12,300,G22)</f>
        <v>149.30384450051827</v>
      </c>
      <c r="I22" s="85">
        <f>('Raw Data-Hometrack Assumptions'!$B$5*'SO Affordability'!E22)/12</f>
        <v>281.02492458616967</v>
      </c>
      <c r="J22" s="87">
        <f>'Raw Data-Hometrack Assumptions'!$B$18</f>
        <v>64.673333333333332</v>
      </c>
      <c r="K22" s="16">
        <f t="shared" si="7"/>
        <v>495.00210242002129</v>
      </c>
      <c r="L22" s="85">
        <f>(K22/'Raw Data-Hometrack Assumptions'!$B$9)*12</f>
        <v>16971.50065440073</v>
      </c>
    </row>
    <row r="23" spans="1:13" s="85" customFormat="1">
      <c r="A23" s="85" t="s">
        <v>30</v>
      </c>
      <c r="B23" s="57">
        <f>Assumptions!K5*(1+'NHF Shared Ownership'!F23)</f>
        <v>180277.5458256391</v>
      </c>
      <c r="C23" s="89">
        <f>Assumptions!$C$15</f>
        <v>0.25</v>
      </c>
      <c r="D23" s="57">
        <f>C23*B23*Assumptions!$C$16</f>
        <v>9013.877291281955</v>
      </c>
      <c r="E23" s="85">
        <f t="shared" si="4"/>
        <v>135208.15936922934</v>
      </c>
      <c r="F23" s="85">
        <f t="shared" si="5"/>
        <v>45069.386456409775</v>
      </c>
      <c r="G23" s="85">
        <f t="shared" si="6"/>
        <v>36055.50916512782</v>
      </c>
      <c r="H23" s="16">
        <f>-PMT(Assumptions!$C$19/12,300,G23)</f>
        <v>164.6192047031868</v>
      </c>
      <c r="I23" s="85">
        <f>('Raw Data-Hometrack Assumptions'!$B$5*'SO Affordability'!E23)/12</f>
        <v>309.85203188781725</v>
      </c>
      <c r="J23" s="87">
        <f>'Raw Data-Hometrack Assumptions'!$B$19</f>
        <v>60.547500000000007</v>
      </c>
      <c r="K23" s="16">
        <f t="shared" si="7"/>
        <v>535.01873659100409</v>
      </c>
      <c r="L23" s="85">
        <f>(K23/'Raw Data-Hometrack Assumptions'!$B$9)*12</f>
        <v>18343.499540262997</v>
      </c>
    </row>
    <row r="24" spans="1:13" s="85" customFormat="1">
      <c r="A24" s="85" t="s">
        <v>31</v>
      </c>
      <c r="B24" s="57">
        <f>Assumptions!L5*(1+'NHF Shared Ownership'!F24)</f>
        <v>184975.05741139385</v>
      </c>
      <c r="C24" s="89">
        <f>Assumptions!$C$15</f>
        <v>0.25</v>
      </c>
      <c r="D24" s="57">
        <f>C24*B24*Assumptions!$C$16</f>
        <v>9248.7528705696932</v>
      </c>
      <c r="E24" s="85">
        <f t="shared" si="4"/>
        <v>138731.29305854539</v>
      </c>
      <c r="F24" s="85">
        <f t="shared" si="5"/>
        <v>46243.764352848462</v>
      </c>
      <c r="G24" s="85">
        <f t="shared" si="6"/>
        <v>36995.011482278773</v>
      </c>
      <c r="H24" s="16">
        <f>-PMT(Assumptions!$C$19/12,300,G24)</f>
        <v>168.90870519416239</v>
      </c>
      <c r="I24" s="85">
        <f>('Raw Data-Hometrack Assumptions'!$B$5*'SO Affordability'!E24)/12</f>
        <v>317.92587992583316</v>
      </c>
      <c r="J24" s="87">
        <f>'Raw Data-Hometrack Assumptions'!$B$20</f>
        <v>78.251666666666665</v>
      </c>
      <c r="K24" s="16">
        <f t="shared" si="7"/>
        <v>565.08625178666216</v>
      </c>
      <c r="L24" s="85">
        <f>(K24/'Raw Data-Hometrack Assumptions'!$B$9)*12</f>
        <v>19374.385775542702</v>
      </c>
    </row>
    <row r="25" spans="1:13" s="85" customFormat="1">
      <c r="B25" s="57"/>
      <c r="C25" s="89"/>
      <c r="D25" s="57"/>
      <c r="H25" s="16"/>
      <c r="J25" s="87"/>
      <c r="K25" s="16"/>
    </row>
    <row r="26" spans="1:13" ht="28.8">
      <c r="B26" s="46" t="s">
        <v>101</v>
      </c>
      <c r="D26" s="109">
        <v>2020</v>
      </c>
      <c r="E26" s="109"/>
      <c r="F26" s="109"/>
      <c r="G26" s="109"/>
      <c r="H26" s="109"/>
      <c r="I26" s="109"/>
      <c r="J26" s="109"/>
      <c r="K26" s="109"/>
      <c r="L26" s="109"/>
      <c r="M26" s="109"/>
    </row>
    <row r="27" spans="1:13">
      <c r="A27" s="20" t="s">
        <v>22</v>
      </c>
      <c r="B27">
        <v>320255.18184675317</v>
      </c>
      <c r="C27" s="35">
        <f>'Raw Data-Hometrack Assumptions'!$B$3</f>
        <v>0.25</v>
      </c>
      <c r="D27">
        <f>C27*B27*'Raw Data-Hometrack Assumptions'!$B$8</f>
        <v>16012.759092337659</v>
      </c>
      <c r="E27">
        <f>(1-C27)*B27</f>
        <v>240191.38638506486</v>
      </c>
      <c r="F27">
        <f>C27*B27</f>
        <v>80063.795461688293</v>
      </c>
      <c r="G27">
        <f>F27-D27</f>
        <v>64051.036369350637</v>
      </c>
      <c r="H27" s="16">
        <f>-PMT('Raw Data-Hometrack Assumptions'!$B$4/12,300,G27)</f>
        <v>294.49169674135334</v>
      </c>
      <c r="I27">
        <f>('Raw Data-Hometrack Assumptions'!$B$5*'SO Affordability'!E27)/12</f>
        <v>550.43859379910703</v>
      </c>
      <c r="J27" s="18">
        <f>'Raw Data-Hometrack Assumptions'!$F21</f>
        <v>85.627285621973741</v>
      </c>
      <c r="K27" s="16">
        <f>SUM(H27:J27)</f>
        <v>930.5575761624342</v>
      </c>
      <c r="L27">
        <f>(K27/'Raw Data-Hometrack Assumptions'!$B$9)*12</f>
        <v>31904.831182712031</v>
      </c>
    </row>
    <row r="28" spans="1:13">
      <c r="A28" t="s">
        <v>23</v>
      </c>
      <c r="B28">
        <v>308073.10658668744</v>
      </c>
      <c r="C28" s="35">
        <f>'Raw Data-Hometrack Assumptions'!$B$3</f>
        <v>0.25</v>
      </c>
      <c r="D28">
        <f>C28*B28*'Raw Data-Hometrack Assumptions'!$B$8</f>
        <v>15403.655329334373</v>
      </c>
      <c r="E28">
        <f t="shared" ref="E28:E36" si="8">(1-C28)*B28</f>
        <v>231054.82994001557</v>
      </c>
      <c r="F28">
        <f t="shared" ref="F28:F36" si="9">C28*B28</f>
        <v>77018.27664667186</v>
      </c>
      <c r="G28">
        <f t="shared" ref="G28:G36" si="10">F28-D28</f>
        <v>61614.621317337485</v>
      </c>
      <c r="H28" s="16">
        <f>-PMT('Raw Data-Hometrack Assumptions'!$B$4/12,300,G28)</f>
        <v>283.28962971317856</v>
      </c>
      <c r="I28">
        <f>('Raw Data-Hometrack Assumptions'!$B$5*'SO Affordability'!E28)/12</f>
        <v>529.50065194586898</v>
      </c>
      <c r="J28" s="18">
        <f>'Raw Data-Hometrack Assumptions'!$F12</f>
        <v>122.79105655557875</v>
      </c>
      <c r="K28" s="16">
        <f>SUM(H28:J28)</f>
        <v>935.58133821462627</v>
      </c>
      <c r="L28">
        <f>(K28/'Raw Data-Hometrack Assumptions'!$B$9)*12</f>
        <v>32077.074453072899</v>
      </c>
    </row>
    <row r="29" spans="1:13">
      <c r="A29" t="s">
        <v>24</v>
      </c>
      <c r="B29">
        <v>479827.32551175519</v>
      </c>
      <c r="C29" s="35">
        <f>'Raw Data-Hometrack Assumptions'!$B$3</f>
        <v>0.25</v>
      </c>
      <c r="D29">
        <f>C29*B29*'Raw Data-Hometrack Assumptions'!$B$8</f>
        <v>23991.366275587759</v>
      </c>
      <c r="E29">
        <f t="shared" si="8"/>
        <v>359870.49413381639</v>
      </c>
      <c r="F29">
        <f t="shared" si="9"/>
        <v>119956.8313779388</v>
      </c>
      <c r="G29">
        <f t="shared" si="10"/>
        <v>95965.465102351038</v>
      </c>
      <c r="H29" s="16">
        <f>-PMT('Raw Data-Hometrack Assumptions'!$B$4/12,300,G29)</f>
        <v>441.22678177441338</v>
      </c>
      <c r="I29">
        <f>('Raw Data-Hometrack Assumptions'!$B$5*'SO Affordability'!E29)/12</f>
        <v>824.70321572332921</v>
      </c>
      <c r="J29" s="18">
        <f>'Raw Data-Hometrack Assumptions'!$F13</f>
        <v>133.68142379887999</v>
      </c>
      <c r="K29" s="16">
        <f t="shared" ref="K29:K36" si="11">SUM(H29:J29)</f>
        <v>1399.6114212966224</v>
      </c>
      <c r="L29">
        <f>(K29/'Raw Data-Hometrack Assumptions'!$B$9)*12</f>
        <v>47986.677301598487</v>
      </c>
    </row>
    <row r="30" spans="1:13">
      <c r="A30" t="s">
        <v>25</v>
      </c>
      <c r="B30">
        <v>290387.95196361444</v>
      </c>
      <c r="C30" s="35">
        <f>'Raw Data-Hometrack Assumptions'!$B$3</f>
        <v>0.25</v>
      </c>
      <c r="D30">
        <f>C30*B30*'Raw Data-Hometrack Assumptions'!$B$8</f>
        <v>14519.397598180723</v>
      </c>
      <c r="E30">
        <f t="shared" si="8"/>
        <v>217790.96397271083</v>
      </c>
      <c r="F30">
        <f t="shared" si="9"/>
        <v>72596.98799090361</v>
      </c>
      <c r="G30">
        <f t="shared" si="10"/>
        <v>58077.590392722886</v>
      </c>
      <c r="H30" s="16">
        <f>-PMT('Raw Data-Hometrack Assumptions'!$B$4/12,300,G30)</f>
        <v>267.02718811254857</v>
      </c>
      <c r="I30">
        <f>('Raw Data-Hometrack Assumptions'!$B$5*'SO Affordability'!E30)/12</f>
        <v>499.10429243746233</v>
      </c>
      <c r="J30" s="18">
        <f>'Raw Data-Hometrack Assumptions'!$F14</f>
        <v>107.76884266170249</v>
      </c>
      <c r="K30" s="16">
        <f t="shared" si="11"/>
        <v>873.90032321171338</v>
      </c>
      <c r="L30">
        <f>(K30/'Raw Data-Hometrack Assumptions'!$B$9)*12</f>
        <v>29962.296795830174</v>
      </c>
    </row>
    <row r="31" spans="1:13">
      <c r="A31" t="s">
        <v>26</v>
      </c>
      <c r="B31">
        <v>243035.94253388632</v>
      </c>
      <c r="C31" s="35">
        <f>'Raw Data-Hometrack Assumptions'!$B$3</f>
        <v>0.25</v>
      </c>
      <c r="D31">
        <f>C31*B31*'Raw Data-Hometrack Assumptions'!$B$8</f>
        <v>12151.797126694317</v>
      </c>
      <c r="E31">
        <f t="shared" si="8"/>
        <v>182276.95690041475</v>
      </c>
      <c r="F31">
        <f t="shared" si="9"/>
        <v>60758.985633471581</v>
      </c>
      <c r="G31">
        <f t="shared" si="10"/>
        <v>48607.188506777267</v>
      </c>
      <c r="H31" s="16">
        <f>-PMT('Raw Data-Hometrack Assumptions'!$B$4/12,300,G31)</f>
        <v>223.48449343806877</v>
      </c>
      <c r="I31">
        <f>('Raw Data-Hometrack Assumptions'!$B$5*'SO Affordability'!E31)/12</f>
        <v>417.71802623011712</v>
      </c>
      <c r="J31" s="18">
        <f>'Raw Data-Hometrack Assumptions'!$F15</f>
        <v>107.33756926706874</v>
      </c>
      <c r="K31" s="16">
        <f t="shared" si="11"/>
        <v>748.54008893525463</v>
      </c>
      <c r="L31">
        <f>(K31/'Raw Data-Hometrack Assumptions'!$B$9)*12</f>
        <v>25664.2316206373</v>
      </c>
    </row>
    <row r="32" spans="1:13">
      <c r="A32" t="s">
        <v>27</v>
      </c>
      <c r="B32">
        <v>213526.74176016342</v>
      </c>
      <c r="C32" s="35">
        <f>'Raw Data-Hometrack Assumptions'!$B$3</f>
        <v>0.25</v>
      </c>
      <c r="D32">
        <f>C32*B32*'Raw Data-Hometrack Assumptions'!$B$8</f>
        <v>10676.337088008171</v>
      </c>
      <c r="E32">
        <f t="shared" si="8"/>
        <v>160145.05632012256</v>
      </c>
      <c r="F32">
        <f t="shared" si="9"/>
        <v>53381.685440040856</v>
      </c>
      <c r="G32">
        <f t="shared" si="10"/>
        <v>42705.348352032684</v>
      </c>
      <c r="H32" s="16">
        <f>-PMT('Raw Data-Hometrack Assumptions'!$B$4/12,300,G32)</f>
        <v>196.34921164427314</v>
      </c>
      <c r="I32">
        <f>('Raw Data-Hometrack Assumptions'!$B$5*'SO Affordability'!E32)/12</f>
        <v>366.99908740028087</v>
      </c>
      <c r="J32" s="18">
        <f>'Raw Data-Hometrack Assumptions'!$F16</f>
        <v>92.830408146916255</v>
      </c>
      <c r="K32" s="16">
        <f t="shared" si="11"/>
        <v>656.17870719147027</v>
      </c>
      <c r="L32">
        <f>(K32/'Raw Data-Hometrack Assumptions'!$B$9)*12</f>
        <v>22497.555675136126</v>
      </c>
    </row>
    <row r="33" spans="1:12">
      <c r="A33" t="s">
        <v>28</v>
      </c>
      <c r="B33">
        <v>197863.90646105725</v>
      </c>
      <c r="C33" s="35">
        <f>'Raw Data-Hometrack Assumptions'!$B$3</f>
        <v>0.25</v>
      </c>
      <c r="D33">
        <f>C33*B33*'Raw Data-Hometrack Assumptions'!$B$8</f>
        <v>9893.1953230528634</v>
      </c>
      <c r="E33">
        <f t="shared" si="8"/>
        <v>148397.92984579294</v>
      </c>
      <c r="F33">
        <f t="shared" si="9"/>
        <v>49465.976615264313</v>
      </c>
      <c r="G33">
        <f t="shared" si="10"/>
        <v>39572.781292211454</v>
      </c>
      <c r="H33" s="16">
        <f>-PMT('Raw Data-Hometrack Assumptions'!$B$4/12,300,G33)</f>
        <v>181.94640037228774</v>
      </c>
      <c r="I33">
        <f>('Raw Data-Hometrack Assumptions'!$B$5*'SO Affordability'!E33)/12</f>
        <v>340.07858922994217</v>
      </c>
      <c r="J33" s="18">
        <f>'Raw Data-Hometrack Assumptions'!$F17</f>
        <v>83.927897080204986</v>
      </c>
      <c r="K33" s="16">
        <f t="shared" si="11"/>
        <v>605.95288668243484</v>
      </c>
      <c r="L33">
        <f>(K33/'Raw Data-Hometrack Assumptions'!$B$9)*12</f>
        <v>20775.527543397766</v>
      </c>
    </row>
    <row r="34" spans="1:12">
      <c r="A34" t="s">
        <v>29</v>
      </c>
      <c r="B34">
        <v>184787.19210174633</v>
      </c>
      <c r="C34" s="35">
        <f>'Raw Data-Hometrack Assumptions'!$B$3</f>
        <v>0.25</v>
      </c>
      <c r="D34">
        <f>C34*B34*'Raw Data-Hometrack Assumptions'!$B$8</f>
        <v>9239.3596050873166</v>
      </c>
      <c r="E34">
        <f t="shared" si="8"/>
        <v>138590.39407630975</v>
      </c>
      <c r="F34">
        <f t="shared" si="9"/>
        <v>46196.798025436583</v>
      </c>
      <c r="G34">
        <f t="shared" si="10"/>
        <v>36957.438420349266</v>
      </c>
      <c r="H34" s="16">
        <f>-PMT('Raw Data-Hometrack Assumptions'!$B$4/12,300,G34)</f>
        <v>169.92166504320181</v>
      </c>
      <c r="I34">
        <f>('Raw Data-Hometrack Assumptions'!$B$5*'SO Affordability'!E34)/12</f>
        <v>317.60298642487652</v>
      </c>
      <c r="J34" s="18">
        <f>'Raw Data-Hometrack Assumptions'!$F18</f>
        <v>73.885796050189995</v>
      </c>
      <c r="K34" s="16">
        <f t="shared" si="11"/>
        <v>561.41044751826837</v>
      </c>
      <c r="L34">
        <f>(K34/'Raw Data-Hometrack Assumptions'!$B$9)*12</f>
        <v>19248.358200626346</v>
      </c>
    </row>
    <row r="35" spans="1:12">
      <c r="A35" t="s">
        <v>30</v>
      </c>
      <c r="B35">
        <v>201542.2435410535</v>
      </c>
      <c r="C35" s="35">
        <f>'Raw Data-Hometrack Assumptions'!$B$3</f>
        <v>0.25</v>
      </c>
      <c r="D35">
        <f>C35*B35*'Raw Data-Hometrack Assumptions'!$B$8</f>
        <v>10077.112177052675</v>
      </c>
      <c r="E35">
        <f t="shared" si="8"/>
        <v>151156.68265579012</v>
      </c>
      <c r="F35">
        <f t="shared" si="9"/>
        <v>50385.560885263374</v>
      </c>
      <c r="G35">
        <f t="shared" si="10"/>
        <v>40308.448708210701</v>
      </c>
      <c r="H35" s="16">
        <f>-PMT('Raw Data-Hometrack Assumptions'!$B$4/12,300,G35)</f>
        <v>185.3288272283599</v>
      </c>
      <c r="I35">
        <f>('Raw Data-Hometrack Assumptions'!$B$5*'SO Affordability'!E35)/12</f>
        <v>346.40073108618571</v>
      </c>
      <c r="J35" s="18">
        <f>'Raw Data-Hometrack Assumptions'!$F19</f>
        <v>69.172253937978752</v>
      </c>
      <c r="K35" s="16">
        <f t="shared" si="11"/>
        <v>600.90181225252434</v>
      </c>
      <c r="L35">
        <f>(K35/'Raw Data-Hometrack Assumptions'!$B$9)*12</f>
        <v>20602.347848657977</v>
      </c>
    </row>
    <row r="36" spans="1:12">
      <c r="A36" t="s">
        <v>31</v>
      </c>
      <c r="B36">
        <v>192404.83636526653</v>
      </c>
      <c r="C36" s="35">
        <f>'Raw Data-Hometrack Assumptions'!$B$3</f>
        <v>0.25</v>
      </c>
      <c r="D36">
        <f>C36*B36*'Raw Data-Hometrack Assumptions'!$B$8</f>
        <v>9620.2418182633264</v>
      </c>
      <c r="E36">
        <f t="shared" si="8"/>
        <v>144303.62727394991</v>
      </c>
      <c r="F36">
        <f t="shared" si="9"/>
        <v>48101.209091316632</v>
      </c>
      <c r="G36">
        <f t="shared" si="10"/>
        <v>38480.967273053306</v>
      </c>
      <c r="H36" s="16">
        <f>-PMT('Raw Data-Hometrack Assumptions'!$B$4/12,300,G36)</f>
        <v>176.92649466500501</v>
      </c>
      <c r="I36">
        <f>('Raw Data-Hometrack Assumptions'!$B$5*'SO Affordability'!E36)/12</f>
        <v>330.69581250280186</v>
      </c>
      <c r="J36" s="18">
        <f>'Raw Data-Hometrack Assumptions'!$F20</f>
        <v>89.398309719422485</v>
      </c>
      <c r="K36" s="16">
        <f t="shared" si="11"/>
        <v>597.02061688722938</v>
      </c>
      <c r="L36">
        <f>(K36/'Raw Data-Hometrack Assumptions'!$B$9)*12</f>
        <v>20469.278293276438</v>
      </c>
    </row>
  </sheetData>
  <mergeCells count="2">
    <mergeCell ref="C1:L1"/>
    <mergeCell ref="D26:M2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24"/>
  <sheetViews>
    <sheetView workbookViewId="0">
      <pane xSplit="1" ySplit="1" topLeftCell="B8" activePane="bottomRight" state="frozen"/>
      <selection pane="topRight" activeCell="B1" sqref="B1"/>
      <selection pane="bottomLeft" activeCell="A2" sqref="A2"/>
      <selection pane="bottomRight" activeCell="G4" sqref="G4"/>
    </sheetView>
  </sheetViews>
  <sheetFormatPr defaultRowHeight="14.4"/>
  <cols>
    <col min="1" max="1" width="24.44140625" bestFit="1" customWidth="1"/>
    <col min="2" max="2" width="18.5546875" customWidth="1"/>
    <col min="3" max="3" width="16.33203125" customWidth="1"/>
    <col min="4" max="4" width="17" customWidth="1"/>
    <col min="5" max="5" width="15.6640625" customWidth="1"/>
    <col min="6" max="6" width="18.88671875" customWidth="1"/>
    <col min="7" max="12" width="18.88671875" style="22" customWidth="1"/>
    <col min="13" max="21" width="18.88671875" customWidth="1"/>
    <col min="22" max="22" width="16.44140625" customWidth="1"/>
    <col min="23" max="25" width="18.6640625" customWidth="1"/>
    <col min="26" max="26" width="20.109375" customWidth="1"/>
    <col min="27" max="27" width="15.33203125" customWidth="1"/>
    <col min="28" max="29" width="10.109375" bestFit="1" customWidth="1"/>
    <col min="31" max="31" width="12.5546875" bestFit="1" customWidth="1"/>
  </cols>
  <sheetData>
    <row r="1" spans="1:23" ht="57.6">
      <c r="A1" s="1" t="s">
        <v>0</v>
      </c>
      <c r="B1" s="2" t="s">
        <v>1</v>
      </c>
      <c r="C1" s="2" t="s">
        <v>2</v>
      </c>
      <c r="D1" s="2" t="s">
        <v>3</v>
      </c>
      <c r="E1" s="2" t="s">
        <v>4</v>
      </c>
      <c r="F1" s="2" t="s">
        <v>5</v>
      </c>
      <c r="G1" s="4" t="s">
        <v>6</v>
      </c>
      <c r="H1" s="4" t="s">
        <v>20</v>
      </c>
      <c r="I1" s="4" t="s">
        <v>7</v>
      </c>
      <c r="J1" s="4" t="s">
        <v>8</v>
      </c>
      <c r="K1" s="4" t="s">
        <v>9</v>
      </c>
      <c r="L1" s="4" t="s">
        <v>10</v>
      </c>
      <c r="M1" s="4" t="s">
        <v>11</v>
      </c>
      <c r="N1" s="4" t="s">
        <v>12</v>
      </c>
      <c r="O1" s="4" t="s">
        <v>13</v>
      </c>
      <c r="P1" s="4" t="s">
        <v>14</v>
      </c>
      <c r="Q1" s="4" t="s">
        <v>15</v>
      </c>
      <c r="R1" s="4" t="s">
        <v>16</v>
      </c>
      <c r="S1" s="4" t="s">
        <v>18</v>
      </c>
      <c r="T1" s="4" t="s">
        <v>19</v>
      </c>
      <c r="U1" s="4" t="s">
        <v>21</v>
      </c>
    </row>
    <row r="2" spans="1:23">
      <c r="A2" s="5" t="s">
        <v>22</v>
      </c>
      <c r="B2" s="6">
        <v>178572</v>
      </c>
      <c r="C2" s="6">
        <v>15000</v>
      </c>
      <c r="D2" s="6">
        <v>27000</v>
      </c>
      <c r="E2" s="6">
        <v>668</v>
      </c>
      <c r="F2" s="7">
        <v>0.42</v>
      </c>
      <c r="G2" s="8">
        <f t="shared" ref="G2:G11" si="0">F2*B2</f>
        <v>75000.239999999991</v>
      </c>
      <c r="H2" s="17">
        <f t="shared" ref="H2:H11" si="1">C2/G2</f>
        <v>0.19999936000204802</v>
      </c>
      <c r="I2" s="8">
        <f t="shared" ref="I2:I11" si="2">(1-F2)*B2</f>
        <v>103571.76000000001</v>
      </c>
      <c r="J2" s="8">
        <f t="shared" ref="J2:J11" si="3">G2-C2</f>
        <v>60000.239999999991</v>
      </c>
      <c r="K2" s="8">
        <f>J2+I2</f>
        <v>163572</v>
      </c>
      <c r="L2" s="9">
        <f>I2/K2</f>
        <v>0.63318758711759959</v>
      </c>
      <c r="M2" s="10">
        <f>1-L2</f>
        <v>0.36681241288240041</v>
      </c>
      <c r="N2" s="8">
        <f t="shared" ref="N2:N11" si="4">L2*E2</f>
        <v>422.9693081945565</v>
      </c>
      <c r="O2" s="8">
        <f t="shared" ref="O2:O11" si="5">M2*E2</f>
        <v>245.03069180544347</v>
      </c>
      <c r="P2" s="11">
        <f t="shared" ref="P2:P11" si="6">C2/B2</f>
        <v>8.3999731200860156E-2</v>
      </c>
      <c r="Q2" s="12">
        <f t="shared" ref="Q2:Q11" si="7">(F2*B2)-C2</f>
        <v>60000.239999999991</v>
      </c>
      <c r="R2" s="11">
        <f t="shared" ref="R2:R11" si="8">Q2/B2</f>
        <v>0.3360002687991398</v>
      </c>
      <c r="S2" s="14">
        <v>253.44</v>
      </c>
      <c r="T2" s="15">
        <f>R2*E2</f>
        <v>224.4481795578254</v>
      </c>
      <c r="U2">
        <v>25</v>
      </c>
      <c r="V2" s="12">
        <f t="shared" ref="V2:V11" si="9">(O2*12)*U2</f>
        <v>73509.207541633048</v>
      </c>
      <c r="W2" s="18">
        <f t="shared" ref="W2:W11" si="10">V2/Q2</f>
        <v>1.225148558432984</v>
      </c>
    </row>
    <row r="3" spans="1:23">
      <c r="A3" s="1" t="s">
        <v>23</v>
      </c>
      <c r="B3" s="6">
        <v>174049</v>
      </c>
      <c r="C3" s="6">
        <v>14272</v>
      </c>
      <c r="D3" s="6">
        <v>27500</v>
      </c>
      <c r="E3" s="6">
        <v>656</v>
      </c>
      <c r="F3" s="19">
        <v>0.41</v>
      </c>
      <c r="G3" s="8">
        <f t="shared" si="0"/>
        <v>71360.09</v>
      </c>
      <c r="H3" s="17">
        <f t="shared" si="1"/>
        <v>0.19999974775816567</v>
      </c>
      <c r="I3" s="8">
        <f t="shared" si="2"/>
        <v>102688.91000000002</v>
      </c>
      <c r="J3" s="8">
        <f t="shared" si="3"/>
        <v>57088.09</v>
      </c>
      <c r="K3" s="8">
        <f t="shared" ref="K3:K11" si="11">J3+I3</f>
        <v>159777</v>
      </c>
      <c r="L3" s="9">
        <f t="shared" ref="L3:L11" si="12">I3/K3</f>
        <v>0.64270145264963052</v>
      </c>
      <c r="M3" s="10">
        <f t="shared" ref="M3:M11" si="13">1-L3</f>
        <v>0.35729854735036948</v>
      </c>
      <c r="N3" s="8">
        <f t="shared" si="4"/>
        <v>421.61215293815764</v>
      </c>
      <c r="O3" s="8">
        <f t="shared" si="5"/>
        <v>234.38784706184236</v>
      </c>
      <c r="P3" s="11">
        <f t="shared" si="6"/>
        <v>8.1999896580847928E-2</v>
      </c>
      <c r="Q3" s="12">
        <f t="shared" si="7"/>
        <v>57088.09</v>
      </c>
      <c r="R3" s="11">
        <f t="shared" si="8"/>
        <v>0.32800010341915203</v>
      </c>
      <c r="S3" s="11"/>
      <c r="T3" s="15">
        <f t="shared" ref="T3:T11" si="14">F3*E3</f>
        <v>268.95999999999998</v>
      </c>
      <c r="U3">
        <v>25</v>
      </c>
      <c r="V3" s="12">
        <f t="shared" si="9"/>
        <v>70316.354118552699</v>
      </c>
      <c r="W3" s="18">
        <f t="shared" si="10"/>
        <v>1.2317167051578133</v>
      </c>
    </row>
    <row r="4" spans="1:23">
      <c r="A4" s="1" t="s">
        <v>24</v>
      </c>
      <c r="B4" s="6">
        <v>240943</v>
      </c>
      <c r="C4" s="6">
        <v>18794</v>
      </c>
      <c r="D4" s="6">
        <v>33460</v>
      </c>
      <c r="E4" s="6">
        <v>857</v>
      </c>
      <c r="F4" s="19">
        <v>0.39</v>
      </c>
      <c r="G4" s="8">
        <f t="shared" si="0"/>
        <v>93967.77</v>
      </c>
      <c r="H4" s="17">
        <f t="shared" si="1"/>
        <v>0.20000474630822887</v>
      </c>
      <c r="I4" s="8">
        <f t="shared" si="2"/>
        <v>146975.23000000001</v>
      </c>
      <c r="J4" s="8">
        <f t="shared" si="3"/>
        <v>75173.77</v>
      </c>
      <c r="K4" s="8">
        <f t="shared" si="11"/>
        <v>222149</v>
      </c>
      <c r="L4" s="9">
        <f t="shared" si="12"/>
        <v>0.66160653435306938</v>
      </c>
      <c r="M4" s="10">
        <f t="shared" si="13"/>
        <v>0.33839346564693062</v>
      </c>
      <c r="N4" s="8">
        <f t="shared" si="4"/>
        <v>566.99679994058044</v>
      </c>
      <c r="O4" s="8">
        <f t="shared" si="5"/>
        <v>290.00320005941956</v>
      </c>
      <c r="P4" s="11">
        <f t="shared" si="6"/>
        <v>7.8001851060209265E-2</v>
      </c>
      <c r="Q4" s="12">
        <f t="shared" si="7"/>
        <v>75173.77</v>
      </c>
      <c r="R4" s="11">
        <f t="shared" si="8"/>
        <v>0.31199814893979078</v>
      </c>
      <c r="S4" s="12"/>
      <c r="T4" s="15">
        <f t="shared" si="14"/>
        <v>334.23</v>
      </c>
      <c r="U4">
        <v>25</v>
      </c>
      <c r="V4" s="12">
        <f t="shared" si="9"/>
        <v>87000.96001782587</v>
      </c>
      <c r="W4" s="18">
        <f t="shared" si="10"/>
        <v>1.1573313406767529</v>
      </c>
    </row>
    <row r="5" spans="1:23">
      <c r="A5" s="1" t="s">
        <v>25</v>
      </c>
      <c r="B5" s="6">
        <v>165263</v>
      </c>
      <c r="C5" s="6">
        <v>14213</v>
      </c>
      <c r="D5" s="6">
        <v>25787</v>
      </c>
      <c r="E5" s="6">
        <v>630</v>
      </c>
      <c r="F5" s="19">
        <v>0.43</v>
      </c>
      <c r="G5" s="8">
        <f t="shared" si="0"/>
        <v>71063.09</v>
      </c>
      <c r="H5" s="17">
        <f t="shared" si="1"/>
        <v>0.20000537550506178</v>
      </c>
      <c r="I5" s="8">
        <f t="shared" si="2"/>
        <v>94199.91</v>
      </c>
      <c r="J5" s="8">
        <f t="shared" si="3"/>
        <v>56850.09</v>
      </c>
      <c r="K5" s="8">
        <f t="shared" si="11"/>
        <v>151050</v>
      </c>
      <c r="L5" s="9">
        <f t="shared" si="12"/>
        <v>0.62363396226415102</v>
      </c>
      <c r="M5" s="10">
        <f t="shared" si="13"/>
        <v>0.37636603773584898</v>
      </c>
      <c r="N5" s="8">
        <f t="shared" si="4"/>
        <v>392.88939622641516</v>
      </c>
      <c r="O5" s="8">
        <f t="shared" si="5"/>
        <v>237.11060377358487</v>
      </c>
      <c r="P5" s="11">
        <f t="shared" si="6"/>
        <v>8.6002311467176559E-2</v>
      </c>
      <c r="Q5" s="12">
        <f t="shared" si="7"/>
        <v>56850.09</v>
      </c>
      <c r="R5" s="11">
        <f t="shared" si="8"/>
        <v>0.34399768853282342</v>
      </c>
      <c r="S5" s="11"/>
      <c r="T5" s="15">
        <f t="shared" si="14"/>
        <v>270.89999999999998</v>
      </c>
      <c r="U5">
        <v>25</v>
      </c>
      <c r="V5" s="12">
        <f t="shared" si="9"/>
        <v>71133.181132075464</v>
      </c>
      <c r="W5" s="18">
        <f t="shared" si="10"/>
        <v>1.2512413108242304</v>
      </c>
    </row>
    <row r="6" spans="1:23">
      <c r="A6" s="1" t="s">
        <v>26</v>
      </c>
      <c r="B6" s="6">
        <v>151919</v>
      </c>
      <c r="C6" s="6">
        <v>13065</v>
      </c>
      <c r="D6" s="6">
        <v>22800</v>
      </c>
      <c r="E6" s="6">
        <v>546</v>
      </c>
      <c r="F6" s="19">
        <v>0.43</v>
      </c>
      <c r="G6" s="8">
        <f t="shared" si="0"/>
        <v>65325.17</v>
      </c>
      <c r="H6" s="17">
        <f t="shared" si="1"/>
        <v>0.19999947952680414</v>
      </c>
      <c r="I6" s="8">
        <f t="shared" si="2"/>
        <v>86593.830000000016</v>
      </c>
      <c r="J6" s="8">
        <f t="shared" si="3"/>
        <v>52260.17</v>
      </c>
      <c r="K6" s="8">
        <f>J6+I6</f>
        <v>138854</v>
      </c>
      <c r="L6" s="9">
        <f t="shared" si="12"/>
        <v>0.62363223241678323</v>
      </c>
      <c r="M6" s="10">
        <f t="shared" si="13"/>
        <v>0.37636776758321677</v>
      </c>
      <c r="N6" s="8">
        <f t="shared" si="4"/>
        <v>340.50319889956364</v>
      </c>
      <c r="O6" s="8">
        <f t="shared" si="5"/>
        <v>205.49680110043636</v>
      </c>
      <c r="P6" s="11">
        <f t="shared" si="6"/>
        <v>8.5999776196525782E-2</v>
      </c>
      <c r="Q6" s="12">
        <f t="shared" si="7"/>
        <v>52260.17</v>
      </c>
      <c r="R6" s="11">
        <f t="shared" si="8"/>
        <v>0.34400022380347423</v>
      </c>
      <c r="S6" s="11"/>
      <c r="T6" s="15">
        <f t="shared" si="14"/>
        <v>234.78</v>
      </c>
      <c r="U6">
        <v>25</v>
      </c>
      <c r="V6" s="12">
        <f t="shared" si="9"/>
        <v>61649.040330130898</v>
      </c>
      <c r="W6" s="18">
        <f t="shared" si="10"/>
        <v>1.1796563296700127</v>
      </c>
    </row>
    <row r="7" spans="1:23">
      <c r="A7" s="1" t="s">
        <v>27</v>
      </c>
      <c r="B7" s="6">
        <v>132777</v>
      </c>
      <c r="C7" s="6">
        <v>12215</v>
      </c>
      <c r="D7" s="6">
        <v>22000</v>
      </c>
      <c r="E7" s="6">
        <v>533</v>
      </c>
      <c r="F7" s="19">
        <v>0.46</v>
      </c>
      <c r="G7" s="8">
        <f t="shared" si="0"/>
        <v>61077.420000000006</v>
      </c>
      <c r="H7" s="17">
        <f t="shared" si="1"/>
        <v>0.19999207563122343</v>
      </c>
      <c r="I7" s="8">
        <f t="shared" si="2"/>
        <v>71699.58</v>
      </c>
      <c r="J7" s="8">
        <f t="shared" si="3"/>
        <v>48862.420000000006</v>
      </c>
      <c r="K7" s="8">
        <f t="shared" si="11"/>
        <v>120562</v>
      </c>
      <c r="L7" s="9">
        <f t="shared" si="12"/>
        <v>0.59471126889069525</v>
      </c>
      <c r="M7" s="10">
        <f t="shared" si="13"/>
        <v>0.40528873110930475</v>
      </c>
      <c r="N7" s="8">
        <f t="shared" si="4"/>
        <v>316.98110631874056</v>
      </c>
      <c r="O7" s="8">
        <f t="shared" si="5"/>
        <v>216.01889368125944</v>
      </c>
      <c r="P7" s="11">
        <f t="shared" si="6"/>
        <v>9.1996354790362792E-2</v>
      </c>
      <c r="Q7" s="12">
        <f t="shared" si="7"/>
        <v>48862.420000000006</v>
      </c>
      <c r="R7" s="11">
        <f t="shared" si="8"/>
        <v>0.36800364520963724</v>
      </c>
      <c r="S7" s="11"/>
      <c r="T7" s="15">
        <f t="shared" si="14"/>
        <v>245.18</v>
      </c>
      <c r="U7">
        <v>25</v>
      </c>
      <c r="V7" s="12">
        <f t="shared" si="9"/>
        <v>64805.66810437783</v>
      </c>
      <c r="W7" s="18">
        <f t="shared" si="10"/>
        <v>1.32628854863058</v>
      </c>
    </row>
    <row r="8" spans="1:23">
      <c r="A8" s="1" t="s">
        <v>28</v>
      </c>
      <c r="B8" s="6">
        <v>123873</v>
      </c>
      <c r="C8" s="6">
        <v>9414</v>
      </c>
      <c r="D8" s="6">
        <v>19567</v>
      </c>
      <c r="E8" s="6">
        <v>466</v>
      </c>
      <c r="F8" s="19">
        <v>0.38</v>
      </c>
      <c r="G8" s="8">
        <f t="shared" si="0"/>
        <v>47071.74</v>
      </c>
      <c r="H8" s="17">
        <f t="shared" si="1"/>
        <v>0.19999260702918567</v>
      </c>
      <c r="I8" s="8">
        <f t="shared" si="2"/>
        <v>76801.259999999995</v>
      </c>
      <c r="J8" s="8">
        <f t="shared" si="3"/>
        <v>37657.74</v>
      </c>
      <c r="K8" s="8">
        <f t="shared" si="11"/>
        <v>114459</v>
      </c>
      <c r="L8" s="9">
        <f t="shared" si="12"/>
        <v>0.67099363090713704</v>
      </c>
      <c r="M8" s="10">
        <f t="shared" si="13"/>
        <v>0.32900636909286296</v>
      </c>
      <c r="N8" s="8">
        <f t="shared" si="4"/>
        <v>312.68303200272584</v>
      </c>
      <c r="O8" s="8">
        <f t="shared" si="5"/>
        <v>153.31696799727413</v>
      </c>
      <c r="P8" s="11">
        <f t="shared" si="6"/>
        <v>7.599719067109055E-2</v>
      </c>
      <c r="Q8" s="12">
        <f t="shared" si="7"/>
        <v>37657.74</v>
      </c>
      <c r="R8" s="11">
        <f t="shared" si="8"/>
        <v>0.30400280932890944</v>
      </c>
      <c r="S8" s="11"/>
      <c r="T8" s="15">
        <f t="shared" si="14"/>
        <v>177.08</v>
      </c>
      <c r="U8">
        <v>25</v>
      </c>
      <c r="V8" s="12">
        <f t="shared" si="9"/>
        <v>45995.090399182242</v>
      </c>
      <c r="W8" s="18">
        <f t="shared" si="10"/>
        <v>1.2213980551988048</v>
      </c>
    </row>
    <row r="9" spans="1:23">
      <c r="A9" s="1" t="s">
        <v>29</v>
      </c>
      <c r="B9" s="6">
        <v>118933</v>
      </c>
      <c r="C9" s="6">
        <v>10466</v>
      </c>
      <c r="D9" s="6">
        <v>19245</v>
      </c>
      <c r="E9" s="6">
        <v>438</v>
      </c>
      <c r="F9" s="19">
        <v>0.44</v>
      </c>
      <c r="G9" s="8">
        <f t="shared" si="0"/>
        <v>52330.52</v>
      </c>
      <c r="H9" s="17">
        <f t="shared" si="1"/>
        <v>0.19999801263201666</v>
      </c>
      <c r="I9" s="8">
        <f t="shared" si="2"/>
        <v>66602.48000000001</v>
      </c>
      <c r="J9" s="8">
        <f t="shared" si="3"/>
        <v>41864.519999999997</v>
      </c>
      <c r="K9" s="8">
        <f t="shared" si="11"/>
        <v>108467</v>
      </c>
      <c r="L9" s="9">
        <f t="shared" si="12"/>
        <v>0.61403449897203766</v>
      </c>
      <c r="M9" s="10">
        <f t="shared" si="13"/>
        <v>0.38596550102796234</v>
      </c>
      <c r="N9" s="8">
        <f t="shared" si="4"/>
        <v>268.94711054975249</v>
      </c>
      <c r="O9" s="8">
        <f t="shared" si="5"/>
        <v>169.05288945024751</v>
      </c>
      <c r="P9" s="11">
        <f t="shared" si="6"/>
        <v>8.7999125558087324E-2</v>
      </c>
      <c r="Q9" s="12">
        <f t="shared" si="7"/>
        <v>41864.519999999997</v>
      </c>
      <c r="R9" s="11">
        <f t="shared" si="8"/>
        <v>0.35200087444191264</v>
      </c>
      <c r="S9" s="11"/>
      <c r="T9" s="15">
        <f t="shared" si="14"/>
        <v>192.72</v>
      </c>
      <c r="U9">
        <v>25</v>
      </c>
      <c r="V9" s="12">
        <f t="shared" si="9"/>
        <v>50715.866835074252</v>
      </c>
      <c r="W9" s="18">
        <f t="shared" si="10"/>
        <v>1.2114283606995675</v>
      </c>
    </row>
    <row r="10" spans="1:23">
      <c r="A10" s="1" t="s">
        <v>30</v>
      </c>
      <c r="B10" s="6">
        <v>129281</v>
      </c>
      <c r="C10" s="6">
        <v>11894</v>
      </c>
      <c r="D10" s="6">
        <v>19000</v>
      </c>
      <c r="E10" s="6">
        <v>511</v>
      </c>
      <c r="F10" s="19">
        <v>0.46</v>
      </c>
      <c r="G10" s="8">
        <f t="shared" si="0"/>
        <v>59469.26</v>
      </c>
      <c r="H10" s="17">
        <f t="shared" si="1"/>
        <v>0.20000248868070664</v>
      </c>
      <c r="I10" s="8">
        <f t="shared" si="2"/>
        <v>69811.740000000005</v>
      </c>
      <c r="J10" s="8">
        <f t="shared" si="3"/>
        <v>47575.26</v>
      </c>
      <c r="K10" s="8">
        <f t="shared" si="11"/>
        <v>117387</v>
      </c>
      <c r="L10" s="9">
        <f t="shared" si="12"/>
        <v>0.59471440619489391</v>
      </c>
      <c r="M10" s="10">
        <f t="shared" si="13"/>
        <v>0.40528559380510609</v>
      </c>
      <c r="N10" s="8">
        <f t="shared" si="4"/>
        <v>303.89906156559078</v>
      </c>
      <c r="O10" s="8">
        <f t="shared" si="5"/>
        <v>207.10093843440922</v>
      </c>
      <c r="P10" s="11">
        <f t="shared" si="6"/>
        <v>9.2001144793125059E-2</v>
      </c>
      <c r="Q10" s="12">
        <f t="shared" si="7"/>
        <v>47575.26</v>
      </c>
      <c r="R10" s="11">
        <f t="shared" si="8"/>
        <v>0.36799885520687498</v>
      </c>
      <c r="S10" s="11"/>
      <c r="T10" s="15">
        <f t="shared" si="14"/>
        <v>235.06</v>
      </c>
      <c r="U10">
        <v>25</v>
      </c>
      <c r="V10" s="12">
        <f t="shared" si="9"/>
        <v>62130.281530322762</v>
      </c>
      <c r="W10" s="18">
        <f t="shared" si="10"/>
        <v>1.3059367732372404</v>
      </c>
    </row>
    <row r="11" spans="1:23">
      <c r="A11" s="1" t="s">
        <v>31</v>
      </c>
      <c r="B11" s="6">
        <v>129990</v>
      </c>
      <c r="C11" s="6">
        <v>11699</v>
      </c>
      <c r="D11" s="6">
        <v>23979</v>
      </c>
      <c r="E11" s="6">
        <v>509</v>
      </c>
      <c r="F11" s="19">
        <v>0.45</v>
      </c>
      <c r="G11" s="8">
        <f t="shared" si="0"/>
        <v>58495.5</v>
      </c>
      <c r="H11" s="17">
        <f t="shared" si="1"/>
        <v>0.19999829046678805</v>
      </c>
      <c r="I11" s="8">
        <f t="shared" si="2"/>
        <v>71494.5</v>
      </c>
      <c r="J11" s="8">
        <f t="shared" si="3"/>
        <v>46796.5</v>
      </c>
      <c r="K11" s="8">
        <f t="shared" si="11"/>
        <v>118291</v>
      </c>
      <c r="L11" s="9">
        <f t="shared" si="12"/>
        <v>0.60439509345596876</v>
      </c>
      <c r="M11" s="10">
        <f t="shared" si="13"/>
        <v>0.39560490654403124</v>
      </c>
      <c r="N11" s="8">
        <f t="shared" si="4"/>
        <v>307.63710256908809</v>
      </c>
      <c r="O11" s="8">
        <f t="shared" si="5"/>
        <v>201.36289743091191</v>
      </c>
      <c r="P11" s="11">
        <f t="shared" si="6"/>
        <v>8.9999230710054626E-2</v>
      </c>
      <c r="Q11" s="12">
        <f t="shared" si="7"/>
        <v>46796.5</v>
      </c>
      <c r="R11" s="11">
        <f t="shared" si="8"/>
        <v>0.3600007692899454</v>
      </c>
      <c r="S11" s="11"/>
      <c r="T11" s="15">
        <f t="shared" si="14"/>
        <v>229.05</v>
      </c>
      <c r="U11">
        <v>25</v>
      </c>
      <c r="V11" s="12">
        <f t="shared" si="9"/>
        <v>60408.869229273565</v>
      </c>
      <c r="W11" s="18">
        <f t="shared" si="10"/>
        <v>1.2908843445401592</v>
      </c>
    </row>
    <row r="12" spans="1:23">
      <c r="B12" s="4"/>
      <c r="C12" s="4"/>
      <c r="D12" s="4"/>
      <c r="E12" s="4"/>
      <c r="F12" s="4"/>
      <c r="G12" s="4"/>
      <c r="H12" s="4"/>
      <c r="I12" s="4"/>
      <c r="J12" s="4"/>
      <c r="K12" s="4"/>
      <c r="L12" s="4"/>
      <c r="M12" s="4"/>
      <c r="N12" s="4"/>
    </row>
    <row r="14" spans="1:23" ht="43.2">
      <c r="B14" s="4" t="s">
        <v>34</v>
      </c>
      <c r="C14" s="4" t="s">
        <v>17</v>
      </c>
      <c r="D14" s="4" t="s">
        <v>35</v>
      </c>
      <c r="E14" s="4" t="s">
        <v>74</v>
      </c>
      <c r="F14" s="4" t="s">
        <v>36</v>
      </c>
      <c r="G14" s="4" t="s">
        <v>225</v>
      </c>
      <c r="H14" s="4" t="s">
        <v>73</v>
      </c>
      <c r="I14" s="4" t="s">
        <v>33</v>
      </c>
      <c r="J14" s="3"/>
      <c r="K14" s="3"/>
      <c r="L14" s="3"/>
      <c r="M14" s="3"/>
      <c r="N14" s="3"/>
    </row>
    <row r="15" spans="1:23">
      <c r="A15" s="20" t="s">
        <v>22</v>
      </c>
      <c r="B15" s="24">
        <v>178572</v>
      </c>
      <c r="C15" s="13">
        <v>187767</v>
      </c>
      <c r="D15" s="25">
        <v>179995</v>
      </c>
      <c r="E15" s="49">
        <v>166423.4264811599</v>
      </c>
      <c r="F15" s="11">
        <f>(B15-E15)/E15</f>
        <v>7.2997977362372055E-2</v>
      </c>
      <c r="G15" s="56">
        <f>Assumptions!C6</f>
        <v>223769.79935408192</v>
      </c>
      <c r="H15" s="12">
        <f>G15*(1+F15)</f>
        <v>240104.54210171374</v>
      </c>
      <c r="I15" s="21" t="e">
        <f>H15*(1+#REF!)</f>
        <v>#REF!</v>
      </c>
      <c r="J15" s="25"/>
      <c r="K15" s="25"/>
      <c r="L15" s="25"/>
      <c r="M15" s="25"/>
      <c r="N15" s="25"/>
    </row>
    <row r="16" spans="1:23">
      <c r="A16" t="s">
        <v>23</v>
      </c>
      <c r="B16" s="24">
        <v>174049</v>
      </c>
      <c r="C16" s="13">
        <v>204666</v>
      </c>
      <c r="D16" s="25">
        <v>223000</v>
      </c>
      <c r="E16" s="47">
        <v>187586.6530786072</v>
      </c>
      <c r="F16" s="11">
        <f>(B16-E16)/E16</f>
        <v>-7.2167464243494517E-2</v>
      </c>
      <c r="G16" s="56">
        <f>Assumptions!D6</f>
        <v>273283.39462956396</v>
      </c>
      <c r="H16" s="12">
        <f t="shared" ref="H16:H24" si="15">G16*(1+F16)</f>
        <v>253561.2250192941</v>
      </c>
      <c r="I16" s="21" t="e">
        <f>H16*(1+#REF!)</f>
        <v>#REF!</v>
      </c>
      <c r="J16" s="25"/>
      <c r="K16" s="25"/>
      <c r="L16" s="25"/>
      <c r="M16" s="25"/>
      <c r="N16" s="25"/>
    </row>
    <row r="17" spans="1:14">
      <c r="A17" t="s">
        <v>24</v>
      </c>
      <c r="B17" s="24">
        <v>240943</v>
      </c>
      <c r="C17" s="13">
        <v>303672</v>
      </c>
      <c r="D17" s="25">
        <v>292000</v>
      </c>
      <c r="E17" s="25">
        <v>274000</v>
      </c>
      <c r="F17" s="11">
        <f>(B17-E17)/E17</f>
        <v>-0.12064598540145985</v>
      </c>
      <c r="G17" s="56">
        <f>Assumptions!E6</f>
        <v>369687.87957660941</v>
      </c>
      <c r="H17" s="12">
        <f>G17*(1+F17)</f>
        <v>325086.52105411311</v>
      </c>
      <c r="I17" s="21" t="e">
        <f>H17*(1+#REF!)</f>
        <v>#REF!</v>
      </c>
      <c r="J17" s="25"/>
      <c r="K17" s="25"/>
      <c r="L17" s="25"/>
      <c r="M17" s="25"/>
      <c r="N17" s="25"/>
    </row>
    <row r="18" spans="1:14">
      <c r="A18" t="s">
        <v>32</v>
      </c>
      <c r="B18" s="24">
        <v>165263</v>
      </c>
      <c r="C18" s="13">
        <v>179018</v>
      </c>
      <c r="D18" s="25">
        <v>189950</v>
      </c>
      <c r="E18" s="48">
        <v>166662.79488207819</v>
      </c>
      <c r="F18" s="11">
        <f t="shared" ref="F18:F24" si="16">(B18-E18)/E18</f>
        <v>-8.3989644063548231E-3</v>
      </c>
      <c r="G18" s="56">
        <f>Assumptions!F6</f>
        <v>244697.51308962543</v>
      </c>
      <c r="H18" s="12">
        <f t="shared" si="15"/>
        <v>242642.30738686211</v>
      </c>
      <c r="I18" s="21" t="e">
        <f>H18*(1+#REF!)</f>
        <v>#REF!</v>
      </c>
      <c r="J18" s="25"/>
      <c r="K18" s="25"/>
      <c r="L18" s="25"/>
      <c r="M18" s="25"/>
      <c r="N18" s="25"/>
    </row>
    <row r="19" spans="1:14">
      <c r="A19" t="s">
        <v>26</v>
      </c>
      <c r="B19" s="24">
        <v>151919</v>
      </c>
      <c r="C19" s="13">
        <v>167136</v>
      </c>
      <c r="D19" s="25">
        <v>185000</v>
      </c>
      <c r="E19" s="55">
        <v>155751.86903858741</v>
      </c>
      <c r="F19" s="11">
        <f t="shared" si="16"/>
        <v>-2.4608815690281165E-2</v>
      </c>
      <c r="G19" s="56">
        <f>Assumptions!G6</f>
        <v>215335.07776166304</v>
      </c>
      <c r="H19" s="12">
        <f t="shared" si="15"/>
        <v>210035.93652137389</v>
      </c>
      <c r="I19" s="21" t="e">
        <f>H19*(1+#REF!)</f>
        <v>#REF!</v>
      </c>
      <c r="J19" s="25"/>
      <c r="K19" s="25"/>
      <c r="L19" s="25"/>
      <c r="M19" s="25"/>
      <c r="N19" s="25"/>
    </row>
    <row r="20" spans="1:14">
      <c r="A20" t="s">
        <v>27</v>
      </c>
      <c r="B20" s="24">
        <v>132777</v>
      </c>
      <c r="C20" s="13">
        <v>133591</v>
      </c>
      <c r="D20" s="25">
        <v>140000</v>
      </c>
      <c r="E20" s="54">
        <v>125791.31517079634</v>
      </c>
      <c r="F20" s="11">
        <f t="shared" si="16"/>
        <v>5.553391996672162E-2</v>
      </c>
      <c r="G20" s="56">
        <f>Assumptions!H6</f>
        <v>181540.97322492464</v>
      </c>
      <c r="H20" s="12">
        <f t="shared" si="15"/>
        <v>191622.65510267834</v>
      </c>
      <c r="I20" s="21" t="e">
        <f>H20*(1+#REF!)</f>
        <v>#REF!</v>
      </c>
      <c r="J20" s="25"/>
      <c r="K20" s="25"/>
      <c r="L20" s="25"/>
      <c r="M20" s="25"/>
      <c r="N20" s="25"/>
    </row>
    <row r="21" spans="1:14">
      <c r="A21" t="s">
        <v>28</v>
      </c>
      <c r="B21" s="24">
        <v>123873</v>
      </c>
      <c r="C21" s="13">
        <v>124986</v>
      </c>
      <c r="D21" s="25">
        <v>135000</v>
      </c>
      <c r="E21" s="53">
        <v>118674.50938560376</v>
      </c>
      <c r="F21" s="11">
        <f t="shared" si="16"/>
        <v>4.3804610116440601E-2</v>
      </c>
      <c r="G21" s="56">
        <f>Assumptions!I6</f>
        <v>184626.06074226677</v>
      </c>
      <c r="H21" s="12">
        <f t="shared" si="15"/>
        <v>192713.53335041605</v>
      </c>
      <c r="I21" s="21" t="e">
        <f>H21*(1+#REF!)</f>
        <v>#REF!</v>
      </c>
      <c r="J21" s="25"/>
      <c r="K21" s="25"/>
      <c r="L21" s="25"/>
      <c r="M21" s="25"/>
      <c r="N21" s="25"/>
    </row>
    <row r="22" spans="1:14">
      <c r="A22" t="s">
        <v>68</v>
      </c>
      <c r="B22" s="24">
        <v>118933</v>
      </c>
      <c r="C22" s="13">
        <v>121608</v>
      </c>
      <c r="D22" s="25">
        <v>130000</v>
      </c>
      <c r="E22" s="52">
        <v>114968.99287567557</v>
      </c>
      <c r="F22" s="11">
        <f t="shared" si="16"/>
        <v>3.4478923622571898E-2</v>
      </c>
      <c r="G22" s="56">
        <f>Assumptions!J6</f>
        <v>169750.36828551738</v>
      </c>
      <c r="H22" s="12">
        <f t="shared" si="15"/>
        <v>175603.17826853722</v>
      </c>
      <c r="I22" s="21" t="e">
        <f>H22*(1+#REF!)</f>
        <v>#REF!</v>
      </c>
      <c r="J22" s="25"/>
      <c r="K22" s="25"/>
      <c r="L22" s="25"/>
      <c r="M22" s="25"/>
      <c r="N22" s="25"/>
    </row>
    <row r="23" spans="1:14">
      <c r="A23" t="s">
        <v>30</v>
      </c>
      <c r="B23" s="24">
        <v>129281</v>
      </c>
      <c r="C23" s="13">
        <v>123515</v>
      </c>
      <c r="D23" s="25">
        <v>127000</v>
      </c>
      <c r="E23" s="51">
        <v>115829.76036116392</v>
      </c>
      <c r="F23" s="11">
        <f t="shared" si="16"/>
        <v>0.1161293919360131</v>
      </c>
      <c r="G23" s="56">
        <f>Assumptions!K6</f>
        <v>170287.46176365975</v>
      </c>
      <c r="H23" s="12">
        <f t="shared" si="15"/>
        <v>190062.84115260065</v>
      </c>
      <c r="I23" s="21" t="e">
        <f>H23*(1+#REF!)</f>
        <v>#REF!</v>
      </c>
      <c r="J23" s="25"/>
      <c r="K23" s="25"/>
      <c r="L23" s="25"/>
      <c r="M23" s="25"/>
      <c r="N23" s="25"/>
    </row>
    <row r="24" spans="1:14">
      <c r="A24" t="s">
        <v>31</v>
      </c>
      <c r="B24" s="24">
        <v>129990</v>
      </c>
      <c r="C24" s="13">
        <v>109508</v>
      </c>
      <c r="D24" s="25">
        <v>117000</v>
      </c>
      <c r="E24" s="50">
        <v>105603.90696000982</v>
      </c>
      <c r="F24" s="11">
        <f t="shared" si="16"/>
        <v>0.23092036783473108</v>
      </c>
      <c r="G24" s="56">
        <f>Assumptions!L6</f>
        <v>162205.05987027151</v>
      </c>
      <c r="H24" s="12">
        <f t="shared" si="15"/>
        <v>199661.51196016918</v>
      </c>
      <c r="I24" s="21" t="e">
        <f>H24*(1+#REF!)</f>
        <v>#REF!</v>
      </c>
      <c r="J24" s="25"/>
      <c r="K24" s="25"/>
      <c r="L24" s="25"/>
      <c r="M24" s="25"/>
      <c r="N24" s="25"/>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N84"/>
  <sheetViews>
    <sheetView topLeftCell="A4" workbookViewId="0">
      <selection activeCell="D11" sqref="D11"/>
    </sheetView>
  </sheetViews>
  <sheetFormatPr defaultRowHeight="14.4"/>
  <cols>
    <col min="1" max="1" width="30.88671875" bestFit="1" customWidth="1"/>
    <col min="2" max="2" width="9" customWidth="1"/>
    <col min="3" max="3" width="11.109375" customWidth="1"/>
    <col min="4" max="4" width="11.109375" bestFit="1" customWidth="1"/>
    <col min="5" max="5" width="11.109375" customWidth="1"/>
    <col min="6" max="6" width="14.33203125" bestFit="1" customWidth="1"/>
    <col min="7" max="7" width="13.33203125" bestFit="1" customWidth="1"/>
    <col min="8" max="8" width="14.44140625" bestFit="1" customWidth="1"/>
    <col min="10" max="10" width="10.109375" bestFit="1" customWidth="1"/>
    <col min="11" max="11" width="11.109375" bestFit="1" customWidth="1"/>
  </cols>
  <sheetData>
    <row r="1" spans="1:14">
      <c r="A1" s="26" t="s">
        <v>37</v>
      </c>
      <c r="B1" s="26" t="s">
        <v>38</v>
      </c>
    </row>
    <row r="2" spans="1:14">
      <c r="A2" s="27"/>
      <c r="B2" s="28"/>
      <c r="C2" s="29"/>
    </row>
    <row r="3" spans="1:14">
      <c r="A3" s="30" t="s">
        <v>39</v>
      </c>
      <c r="B3" s="31">
        <v>0.25</v>
      </c>
      <c r="C3" s="32"/>
      <c r="K3">
        <f>'Raw Data-Hometrack Assumptions'!12:12</f>
        <v>0.02</v>
      </c>
    </row>
    <row r="4" spans="1:14">
      <c r="A4" s="33" t="s">
        <v>40</v>
      </c>
      <c r="B4" s="34">
        <v>2.7199999999999998E-2</v>
      </c>
      <c r="C4" s="42" t="s">
        <v>69</v>
      </c>
      <c r="N4" s="35"/>
    </row>
    <row r="5" spans="1:14">
      <c r="A5" s="33" t="s">
        <v>41</v>
      </c>
      <c r="B5" s="36">
        <v>2.75E-2</v>
      </c>
    </row>
    <row r="6" spans="1:14">
      <c r="A6" s="29" t="s">
        <v>42</v>
      </c>
      <c r="B6" s="29">
        <v>25</v>
      </c>
    </row>
    <row r="7" spans="1:14">
      <c r="A7" s="29" t="s">
        <v>43</v>
      </c>
      <c r="B7" s="29">
        <v>12</v>
      </c>
    </row>
    <row r="8" spans="1:14">
      <c r="A8" s="29" t="s">
        <v>44</v>
      </c>
      <c r="B8" s="37">
        <v>0.2</v>
      </c>
      <c r="C8" s="37"/>
      <c r="D8" s="37"/>
      <c r="E8" s="37"/>
      <c r="F8" s="37"/>
      <c r="G8" s="37"/>
      <c r="H8" s="37"/>
      <c r="I8" s="37"/>
      <c r="J8" s="37"/>
      <c r="K8" s="37"/>
    </row>
    <row r="9" spans="1:14">
      <c r="A9" s="38" t="s">
        <v>100</v>
      </c>
      <c r="B9" s="35">
        <v>0.35</v>
      </c>
    </row>
    <row r="10" spans="1:14">
      <c r="A10" s="38"/>
      <c r="B10" s="35"/>
    </row>
    <row r="11" spans="1:14">
      <c r="A11" s="39" t="s">
        <v>46</v>
      </c>
      <c r="C11" t="s">
        <v>47</v>
      </c>
      <c r="E11" t="s">
        <v>102</v>
      </c>
      <c r="F11" s="42" t="s">
        <v>72</v>
      </c>
      <c r="J11" t="s">
        <v>70</v>
      </c>
    </row>
    <row r="12" spans="1:14">
      <c r="A12" s="41" t="s">
        <v>23</v>
      </c>
      <c r="B12">
        <f>1289.77/12</f>
        <v>107.48083333333334</v>
      </c>
      <c r="C12" s="40">
        <f t="shared" ref="C12:C19" si="0">B12*0.92</f>
        <v>98.88236666666667</v>
      </c>
      <c r="E12">
        <f>B12*(258.5/256)</f>
        <v>108.53045084635417</v>
      </c>
      <c r="F12" s="18">
        <f>B12*(1+$K$17)</f>
        <v>122.79105655557875</v>
      </c>
      <c r="J12">
        <v>2016</v>
      </c>
      <c r="K12" s="23">
        <v>0.02</v>
      </c>
    </row>
    <row r="13" spans="1:14">
      <c r="A13" s="41" t="s">
        <v>24</v>
      </c>
      <c r="B13">
        <f>1404.16/12</f>
        <v>117.01333333333334</v>
      </c>
      <c r="C13" s="40">
        <f t="shared" si="0"/>
        <v>107.65226666666668</v>
      </c>
      <c r="E13" s="85">
        <f t="shared" ref="E13:E21" si="1">B13*(258.5/256)</f>
        <v>118.15604166666667</v>
      </c>
      <c r="F13" s="18">
        <f t="shared" ref="F13:F21" si="2">B13*(1+$K$17)</f>
        <v>133.68142379887999</v>
      </c>
      <c r="J13">
        <v>2017</v>
      </c>
      <c r="K13" s="23">
        <v>2.5000000000000001E-2</v>
      </c>
    </row>
    <row r="14" spans="1:14">
      <c r="A14" s="41" t="s">
        <v>25</v>
      </c>
      <c r="B14">
        <f>1131.98/12</f>
        <v>94.331666666666663</v>
      </c>
      <c r="C14" s="40">
        <f t="shared" si="0"/>
        <v>86.785133333333334</v>
      </c>
      <c r="E14" s="85">
        <f t="shared" si="1"/>
        <v>95.252874348958329</v>
      </c>
      <c r="F14" s="18">
        <f t="shared" si="2"/>
        <v>107.76884266170249</v>
      </c>
      <c r="J14">
        <v>2018</v>
      </c>
      <c r="K14" s="23">
        <v>0.03</v>
      </c>
    </row>
    <row r="15" spans="1:14">
      <c r="A15" s="41" t="s">
        <v>26</v>
      </c>
      <c r="B15">
        <f>1127.45/12</f>
        <v>93.954166666666666</v>
      </c>
      <c r="C15" s="40">
        <f t="shared" si="0"/>
        <v>86.43783333333333</v>
      </c>
      <c r="E15" s="85">
        <f t="shared" si="1"/>
        <v>94.871687825520837</v>
      </c>
      <c r="F15" s="18">
        <f t="shared" si="2"/>
        <v>107.33756926706874</v>
      </c>
      <c r="J15">
        <v>2019</v>
      </c>
      <c r="K15" s="23">
        <v>0.03</v>
      </c>
    </row>
    <row r="16" spans="1:14">
      <c r="A16" s="41" t="s">
        <v>27</v>
      </c>
      <c r="B16">
        <f>975.07/12</f>
        <v>81.255833333333342</v>
      </c>
      <c r="C16" s="40">
        <f t="shared" si="0"/>
        <v>74.755366666666674</v>
      </c>
      <c r="E16" s="85">
        <f t="shared" si="1"/>
        <v>82.049347330729177</v>
      </c>
      <c r="F16" s="18">
        <f t="shared" si="2"/>
        <v>92.830408146916255</v>
      </c>
      <c r="J16">
        <v>2020</v>
      </c>
      <c r="K16" s="23">
        <v>0.03</v>
      </c>
    </row>
    <row r="17" spans="1:11">
      <c r="A17" s="29" t="s">
        <v>28</v>
      </c>
      <c r="B17">
        <f>881.56/12</f>
        <v>73.463333333333324</v>
      </c>
      <c r="C17" s="40">
        <f t="shared" si="0"/>
        <v>67.58626666666666</v>
      </c>
      <c r="E17" s="85">
        <f t="shared" si="1"/>
        <v>74.180748697916655</v>
      </c>
      <c r="F17" s="18">
        <f t="shared" si="2"/>
        <v>83.927897080204986</v>
      </c>
      <c r="J17" t="s">
        <v>71</v>
      </c>
      <c r="K17" s="11">
        <f>(1+K12)*(1+K13)*(1+K14)^3-1</f>
        <v>0.14244607849999991</v>
      </c>
    </row>
    <row r="18" spans="1:11">
      <c r="A18" s="41" t="s">
        <v>48</v>
      </c>
      <c r="B18">
        <f>776.08/12</f>
        <v>64.673333333333332</v>
      </c>
      <c r="C18" s="40">
        <f t="shared" si="0"/>
        <v>59.49946666666667</v>
      </c>
      <c r="E18" s="85">
        <f t="shared" si="1"/>
        <v>65.304908854166669</v>
      </c>
      <c r="F18" s="18">
        <f t="shared" si="2"/>
        <v>73.885796050189995</v>
      </c>
    </row>
    <row r="19" spans="1:11">
      <c r="A19" s="41" t="s">
        <v>30</v>
      </c>
      <c r="B19">
        <f>726.57/12</f>
        <v>60.547500000000007</v>
      </c>
      <c r="C19" s="40">
        <f t="shared" si="0"/>
        <v>55.703700000000012</v>
      </c>
      <c r="E19" s="85">
        <f t="shared" si="1"/>
        <v>61.138784179687505</v>
      </c>
      <c r="F19" s="18">
        <f t="shared" si="2"/>
        <v>69.172253937978752</v>
      </c>
    </row>
    <row r="20" spans="1:11">
      <c r="A20" s="41" t="s">
        <v>31</v>
      </c>
      <c r="B20">
        <f>939.02/12</f>
        <v>78.251666666666665</v>
      </c>
      <c r="C20" s="40">
        <f t="shared" ref="C20" si="3">B20*0.92</f>
        <v>71.991533333333336</v>
      </c>
      <c r="E20" s="85">
        <f t="shared" si="1"/>
        <v>79.015843098958328</v>
      </c>
      <c r="F20" s="18">
        <f t="shared" si="2"/>
        <v>89.398309719422485</v>
      </c>
    </row>
    <row r="21" spans="1:11">
      <c r="A21" s="41" t="s">
        <v>22</v>
      </c>
      <c r="B21">
        <f>899.41/12</f>
        <v>74.950833333333335</v>
      </c>
      <c r="C21" s="40">
        <f>829.17/12</f>
        <v>69.097499999999997</v>
      </c>
      <c r="E21" s="85">
        <f t="shared" si="1"/>
        <v>75.682775065104167</v>
      </c>
      <c r="F21" s="18">
        <f t="shared" si="2"/>
        <v>85.627285621973741</v>
      </c>
    </row>
    <row r="22" spans="1:11" s="85" customFormat="1">
      <c r="A22" s="41"/>
      <c r="C22" s="90"/>
      <c r="F22" s="87"/>
    </row>
    <row r="23" spans="1:11">
      <c r="A23" s="42"/>
      <c r="C23" t="s">
        <v>49</v>
      </c>
    </row>
    <row r="24" spans="1:11" ht="41.4">
      <c r="A24" s="43"/>
      <c r="C24" t="s">
        <v>50</v>
      </c>
      <c r="D24" s="44" t="s">
        <v>51</v>
      </c>
      <c r="E24" s="44"/>
      <c r="F24" s="44" t="s">
        <v>52</v>
      </c>
      <c r="G24" s="44"/>
      <c r="H24" s="44" t="s">
        <v>90</v>
      </c>
      <c r="I24" s="44" t="s">
        <v>24</v>
      </c>
    </row>
    <row r="25" spans="1:11" ht="27.6">
      <c r="D25" s="44" t="s">
        <v>53</v>
      </c>
      <c r="E25" s="44"/>
      <c r="F25" s="44" t="s">
        <v>54</v>
      </c>
      <c r="G25" s="44"/>
      <c r="H25" s="44"/>
    </row>
    <row r="26" spans="1:11">
      <c r="A26" s="43"/>
    </row>
    <row r="27" spans="1:11">
      <c r="C27" t="s">
        <v>55</v>
      </c>
      <c r="D27" s="43">
        <f>AVERAGE(B29:B53)</f>
        <v>3.2269230769230765E-2</v>
      </c>
      <c r="G27" s="43"/>
    </row>
    <row r="28" spans="1:11">
      <c r="A28" s="43"/>
      <c r="B28" t="s">
        <v>87</v>
      </c>
      <c r="C28" t="s">
        <v>89</v>
      </c>
      <c r="D28" t="s">
        <v>88</v>
      </c>
    </row>
    <row r="29" spans="1:11">
      <c r="A29" t="s">
        <v>80</v>
      </c>
      <c r="B29" s="43">
        <v>1.9699999999999999E-2</v>
      </c>
      <c r="C29" s="16">
        <v>310.45999999999998</v>
      </c>
      <c r="D29" s="43">
        <v>3.9E-2</v>
      </c>
    </row>
    <row r="30" spans="1:11">
      <c r="A30" s="43"/>
    </row>
    <row r="31" spans="1:11">
      <c r="A31" t="s">
        <v>81</v>
      </c>
      <c r="B31" s="43">
        <v>2.3900000000000001E-2</v>
      </c>
      <c r="C31" s="16">
        <v>325.68</v>
      </c>
      <c r="D31" s="43">
        <v>3.7999999999999999E-2</v>
      </c>
    </row>
    <row r="32" spans="1:11">
      <c r="A32" s="43"/>
    </row>
    <row r="33" spans="1:4">
      <c r="A33" t="s">
        <v>81</v>
      </c>
      <c r="B33" s="43">
        <v>2.4400000000000002E-2</v>
      </c>
      <c r="C33" s="16">
        <v>327.52</v>
      </c>
      <c r="D33" s="43">
        <v>0.04</v>
      </c>
    </row>
    <row r="34" spans="1:4">
      <c r="A34" s="43"/>
    </row>
    <row r="35" spans="1:4">
      <c r="A35" t="s">
        <v>81</v>
      </c>
      <c r="B35" s="43">
        <v>3.6499999999999998E-2</v>
      </c>
      <c r="C35" s="16">
        <v>373.9</v>
      </c>
      <c r="D35" s="43">
        <v>5.5E-2</v>
      </c>
    </row>
    <row r="36" spans="1:4">
      <c r="A36" s="43"/>
    </row>
    <row r="37" spans="1:4">
      <c r="A37" t="s">
        <v>81</v>
      </c>
      <c r="B37" s="43">
        <v>4.7899999999999998E-2</v>
      </c>
      <c r="C37" s="16">
        <v>420.73</v>
      </c>
      <c r="D37" s="43">
        <v>6.4000000000000001E-2</v>
      </c>
    </row>
    <row r="38" spans="1:4">
      <c r="A38" s="43"/>
    </row>
    <row r="39" spans="1:4">
      <c r="A39" t="s">
        <v>82</v>
      </c>
      <c r="B39" s="43">
        <v>1.9199999999999998E-2</v>
      </c>
      <c r="C39" s="16">
        <v>308.68</v>
      </c>
      <c r="D39" s="43">
        <v>3.9E-2</v>
      </c>
    </row>
    <row r="40" spans="1:4">
      <c r="A40" s="43"/>
    </row>
    <row r="41" spans="1:4">
      <c r="A41" t="s">
        <v>83</v>
      </c>
      <c r="B41" s="43">
        <v>3.8899999999999997E-2</v>
      </c>
      <c r="C41" s="16">
        <v>383.51</v>
      </c>
      <c r="D41" s="43">
        <v>5.2999999999999999E-2</v>
      </c>
    </row>
    <row r="42" spans="1:4">
      <c r="A42" s="43"/>
    </row>
    <row r="43" spans="1:4">
      <c r="A43" t="s">
        <v>84</v>
      </c>
      <c r="B43" s="43">
        <v>2.29E-2</v>
      </c>
      <c r="C43" s="16">
        <v>322.01</v>
      </c>
      <c r="D43" s="43">
        <v>3.6999999999999998E-2</v>
      </c>
    </row>
    <row r="44" spans="1:4">
      <c r="A44" s="43"/>
    </row>
    <row r="45" spans="1:4">
      <c r="A45" t="s">
        <v>84</v>
      </c>
      <c r="B45" s="43">
        <v>4.3900000000000002E-2</v>
      </c>
      <c r="C45" s="16">
        <v>403.96</v>
      </c>
      <c r="D45" s="43">
        <v>5.5E-2</v>
      </c>
    </row>
    <row r="46" spans="1:4">
      <c r="A46" s="43"/>
    </row>
    <row r="47" spans="1:4">
      <c r="A47" t="s">
        <v>85</v>
      </c>
      <c r="B47" s="43">
        <v>2.8899999999999999E-2</v>
      </c>
      <c r="C47" s="16">
        <v>344.35</v>
      </c>
      <c r="D47" s="43">
        <v>3.7999999999999999E-2</v>
      </c>
    </row>
    <row r="48" spans="1:4">
      <c r="A48" s="43"/>
    </row>
    <row r="49" spans="1:8">
      <c r="A49" t="s">
        <v>85</v>
      </c>
      <c r="B49" s="43">
        <v>3.1300000000000001E-2</v>
      </c>
      <c r="C49" s="16">
        <v>353.54</v>
      </c>
      <c r="D49" s="43">
        <v>3.7999999999999999E-2</v>
      </c>
    </row>
    <row r="50" spans="1:8">
      <c r="A50" s="43"/>
    </row>
    <row r="51" spans="1:8">
      <c r="A51" t="s">
        <v>85</v>
      </c>
      <c r="B51" s="43">
        <v>4.9500000000000002E-2</v>
      </c>
      <c r="C51" s="16">
        <v>427.54</v>
      </c>
      <c r="D51" s="43">
        <v>5.6000000000000001E-2</v>
      </c>
    </row>
    <row r="52" spans="1:8">
      <c r="A52" s="43"/>
    </row>
    <row r="53" spans="1:8">
      <c r="A53" t="s">
        <v>86</v>
      </c>
      <c r="B53" s="43">
        <v>3.2500000000000001E-2</v>
      </c>
      <c r="C53" s="16">
        <v>358.18</v>
      </c>
      <c r="D53" s="43">
        <v>3.6999999999999998E-2</v>
      </c>
    </row>
    <row r="54" spans="1:8">
      <c r="A54" s="43"/>
    </row>
    <row r="56" spans="1:8">
      <c r="A56" s="43" t="s">
        <v>91</v>
      </c>
      <c r="B56" t="s">
        <v>92</v>
      </c>
      <c r="H56" t="s">
        <v>99</v>
      </c>
    </row>
    <row r="57" spans="1:8">
      <c r="A57" t="s">
        <v>94</v>
      </c>
      <c r="B57" t="s">
        <v>93</v>
      </c>
      <c r="C57" s="43">
        <v>1.89E-2</v>
      </c>
      <c r="D57" s="43">
        <v>3.9899999999999998E-2</v>
      </c>
      <c r="G57" t="s">
        <v>98</v>
      </c>
      <c r="H57" s="43">
        <f>AVERAGE(C57:C61)</f>
        <v>2.1100000000000001E-2</v>
      </c>
    </row>
    <row r="58" spans="1:8">
      <c r="A58" s="43" t="s">
        <v>95</v>
      </c>
      <c r="B58" t="s">
        <v>93</v>
      </c>
      <c r="C58" s="43">
        <v>1.9400000000000001E-2</v>
      </c>
      <c r="D58" s="43">
        <v>3.9899999999999998E-2</v>
      </c>
      <c r="E58" s="43">
        <v>3.7999999999999999E-2</v>
      </c>
    </row>
    <row r="59" spans="1:8">
      <c r="A59" t="s">
        <v>94</v>
      </c>
      <c r="B59" s="35" t="s">
        <v>96</v>
      </c>
      <c r="C59" s="43">
        <v>2.1899999999999999E-2</v>
      </c>
      <c r="D59" s="43">
        <v>3.9899999999999998E-2</v>
      </c>
    </row>
    <row r="60" spans="1:8">
      <c r="A60" s="43" t="s">
        <v>97</v>
      </c>
      <c r="B60" t="s">
        <v>93</v>
      </c>
      <c r="C60" s="43">
        <v>2.24E-2</v>
      </c>
      <c r="D60" s="43">
        <v>3.9899999999999998E-2</v>
      </c>
    </row>
    <row r="61" spans="1:8">
      <c r="A61" t="s">
        <v>95</v>
      </c>
      <c r="B61" t="s">
        <v>96</v>
      </c>
      <c r="C61" s="43">
        <v>2.29E-2</v>
      </c>
      <c r="D61" s="43">
        <v>3.9899999999999998E-2</v>
      </c>
      <c r="E61" s="43">
        <v>3.9E-2</v>
      </c>
    </row>
    <row r="62" spans="1:8">
      <c r="A62" s="43"/>
    </row>
    <row r="64" spans="1:8">
      <c r="A64" s="43"/>
    </row>
    <row r="66" spans="1:1">
      <c r="A66" s="43"/>
    </row>
    <row r="68" spans="1:1">
      <c r="A68" s="43"/>
    </row>
    <row r="70" spans="1:1">
      <c r="A70" s="43"/>
    </row>
    <row r="72" spans="1:1">
      <c r="A72" s="43"/>
    </row>
    <row r="74" spans="1:1">
      <c r="A74" s="43"/>
    </row>
    <row r="76" spans="1:1">
      <c r="A76" s="43"/>
    </row>
    <row r="78" spans="1:1">
      <c r="A78" s="43"/>
    </row>
    <row r="80" spans="1:1">
      <c r="A80" s="43"/>
    </row>
    <row r="82" spans="1:1">
      <c r="A82" s="43"/>
    </row>
    <row r="84" spans="1:1">
      <c r="A84" s="43"/>
    </row>
  </sheetData>
  <pageMargins left="0.7" right="0.7" top="0.75" bottom="0.75" header="0.3" footer="0.3"/>
  <pageSetup paperSize="9" orientation="portrait" r:id="rId1"/>
  <drawing r:id="rId2"/>
  <legacyDrawing r:id="rId3"/>
  <controls>
    <mc:AlternateContent xmlns:mc="http://schemas.openxmlformats.org/markup-compatibility/2006">
      <mc:Choice Requires="x14">
        <control shapeId="2049" r:id="rId4" name="Control 1">
          <controlPr defaultSize="0" r:id="rId5">
            <anchor moveWithCells="1">
              <from>
                <xdr:col>4</xdr:col>
                <xdr:colOff>0</xdr:colOff>
                <xdr:row>23</xdr:row>
                <xdr:rowOff>0</xdr:rowOff>
              </from>
              <to>
                <xdr:col>4</xdr:col>
                <xdr:colOff>396240</xdr:colOff>
                <xdr:row>23</xdr:row>
                <xdr:rowOff>228600</xdr:rowOff>
              </to>
            </anchor>
          </controlPr>
        </control>
      </mc:Choice>
      <mc:Fallback>
        <control shapeId="2049" r:id="rId4" name="Control 1"/>
      </mc:Fallback>
    </mc:AlternateContent>
    <mc:AlternateContent xmlns:mc="http://schemas.openxmlformats.org/markup-compatibility/2006">
      <mc:Choice Requires="x14">
        <control shapeId="2050" r:id="rId6" name="Control 2">
          <controlPr defaultSize="0" r:id="rId7">
            <anchor moveWithCells="1">
              <from>
                <xdr:col>6</xdr:col>
                <xdr:colOff>0</xdr:colOff>
                <xdr:row>23</xdr:row>
                <xdr:rowOff>0</xdr:rowOff>
              </from>
              <to>
                <xdr:col>6</xdr:col>
                <xdr:colOff>213360</xdr:colOff>
                <xdr:row>23</xdr:row>
                <xdr:rowOff>228600</xdr:rowOff>
              </to>
            </anchor>
          </controlPr>
        </control>
      </mc:Choice>
      <mc:Fallback>
        <control shapeId="2050" r:id="rId6" name="Control 2"/>
      </mc:Fallback>
    </mc:AlternateContent>
    <mc:AlternateContent xmlns:mc="http://schemas.openxmlformats.org/markup-compatibility/2006">
      <mc:Choice Requires="x14">
        <control shapeId="2051" r:id="rId8" name="Control 3">
          <controlPr defaultSize="0" r:id="rId9">
            <anchor moveWithCells="1">
              <from>
                <xdr:col>4</xdr:col>
                <xdr:colOff>0</xdr:colOff>
                <xdr:row>24</xdr:row>
                <xdr:rowOff>0</xdr:rowOff>
              </from>
              <to>
                <xdr:col>4</xdr:col>
                <xdr:colOff>708660</xdr:colOff>
                <xdr:row>24</xdr:row>
                <xdr:rowOff>228600</xdr:rowOff>
              </to>
            </anchor>
          </controlPr>
        </control>
      </mc:Choice>
      <mc:Fallback>
        <control shapeId="2051" r:id="rId8" name="Control 3"/>
      </mc:Fallback>
    </mc:AlternateContent>
    <mc:AlternateContent xmlns:mc="http://schemas.openxmlformats.org/markup-compatibility/2006">
      <mc:Choice Requires="x14">
        <control shapeId="2052" r:id="rId10" name="Control 4">
          <controlPr defaultSize="0" r:id="rId11">
            <anchor moveWithCells="1">
              <from>
                <xdr:col>6</xdr:col>
                <xdr:colOff>0</xdr:colOff>
                <xdr:row>24</xdr:row>
                <xdr:rowOff>0</xdr:rowOff>
              </from>
              <to>
                <xdr:col>6</xdr:col>
                <xdr:colOff>396240</xdr:colOff>
                <xdr:row>24</xdr:row>
                <xdr:rowOff>228600</xdr:rowOff>
              </to>
            </anchor>
          </controlPr>
        </control>
      </mc:Choice>
      <mc:Fallback>
        <control shapeId="2052" r:id="rId10" name="Control 4"/>
      </mc:Fallback>
    </mc:AlternateContent>
  </control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IV67"/>
  <sheetViews>
    <sheetView showGridLines="0" zoomScaleNormal="100" workbookViewId="0">
      <pane xSplit="2" ySplit="7" topLeftCell="BZ8" activePane="bottomRight" state="frozen"/>
      <selection pane="topRight"/>
      <selection pane="bottomLeft"/>
      <selection pane="bottomRight" activeCell="CK11" sqref="CK11"/>
    </sheetView>
  </sheetViews>
  <sheetFormatPr defaultColWidth="9.21875" defaultRowHeight="14.4"/>
  <cols>
    <col min="1" max="1" width="15.77734375" style="85" customWidth="1"/>
    <col min="2" max="2" width="50.77734375" style="85" customWidth="1"/>
    <col min="3" max="81" width="10.77734375" style="85" customWidth="1"/>
    <col min="82" max="87" width="9.21875" style="85"/>
    <col min="88" max="88" width="20.6640625" style="85" customWidth="1"/>
    <col min="89" max="89" width="19.44140625" style="85" customWidth="1"/>
    <col min="90" max="256" width="9.21875" style="85"/>
    <col min="257" max="257" width="15.77734375" style="85" customWidth="1"/>
    <col min="258" max="258" width="50.77734375" style="85" customWidth="1"/>
    <col min="259" max="337" width="10.77734375" style="85" customWidth="1"/>
    <col min="338" max="512" width="9.21875" style="85"/>
    <col min="513" max="513" width="15.77734375" style="85" customWidth="1"/>
    <col min="514" max="514" width="50.77734375" style="85" customWidth="1"/>
    <col min="515" max="593" width="10.77734375" style="85" customWidth="1"/>
    <col min="594" max="768" width="9.21875" style="85"/>
    <col min="769" max="769" width="15.77734375" style="85" customWidth="1"/>
    <col min="770" max="770" width="50.77734375" style="85" customWidth="1"/>
    <col min="771" max="849" width="10.77734375" style="85" customWidth="1"/>
    <col min="850" max="1024" width="9.21875" style="85"/>
    <col min="1025" max="1025" width="15.77734375" style="85" customWidth="1"/>
    <col min="1026" max="1026" width="50.77734375" style="85" customWidth="1"/>
    <col min="1027" max="1105" width="10.77734375" style="85" customWidth="1"/>
    <col min="1106" max="1280" width="9.21875" style="85"/>
    <col min="1281" max="1281" width="15.77734375" style="85" customWidth="1"/>
    <col min="1282" max="1282" width="50.77734375" style="85" customWidth="1"/>
    <col min="1283" max="1361" width="10.77734375" style="85" customWidth="1"/>
    <col min="1362" max="1536" width="9.21875" style="85"/>
    <col min="1537" max="1537" width="15.77734375" style="85" customWidth="1"/>
    <col min="1538" max="1538" width="50.77734375" style="85" customWidth="1"/>
    <col min="1539" max="1617" width="10.77734375" style="85" customWidth="1"/>
    <col min="1618" max="1792" width="9.21875" style="85"/>
    <col min="1793" max="1793" width="15.77734375" style="85" customWidth="1"/>
    <col min="1794" max="1794" width="50.77734375" style="85" customWidth="1"/>
    <col min="1795" max="1873" width="10.77734375" style="85" customWidth="1"/>
    <col min="1874" max="2048" width="9.21875" style="85"/>
    <col min="2049" max="2049" width="15.77734375" style="85" customWidth="1"/>
    <col min="2050" max="2050" width="50.77734375" style="85" customWidth="1"/>
    <col min="2051" max="2129" width="10.77734375" style="85" customWidth="1"/>
    <col min="2130" max="2304" width="9.21875" style="85"/>
    <col min="2305" max="2305" width="15.77734375" style="85" customWidth="1"/>
    <col min="2306" max="2306" width="50.77734375" style="85" customWidth="1"/>
    <col min="2307" max="2385" width="10.77734375" style="85" customWidth="1"/>
    <col min="2386" max="2560" width="9.21875" style="85"/>
    <col min="2561" max="2561" width="15.77734375" style="85" customWidth="1"/>
    <col min="2562" max="2562" width="50.77734375" style="85" customWidth="1"/>
    <col min="2563" max="2641" width="10.77734375" style="85" customWidth="1"/>
    <col min="2642" max="2816" width="9.21875" style="85"/>
    <col min="2817" max="2817" width="15.77734375" style="85" customWidth="1"/>
    <col min="2818" max="2818" width="50.77734375" style="85" customWidth="1"/>
    <col min="2819" max="2897" width="10.77734375" style="85" customWidth="1"/>
    <col min="2898" max="3072" width="9.21875" style="85"/>
    <col min="3073" max="3073" width="15.77734375" style="85" customWidth="1"/>
    <col min="3074" max="3074" width="50.77734375" style="85" customWidth="1"/>
    <col min="3075" max="3153" width="10.77734375" style="85" customWidth="1"/>
    <col min="3154" max="3328" width="9.21875" style="85"/>
    <col min="3329" max="3329" width="15.77734375" style="85" customWidth="1"/>
    <col min="3330" max="3330" width="50.77734375" style="85" customWidth="1"/>
    <col min="3331" max="3409" width="10.77734375" style="85" customWidth="1"/>
    <col min="3410" max="3584" width="9.21875" style="85"/>
    <col min="3585" max="3585" width="15.77734375" style="85" customWidth="1"/>
    <col min="3586" max="3586" width="50.77734375" style="85" customWidth="1"/>
    <col min="3587" max="3665" width="10.77734375" style="85" customWidth="1"/>
    <col min="3666" max="3840" width="9.21875" style="85"/>
    <col min="3841" max="3841" width="15.77734375" style="85" customWidth="1"/>
    <col min="3842" max="3842" width="50.77734375" style="85" customWidth="1"/>
    <col min="3843" max="3921" width="10.77734375" style="85" customWidth="1"/>
    <col min="3922" max="4096" width="9.21875" style="85"/>
    <col min="4097" max="4097" width="15.77734375" style="85" customWidth="1"/>
    <col min="4098" max="4098" width="50.77734375" style="85" customWidth="1"/>
    <col min="4099" max="4177" width="10.77734375" style="85" customWidth="1"/>
    <col min="4178" max="4352" width="9.21875" style="85"/>
    <col min="4353" max="4353" width="15.77734375" style="85" customWidth="1"/>
    <col min="4354" max="4354" width="50.77734375" style="85" customWidth="1"/>
    <col min="4355" max="4433" width="10.77734375" style="85" customWidth="1"/>
    <col min="4434" max="4608" width="9.21875" style="85"/>
    <col min="4609" max="4609" width="15.77734375" style="85" customWidth="1"/>
    <col min="4610" max="4610" width="50.77734375" style="85" customWidth="1"/>
    <col min="4611" max="4689" width="10.77734375" style="85" customWidth="1"/>
    <col min="4690" max="4864" width="9.21875" style="85"/>
    <col min="4865" max="4865" width="15.77734375" style="85" customWidth="1"/>
    <col min="4866" max="4866" width="50.77734375" style="85" customWidth="1"/>
    <col min="4867" max="4945" width="10.77734375" style="85" customWidth="1"/>
    <col min="4946" max="5120" width="9.21875" style="85"/>
    <col min="5121" max="5121" width="15.77734375" style="85" customWidth="1"/>
    <col min="5122" max="5122" width="50.77734375" style="85" customWidth="1"/>
    <col min="5123" max="5201" width="10.77734375" style="85" customWidth="1"/>
    <col min="5202" max="5376" width="9.21875" style="85"/>
    <col min="5377" max="5377" width="15.77734375" style="85" customWidth="1"/>
    <col min="5378" max="5378" width="50.77734375" style="85" customWidth="1"/>
    <col min="5379" max="5457" width="10.77734375" style="85" customWidth="1"/>
    <col min="5458" max="5632" width="9.21875" style="85"/>
    <col min="5633" max="5633" width="15.77734375" style="85" customWidth="1"/>
    <col min="5634" max="5634" width="50.77734375" style="85" customWidth="1"/>
    <col min="5635" max="5713" width="10.77734375" style="85" customWidth="1"/>
    <col min="5714" max="5888" width="9.21875" style="85"/>
    <col min="5889" max="5889" width="15.77734375" style="85" customWidth="1"/>
    <col min="5890" max="5890" width="50.77734375" style="85" customWidth="1"/>
    <col min="5891" max="5969" width="10.77734375" style="85" customWidth="1"/>
    <col min="5970" max="6144" width="9.21875" style="85"/>
    <col min="6145" max="6145" width="15.77734375" style="85" customWidth="1"/>
    <col min="6146" max="6146" width="50.77734375" style="85" customWidth="1"/>
    <col min="6147" max="6225" width="10.77734375" style="85" customWidth="1"/>
    <col min="6226" max="6400" width="9.21875" style="85"/>
    <col min="6401" max="6401" width="15.77734375" style="85" customWidth="1"/>
    <col min="6402" max="6402" width="50.77734375" style="85" customWidth="1"/>
    <col min="6403" max="6481" width="10.77734375" style="85" customWidth="1"/>
    <col min="6482" max="6656" width="9.21875" style="85"/>
    <col min="6657" max="6657" width="15.77734375" style="85" customWidth="1"/>
    <col min="6658" max="6658" width="50.77734375" style="85" customWidth="1"/>
    <col min="6659" max="6737" width="10.77734375" style="85" customWidth="1"/>
    <col min="6738" max="6912" width="9.21875" style="85"/>
    <col min="6913" max="6913" width="15.77734375" style="85" customWidth="1"/>
    <col min="6914" max="6914" width="50.77734375" style="85" customWidth="1"/>
    <col min="6915" max="6993" width="10.77734375" style="85" customWidth="1"/>
    <col min="6994" max="7168" width="9.21875" style="85"/>
    <col min="7169" max="7169" width="15.77734375" style="85" customWidth="1"/>
    <col min="7170" max="7170" width="50.77734375" style="85" customWidth="1"/>
    <col min="7171" max="7249" width="10.77734375" style="85" customWidth="1"/>
    <col min="7250" max="7424" width="9.21875" style="85"/>
    <col min="7425" max="7425" width="15.77734375" style="85" customWidth="1"/>
    <col min="7426" max="7426" width="50.77734375" style="85" customWidth="1"/>
    <col min="7427" max="7505" width="10.77734375" style="85" customWidth="1"/>
    <col min="7506" max="7680" width="9.21875" style="85"/>
    <col min="7681" max="7681" width="15.77734375" style="85" customWidth="1"/>
    <col min="7682" max="7682" width="50.77734375" style="85" customWidth="1"/>
    <col min="7683" max="7761" width="10.77734375" style="85" customWidth="1"/>
    <col min="7762" max="7936" width="9.21875" style="85"/>
    <col min="7937" max="7937" width="15.77734375" style="85" customWidth="1"/>
    <col min="7938" max="7938" width="50.77734375" style="85" customWidth="1"/>
    <col min="7939" max="8017" width="10.77734375" style="85" customWidth="1"/>
    <col min="8018" max="8192" width="9.21875" style="85"/>
    <col min="8193" max="8193" width="15.77734375" style="85" customWidth="1"/>
    <col min="8194" max="8194" width="50.77734375" style="85" customWidth="1"/>
    <col min="8195" max="8273" width="10.77734375" style="85" customWidth="1"/>
    <col min="8274" max="8448" width="9.21875" style="85"/>
    <col min="8449" max="8449" width="15.77734375" style="85" customWidth="1"/>
    <col min="8450" max="8450" width="50.77734375" style="85" customWidth="1"/>
    <col min="8451" max="8529" width="10.77734375" style="85" customWidth="1"/>
    <col min="8530" max="8704" width="9.21875" style="85"/>
    <col min="8705" max="8705" width="15.77734375" style="85" customWidth="1"/>
    <col min="8706" max="8706" width="50.77734375" style="85" customWidth="1"/>
    <col min="8707" max="8785" width="10.77734375" style="85" customWidth="1"/>
    <col min="8786" max="8960" width="9.21875" style="85"/>
    <col min="8961" max="8961" width="15.77734375" style="85" customWidth="1"/>
    <col min="8962" max="8962" width="50.77734375" style="85" customWidth="1"/>
    <col min="8963" max="9041" width="10.77734375" style="85" customWidth="1"/>
    <col min="9042" max="9216" width="9.21875" style="85"/>
    <col min="9217" max="9217" width="15.77734375" style="85" customWidth="1"/>
    <col min="9218" max="9218" width="50.77734375" style="85" customWidth="1"/>
    <col min="9219" max="9297" width="10.77734375" style="85" customWidth="1"/>
    <col min="9298" max="9472" width="9.21875" style="85"/>
    <col min="9473" max="9473" width="15.77734375" style="85" customWidth="1"/>
    <col min="9474" max="9474" width="50.77734375" style="85" customWidth="1"/>
    <col min="9475" max="9553" width="10.77734375" style="85" customWidth="1"/>
    <col min="9554" max="9728" width="9.21875" style="85"/>
    <col min="9729" max="9729" width="15.77734375" style="85" customWidth="1"/>
    <col min="9730" max="9730" width="50.77734375" style="85" customWidth="1"/>
    <col min="9731" max="9809" width="10.77734375" style="85" customWidth="1"/>
    <col min="9810" max="9984" width="9.21875" style="85"/>
    <col min="9985" max="9985" width="15.77734375" style="85" customWidth="1"/>
    <col min="9986" max="9986" width="50.77734375" style="85" customWidth="1"/>
    <col min="9987" max="10065" width="10.77734375" style="85" customWidth="1"/>
    <col min="10066" max="10240" width="9.21875" style="85"/>
    <col min="10241" max="10241" width="15.77734375" style="85" customWidth="1"/>
    <col min="10242" max="10242" width="50.77734375" style="85" customWidth="1"/>
    <col min="10243" max="10321" width="10.77734375" style="85" customWidth="1"/>
    <col min="10322" max="10496" width="9.21875" style="85"/>
    <col min="10497" max="10497" width="15.77734375" style="85" customWidth="1"/>
    <col min="10498" max="10498" width="50.77734375" style="85" customWidth="1"/>
    <col min="10499" max="10577" width="10.77734375" style="85" customWidth="1"/>
    <col min="10578" max="10752" width="9.21875" style="85"/>
    <col min="10753" max="10753" width="15.77734375" style="85" customWidth="1"/>
    <col min="10754" max="10754" width="50.77734375" style="85" customWidth="1"/>
    <col min="10755" max="10833" width="10.77734375" style="85" customWidth="1"/>
    <col min="10834" max="11008" width="9.21875" style="85"/>
    <col min="11009" max="11009" width="15.77734375" style="85" customWidth="1"/>
    <col min="11010" max="11010" width="50.77734375" style="85" customWidth="1"/>
    <col min="11011" max="11089" width="10.77734375" style="85" customWidth="1"/>
    <col min="11090" max="11264" width="9.21875" style="85"/>
    <col min="11265" max="11265" width="15.77734375" style="85" customWidth="1"/>
    <col min="11266" max="11266" width="50.77734375" style="85" customWidth="1"/>
    <col min="11267" max="11345" width="10.77734375" style="85" customWidth="1"/>
    <col min="11346" max="11520" width="9.21875" style="85"/>
    <col min="11521" max="11521" width="15.77734375" style="85" customWidth="1"/>
    <col min="11522" max="11522" width="50.77734375" style="85" customWidth="1"/>
    <col min="11523" max="11601" width="10.77734375" style="85" customWidth="1"/>
    <col min="11602" max="11776" width="9.21875" style="85"/>
    <col min="11777" max="11777" width="15.77734375" style="85" customWidth="1"/>
    <col min="11778" max="11778" width="50.77734375" style="85" customWidth="1"/>
    <col min="11779" max="11857" width="10.77734375" style="85" customWidth="1"/>
    <col min="11858" max="12032" width="9.21875" style="85"/>
    <col min="12033" max="12033" width="15.77734375" style="85" customWidth="1"/>
    <col min="12034" max="12034" width="50.77734375" style="85" customWidth="1"/>
    <col min="12035" max="12113" width="10.77734375" style="85" customWidth="1"/>
    <col min="12114" max="12288" width="9.21875" style="85"/>
    <col min="12289" max="12289" width="15.77734375" style="85" customWidth="1"/>
    <col min="12290" max="12290" width="50.77734375" style="85" customWidth="1"/>
    <col min="12291" max="12369" width="10.77734375" style="85" customWidth="1"/>
    <col min="12370" max="12544" width="9.21875" style="85"/>
    <col min="12545" max="12545" width="15.77734375" style="85" customWidth="1"/>
    <col min="12546" max="12546" width="50.77734375" style="85" customWidth="1"/>
    <col min="12547" max="12625" width="10.77734375" style="85" customWidth="1"/>
    <col min="12626" max="12800" width="9.21875" style="85"/>
    <col min="12801" max="12801" width="15.77734375" style="85" customWidth="1"/>
    <col min="12802" max="12802" width="50.77734375" style="85" customWidth="1"/>
    <col min="12803" max="12881" width="10.77734375" style="85" customWidth="1"/>
    <col min="12882" max="13056" width="9.21875" style="85"/>
    <col min="13057" max="13057" width="15.77734375" style="85" customWidth="1"/>
    <col min="13058" max="13058" width="50.77734375" style="85" customWidth="1"/>
    <col min="13059" max="13137" width="10.77734375" style="85" customWidth="1"/>
    <col min="13138" max="13312" width="9.21875" style="85"/>
    <col min="13313" max="13313" width="15.77734375" style="85" customWidth="1"/>
    <col min="13314" max="13314" width="50.77734375" style="85" customWidth="1"/>
    <col min="13315" max="13393" width="10.77734375" style="85" customWidth="1"/>
    <col min="13394" max="13568" width="9.21875" style="85"/>
    <col min="13569" max="13569" width="15.77734375" style="85" customWidth="1"/>
    <col min="13570" max="13570" width="50.77734375" style="85" customWidth="1"/>
    <col min="13571" max="13649" width="10.77734375" style="85" customWidth="1"/>
    <col min="13650" max="13824" width="9.21875" style="85"/>
    <col min="13825" max="13825" width="15.77734375" style="85" customWidth="1"/>
    <col min="13826" max="13826" width="50.77734375" style="85" customWidth="1"/>
    <col min="13827" max="13905" width="10.77734375" style="85" customWidth="1"/>
    <col min="13906" max="14080" width="9.21875" style="85"/>
    <col min="14081" max="14081" width="15.77734375" style="85" customWidth="1"/>
    <col min="14082" max="14082" width="50.77734375" style="85" customWidth="1"/>
    <col min="14083" max="14161" width="10.77734375" style="85" customWidth="1"/>
    <col min="14162" max="14336" width="9.21875" style="85"/>
    <col min="14337" max="14337" width="15.77734375" style="85" customWidth="1"/>
    <col min="14338" max="14338" width="50.77734375" style="85" customWidth="1"/>
    <col min="14339" max="14417" width="10.77734375" style="85" customWidth="1"/>
    <col min="14418" max="14592" width="9.21875" style="85"/>
    <col min="14593" max="14593" width="15.77734375" style="85" customWidth="1"/>
    <col min="14594" max="14594" width="50.77734375" style="85" customWidth="1"/>
    <col min="14595" max="14673" width="10.77734375" style="85" customWidth="1"/>
    <col min="14674" max="14848" width="9.21875" style="85"/>
    <col min="14849" max="14849" width="15.77734375" style="85" customWidth="1"/>
    <col min="14850" max="14850" width="50.77734375" style="85" customWidth="1"/>
    <col min="14851" max="14929" width="10.77734375" style="85" customWidth="1"/>
    <col min="14930" max="15104" width="9.21875" style="85"/>
    <col min="15105" max="15105" width="15.77734375" style="85" customWidth="1"/>
    <col min="15106" max="15106" width="50.77734375" style="85" customWidth="1"/>
    <col min="15107" max="15185" width="10.77734375" style="85" customWidth="1"/>
    <col min="15186" max="15360" width="9.21875" style="85"/>
    <col min="15361" max="15361" width="15.77734375" style="85" customWidth="1"/>
    <col min="15362" max="15362" width="50.77734375" style="85" customWidth="1"/>
    <col min="15363" max="15441" width="10.77734375" style="85" customWidth="1"/>
    <col min="15442" max="15616" width="9.21875" style="85"/>
    <col min="15617" max="15617" width="15.77734375" style="85" customWidth="1"/>
    <col min="15618" max="15618" width="50.77734375" style="85" customWidth="1"/>
    <col min="15619" max="15697" width="10.77734375" style="85" customWidth="1"/>
    <col min="15698" max="15872" width="9.21875" style="85"/>
    <col min="15873" max="15873" width="15.77734375" style="85" customWidth="1"/>
    <col min="15874" max="15874" width="50.77734375" style="85" customWidth="1"/>
    <col min="15875" max="15953" width="10.77734375" style="85" customWidth="1"/>
    <col min="15954" max="16128" width="9.21875" style="85"/>
    <col min="16129" max="16129" width="15.77734375" style="85" customWidth="1"/>
    <col min="16130" max="16130" width="50.77734375" style="85" customWidth="1"/>
    <col min="16131" max="16209" width="10.77734375" style="85" customWidth="1"/>
    <col min="16210" max="16384" width="9.21875" style="85"/>
  </cols>
  <sheetData>
    <row r="1" spans="1:256">
      <c r="A1" s="94" t="s">
        <v>119</v>
      </c>
    </row>
    <row r="2" spans="1:256">
      <c r="A2" s="95" t="s">
        <v>120</v>
      </c>
    </row>
    <row r="3" spans="1:256">
      <c r="A3" s="110" t="s">
        <v>228</v>
      </c>
      <c r="B3" s="110"/>
    </row>
    <row r="4" spans="1:256">
      <c r="A4" s="110"/>
      <c r="B4" s="110"/>
    </row>
    <row r="5" spans="1:256">
      <c r="A5" s="110"/>
      <c r="B5" s="110"/>
    </row>
    <row r="6" spans="1:256" ht="15" thickBot="1">
      <c r="A6" s="96"/>
      <c r="B6" s="97"/>
      <c r="C6" s="96"/>
      <c r="D6" s="96"/>
      <c r="E6" s="96"/>
      <c r="F6" s="96"/>
      <c r="G6" s="96"/>
      <c r="H6" s="96"/>
      <c r="I6" s="96"/>
      <c r="J6" s="96"/>
      <c r="K6" s="96"/>
      <c r="L6" s="96"/>
      <c r="M6" s="96"/>
      <c r="N6" s="96"/>
      <c r="O6" s="96"/>
      <c r="P6" s="96"/>
      <c r="Q6" s="96"/>
      <c r="R6" s="96"/>
      <c r="S6" s="96"/>
      <c r="T6" s="96"/>
      <c r="U6" s="96"/>
      <c r="V6" s="96"/>
      <c r="W6" s="96"/>
      <c r="X6" s="96"/>
      <c r="Y6" s="96"/>
      <c r="Z6" s="96"/>
      <c r="AA6" s="96"/>
      <c r="AB6" s="96"/>
      <c r="AC6" s="96"/>
      <c r="AD6" s="96"/>
      <c r="AE6" s="96"/>
      <c r="AF6" s="96"/>
      <c r="AG6" s="96"/>
      <c r="AH6" s="96"/>
      <c r="AI6" s="96"/>
      <c r="AJ6" s="96"/>
      <c r="AK6" s="96"/>
      <c r="AL6" s="96"/>
      <c r="AM6" s="96"/>
      <c r="AN6" s="96"/>
      <c r="AO6" s="96"/>
      <c r="AP6" s="96"/>
      <c r="AQ6" s="96"/>
      <c r="AR6" s="96"/>
      <c r="AS6" s="96"/>
      <c r="AT6" s="96"/>
      <c r="AU6" s="96"/>
      <c r="AV6" s="96"/>
      <c r="AW6" s="96"/>
      <c r="AX6" s="96"/>
      <c r="AY6" s="96"/>
      <c r="AZ6" s="96"/>
      <c r="BA6" s="96"/>
      <c r="BB6" s="96"/>
      <c r="BC6" s="96"/>
      <c r="BD6" s="96"/>
      <c r="BE6" s="96"/>
      <c r="BF6" s="96"/>
      <c r="BG6" s="96"/>
      <c r="BH6" s="96"/>
      <c r="BI6" s="96"/>
      <c r="BJ6" s="96"/>
      <c r="BK6" s="96"/>
      <c r="BL6" s="96"/>
      <c r="BM6" s="96"/>
      <c r="BN6" s="96"/>
      <c r="BO6" s="96"/>
      <c r="BP6" s="96"/>
      <c r="BQ6" s="96"/>
      <c r="BR6" s="96"/>
      <c r="BS6" s="96"/>
      <c r="BT6" s="96"/>
      <c r="BU6" s="96"/>
      <c r="BV6" s="96"/>
      <c r="BW6" s="96"/>
      <c r="BX6" s="96"/>
      <c r="BY6" s="96"/>
      <c r="BZ6" s="96"/>
      <c r="CA6" s="96"/>
      <c r="CB6" s="96"/>
      <c r="CC6" s="96"/>
    </row>
    <row r="7" spans="1:256" ht="25.8" customHeight="1">
      <c r="A7" s="98" t="s">
        <v>121</v>
      </c>
      <c r="B7" s="98" t="s">
        <v>122</v>
      </c>
      <c r="C7" s="99" t="s">
        <v>123</v>
      </c>
      <c r="D7" s="99" t="s">
        <v>124</v>
      </c>
      <c r="E7" s="99" t="s">
        <v>125</v>
      </c>
      <c r="F7" s="99" t="s">
        <v>126</v>
      </c>
      <c r="G7" s="99" t="s">
        <v>127</v>
      </c>
      <c r="H7" s="99" t="s">
        <v>128</v>
      </c>
      <c r="I7" s="99" t="s">
        <v>129</v>
      </c>
      <c r="J7" s="99" t="s">
        <v>130</v>
      </c>
      <c r="K7" s="99" t="s">
        <v>131</v>
      </c>
      <c r="L7" s="99" t="s">
        <v>132</v>
      </c>
      <c r="M7" s="99" t="s">
        <v>133</v>
      </c>
      <c r="N7" s="99" t="s">
        <v>134</v>
      </c>
      <c r="O7" s="99" t="s">
        <v>135</v>
      </c>
      <c r="P7" s="99" t="s">
        <v>136</v>
      </c>
      <c r="Q7" s="99" t="s">
        <v>137</v>
      </c>
      <c r="R7" s="99" t="s">
        <v>138</v>
      </c>
      <c r="S7" s="99" t="s">
        <v>139</v>
      </c>
      <c r="T7" s="99" t="s">
        <v>140</v>
      </c>
      <c r="U7" s="99" t="s">
        <v>141</v>
      </c>
      <c r="V7" s="99" t="s">
        <v>142</v>
      </c>
      <c r="W7" s="99" t="s">
        <v>143</v>
      </c>
      <c r="X7" s="99" t="s">
        <v>144</v>
      </c>
      <c r="Y7" s="99" t="s">
        <v>145</v>
      </c>
      <c r="Z7" s="99" t="s">
        <v>146</v>
      </c>
      <c r="AA7" s="99" t="s">
        <v>147</v>
      </c>
      <c r="AB7" s="99" t="s">
        <v>148</v>
      </c>
      <c r="AC7" s="99" t="s">
        <v>149</v>
      </c>
      <c r="AD7" s="99" t="s">
        <v>150</v>
      </c>
      <c r="AE7" s="99" t="s">
        <v>151</v>
      </c>
      <c r="AF7" s="99" t="s">
        <v>152</v>
      </c>
      <c r="AG7" s="99" t="s">
        <v>153</v>
      </c>
      <c r="AH7" s="99" t="s">
        <v>154</v>
      </c>
      <c r="AI7" s="99" t="s">
        <v>155</v>
      </c>
      <c r="AJ7" s="99" t="s">
        <v>156</v>
      </c>
      <c r="AK7" s="99" t="s">
        <v>157</v>
      </c>
      <c r="AL7" s="99" t="s">
        <v>158</v>
      </c>
      <c r="AM7" s="99" t="s">
        <v>159</v>
      </c>
      <c r="AN7" s="99" t="s">
        <v>160</v>
      </c>
      <c r="AO7" s="99" t="s">
        <v>161</v>
      </c>
      <c r="AP7" s="99" t="s">
        <v>162</v>
      </c>
      <c r="AQ7" s="99" t="s">
        <v>163</v>
      </c>
      <c r="AR7" s="99" t="s">
        <v>164</v>
      </c>
      <c r="AS7" s="99" t="s">
        <v>165</v>
      </c>
      <c r="AT7" s="99" t="s">
        <v>166</v>
      </c>
      <c r="AU7" s="99" t="s">
        <v>167</v>
      </c>
      <c r="AV7" s="99" t="s">
        <v>168</v>
      </c>
      <c r="AW7" s="99" t="s">
        <v>169</v>
      </c>
      <c r="AX7" s="99" t="s">
        <v>170</v>
      </c>
      <c r="AY7" s="99" t="s">
        <v>171</v>
      </c>
      <c r="AZ7" s="99" t="s">
        <v>172</v>
      </c>
      <c r="BA7" s="99" t="s">
        <v>173</v>
      </c>
      <c r="BB7" s="99" t="s">
        <v>174</v>
      </c>
      <c r="BC7" s="99" t="s">
        <v>175</v>
      </c>
      <c r="BD7" s="99" t="s">
        <v>176</v>
      </c>
      <c r="BE7" s="99" t="s">
        <v>177</v>
      </c>
      <c r="BF7" s="99" t="s">
        <v>178</v>
      </c>
      <c r="BG7" s="99" t="s">
        <v>179</v>
      </c>
      <c r="BH7" s="99" t="s">
        <v>180</v>
      </c>
      <c r="BI7" s="99" t="s">
        <v>181</v>
      </c>
      <c r="BJ7" s="99" t="s">
        <v>182</v>
      </c>
      <c r="BK7" s="99" t="s">
        <v>183</v>
      </c>
      <c r="BL7" s="99" t="s">
        <v>184</v>
      </c>
      <c r="BM7" s="99" t="s">
        <v>185</v>
      </c>
      <c r="BN7" s="99" t="s">
        <v>186</v>
      </c>
      <c r="BO7" s="99" t="s">
        <v>187</v>
      </c>
      <c r="BP7" s="99" t="s">
        <v>188</v>
      </c>
      <c r="BQ7" s="99" t="s">
        <v>189</v>
      </c>
      <c r="BR7" s="99" t="s">
        <v>190</v>
      </c>
      <c r="BS7" s="99" t="s">
        <v>191</v>
      </c>
      <c r="BT7" s="99" t="s">
        <v>192</v>
      </c>
      <c r="BU7" s="99" t="s">
        <v>193</v>
      </c>
      <c r="BV7" s="99" t="s">
        <v>194</v>
      </c>
      <c r="BW7" s="99" t="s">
        <v>195</v>
      </c>
      <c r="BX7" s="99" t="s">
        <v>196</v>
      </c>
      <c r="BY7" s="99" t="s">
        <v>197</v>
      </c>
      <c r="BZ7" s="99" t="s">
        <v>198</v>
      </c>
      <c r="CA7" s="99" t="s">
        <v>199</v>
      </c>
      <c r="CB7" s="99" t="s">
        <v>200</v>
      </c>
      <c r="CC7" s="99" t="s">
        <v>201</v>
      </c>
      <c r="CD7" s="99" t="s">
        <v>202</v>
      </c>
      <c r="CE7" s="99" t="s">
        <v>203</v>
      </c>
      <c r="CF7" s="99" t="s">
        <v>229</v>
      </c>
      <c r="CG7" s="99" t="s">
        <v>230</v>
      </c>
      <c r="CH7" s="99" t="s">
        <v>231</v>
      </c>
      <c r="CI7" s="99" t="s">
        <v>204</v>
      </c>
      <c r="CJ7" s="115" t="s">
        <v>232</v>
      </c>
      <c r="CK7" s="115" t="s">
        <v>233</v>
      </c>
      <c r="CL7" s="99" t="s">
        <v>204</v>
      </c>
      <c r="CM7" s="99" t="s">
        <v>204</v>
      </c>
      <c r="CN7" s="99" t="s">
        <v>204</v>
      </c>
      <c r="CO7" s="99" t="s">
        <v>204</v>
      </c>
      <c r="CP7" s="99" t="s">
        <v>204</v>
      </c>
      <c r="CQ7" s="99" t="s">
        <v>204</v>
      </c>
      <c r="CR7" s="99" t="s">
        <v>204</v>
      </c>
      <c r="CS7" s="99" t="s">
        <v>204</v>
      </c>
      <c r="CT7" s="99" t="s">
        <v>204</v>
      </c>
      <c r="CU7" s="99" t="s">
        <v>204</v>
      </c>
      <c r="CV7" s="99" t="s">
        <v>204</v>
      </c>
      <c r="CW7" s="99" t="s">
        <v>204</v>
      </c>
      <c r="CX7" s="99" t="s">
        <v>204</v>
      </c>
      <c r="CY7" s="99" t="s">
        <v>204</v>
      </c>
      <c r="CZ7" s="99" t="s">
        <v>204</v>
      </c>
      <c r="DA7" s="99" t="s">
        <v>204</v>
      </c>
      <c r="DB7" s="99" t="s">
        <v>204</v>
      </c>
      <c r="DC7" s="99" t="s">
        <v>204</v>
      </c>
      <c r="DD7" s="99" t="s">
        <v>204</v>
      </c>
      <c r="DE7" s="99" t="s">
        <v>204</v>
      </c>
      <c r="DF7" s="99" t="s">
        <v>204</v>
      </c>
      <c r="DG7" s="99" t="s">
        <v>204</v>
      </c>
      <c r="DH7" s="99" t="s">
        <v>204</v>
      </c>
      <c r="DI7" s="99" t="s">
        <v>204</v>
      </c>
      <c r="DJ7" s="99" t="s">
        <v>204</v>
      </c>
      <c r="DK7" s="99" t="s">
        <v>204</v>
      </c>
      <c r="DL7" s="99" t="s">
        <v>204</v>
      </c>
      <c r="DM7" s="99" t="s">
        <v>204</v>
      </c>
      <c r="DN7" s="99" t="s">
        <v>204</v>
      </c>
      <c r="DO7" s="99" t="s">
        <v>204</v>
      </c>
      <c r="DP7" s="99" t="s">
        <v>204</v>
      </c>
      <c r="DQ7" s="99" t="s">
        <v>204</v>
      </c>
      <c r="DR7" s="99" t="s">
        <v>204</v>
      </c>
      <c r="DS7" s="99" t="s">
        <v>204</v>
      </c>
      <c r="DT7" s="99" t="s">
        <v>204</v>
      </c>
      <c r="DU7" s="99" t="s">
        <v>204</v>
      </c>
      <c r="DV7" s="99" t="s">
        <v>204</v>
      </c>
      <c r="DW7" s="99" t="s">
        <v>204</v>
      </c>
      <c r="DX7" s="99" t="s">
        <v>204</v>
      </c>
      <c r="DY7" s="99" t="s">
        <v>204</v>
      </c>
      <c r="DZ7" s="99" t="s">
        <v>204</v>
      </c>
      <c r="EA7" s="99" t="s">
        <v>204</v>
      </c>
      <c r="EB7" s="99" t="s">
        <v>204</v>
      </c>
      <c r="EC7" s="99" t="s">
        <v>204</v>
      </c>
      <c r="ED7" s="99" t="s">
        <v>204</v>
      </c>
      <c r="EE7" s="99" t="s">
        <v>204</v>
      </c>
      <c r="EF7" s="99" t="s">
        <v>204</v>
      </c>
      <c r="EG7" s="99" t="s">
        <v>204</v>
      </c>
      <c r="EH7" s="99" t="s">
        <v>204</v>
      </c>
      <c r="EI7" s="99" t="s">
        <v>204</v>
      </c>
      <c r="EJ7" s="99" t="s">
        <v>204</v>
      </c>
      <c r="EK7" s="99" t="s">
        <v>204</v>
      </c>
      <c r="EL7" s="99" t="s">
        <v>204</v>
      </c>
      <c r="EM7" s="99" t="s">
        <v>204</v>
      </c>
      <c r="EN7" s="99" t="s">
        <v>204</v>
      </c>
      <c r="EO7" s="99" t="s">
        <v>204</v>
      </c>
      <c r="EP7" s="99" t="s">
        <v>204</v>
      </c>
      <c r="EQ7" s="99" t="s">
        <v>204</v>
      </c>
      <c r="ER7" s="99" t="s">
        <v>204</v>
      </c>
      <c r="ES7" s="99" t="s">
        <v>204</v>
      </c>
      <c r="ET7" s="99" t="s">
        <v>204</v>
      </c>
      <c r="EU7" s="99" t="s">
        <v>204</v>
      </c>
      <c r="EV7" s="99" t="s">
        <v>204</v>
      </c>
      <c r="EW7" s="99" t="s">
        <v>204</v>
      </c>
      <c r="EX7" s="99" t="s">
        <v>204</v>
      </c>
      <c r="EY7" s="99" t="s">
        <v>204</v>
      </c>
      <c r="EZ7" s="99" t="s">
        <v>204</v>
      </c>
      <c r="FA7" s="99" t="s">
        <v>204</v>
      </c>
      <c r="FB7" s="99" t="s">
        <v>204</v>
      </c>
      <c r="FC7" s="99" t="s">
        <v>204</v>
      </c>
      <c r="FD7" s="99" t="s">
        <v>204</v>
      </c>
      <c r="FE7" s="99" t="s">
        <v>204</v>
      </c>
      <c r="FF7" s="99" t="s">
        <v>204</v>
      </c>
      <c r="FG7" s="99" t="s">
        <v>204</v>
      </c>
      <c r="FH7" s="99" t="s">
        <v>204</v>
      </c>
      <c r="FI7" s="99" t="s">
        <v>204</v>
      </c>
      <c r="FJ7" s="99" t="s">
        <v>204</v>
      </c>
      <c r="FK7" s="99" t="s">
        <v>204</v>
      </c>
      <c r="FL7" s="99" t="s">
        <v>204</v>
      </c>
      <c r="FM7" s="99" t="s">
        <v>204</v>
      </c>
      <c r="FN7" s="99" t="s">
        <v>204</v>
      </c>
      <c r="FO7" s="99" t="s">
        <v>204</v>
      </c>
      <c r="FP7" s="99" t="s">
        <v>204</v>
      </c>
      <c r="FQ7" s="99" t="s">
        <v>204</v>
      </c>
      <c r="FR7" s="99" t="s">
        <v>204</v>
      </c>
      <c r="FS7" s="99" t="s">
        <v>204</v>
      </c>
      <c r="FT7" s="99" t="s">
        <v>204</v>
      </c>
      <c r="FU7" s="99" t="s">
        <v>204</v>
      </c>
      <c r="FV7" s="99" t="s">
        <v>204</v>
      </c>
      <c r="FW7" s="99" t="s">
        <v>204</v>
      </c>
      <c r="FX7" s="99" t="s">
        <v>204</v>
      </c>
      <c r="FY7" s="99" t="s">
        <v>204</v>
      </c>
      <c r="FZ7" s="99" t="s">
        <v>204</v>
      </c>
      <c r="GA7" s="99" t="s">
        <v>204</v>
      </c>
      <c r="GB7" s="99" t="s">
        <v>204</v>
      </c>
      <c r="GC7" s="99" t="s">
        <v>204</v>
      </c>
      <c r="GD7" s="99" t="s">
        <v>204</v>
      </c>
      <c r="GE7" s="99" t="s">
        <v>204</v>
      </c>
      <c r="GF7" s="99" t="s">
        <v>204</v>
      </c>
      <c r="GG7" s="99" t="s">
        <v>204</v>
      </c>
      <c r="GH7" s="99" t="s">
        <v>204</v>
      </c>
      <c r="GI7" s="99" t="s">
        <v>204</v>
      </c>
      <c r="GJ7" s="99" t="s">
        <v>204</v>
      </c>
      <c r="GK7" s="99" t="s">
        <v>204</v>
      </c>
      <c r="GL7" s="99" t="s">
        <v>204</v>
      </c>
      <c r="GM7" s="99" t="s">
        <v>204</v>
      </c>
      <c r="GN7" s="99" t="s">
        <v>204</v>
      </c>
      <c r="GO7" s="99" t="s">
        <v>204</v>
      </c>
      <c r="GP7" s="99" t="s">
        <v>204</v>
      </c>
      <c r="GQ7" s="99" t="s">
        <v>204</v>
      </c>
      <c r="GR7" s="99" t="s">
        <v>204</v>
      </c>
      <c r="GS7" s="99" t="s">
        <v>204</v>
      </c>
      <c r="GT7" s="99" t="s">
        <v>204</v>
      </c>
      <c r="GU7" s="99" t="s">
        <v>204</v>
      </c>
      <c r="GV7" s="99" t="s">
        <v>204</v>
      </c>
      <c r="GW7" s="99" t="s">
        <v>204</v>
      </c>
      <c r="GX7" s="99" t="s">
        <v>204</v>
      </c>
      <c r="GY7" s="99" t="s">
        <v>204</v>
      </c>
      <c r="GZ7" s="99" t="s">
        <v>204</v>
      </c>
      <c r="HA7" s="99" t="s">
        <v>204</v>
      </c>
      <c r="HB7" s="99" t="s">
        <v>204</v>
      </c>
      <c r="HC7" s="99" t="s">
        <v>204</v>
      </c>
      <c r="HD7" s="99" t="s">
        <v>204</v>
      </c>
      <c r="HE7" s="99" t="s">
        <v>204</v>
      </c>
      <c r="HF7" s="99" t="s">
        <v>204</v>
      </c>
      <c r="HG7" s="99" t="s">
        <v>204</v>
      </c>
      <c r="HH7" s="99" t="s">
        <v>204</v>
      </c>
      <c r="HI7" s="99" t="s">
        <v>204</v>
      </c>
      <c r="HJ7" s="99" t="s">
        <v>204</v>
      </c>
      <c r="HK7" s="99" t="s">
        <v>204</v>
      </c>
      <c r="HL7" s="99" t="s">
        <v>204</v>
      </c>
      <c r="HM7" s="99" t="s">
        <v>204</v>
      </c>
      <c r="HN7" s="99" t="s">
        <v>204</v>
      </c>
      <c r="HO7" s="99" t="s">
        <v>204</v>
      </c>
      <c r="HP7" s="99" t="s">
        <v>204</v>
      </c>
      <c r="HQ7" s="99" t="s">
        <v>204</v>
      </c>
      <c r="HR7" s="99" t="s">
        <v>204</v>
      </c>
      <c r="HS7" s="99" t="s">
        <v>204</v>
      </c>
      <c r="HT7" s="99" t="s">
        <v>204</v>
      </c>
      <c r="HU7" s="99" t="s">
        <v>204</v>
      </c>
      <c r="HV7" s="99" t="s">
        <v>204</v>
      </c>
      <c r="HW7" s="99" t="s">
        <v>204</v>
      </c>
      <c r="HX7" s="99" t="s">
        <v>204</v>
      </c>
      <c r="HY7" s="99" t="s">
        <v>204</v>
      </c>
      <c r="HZ7" s="99" t="s">
        <v>204</v>
      </c>
      <c r="IA7" s="99" t="s">
        <v>204</v>
      </c>
      <c r="IB7" s="99" t="s">
        <v>204</v>
      </c>
      <c r="IC7" s="99" t="s">
        <v>204</v>
      </c>
      <c r="ID7" s="99" t="s">
        <v>204</v>
      </c>
      <c r="IE7" s="99" t="s">
        <v>204</v>
      </c>
      <c r="IF7" s="99" t="s">
        <v>204</v>
      </c>
      <c r="IG7" s="99" t="s">
        <v>204</v>
      </c>
      <c r="IH7" s="99" t="s">
        <v>204</v>
      </c>
      <c r="II7" s="99" t="s">
        <v>204</v>
      </c>
      <c r="IJ7" s="99" t="s">
        <v>204</v>
      </c>
      <c r="IK7" s="99" t="s">
        <v>204</v>
      </c>
      <c r="IL7" s="99" t="s">
        <v>204</v>
      </c>
      <c r="IM7" s="99" t="s">
        <v>204</v>
      </c>
      <c r="IN7" s="99" t="s">
        <v>204</v>
      </c>
      <c r="IO7" s="99" t="s">
        <v>204</v>
      </c>
      <c r="IP7" s="99" t="s">
        <v>204</v>
      </c>
      <c r="IQ7" s="99" t="s">
        <v>204</v>
      </c>
      <c r="IR7" s="99" t="s">
        <v>204</v>
      </c>
      <c r="IS7" s="99" t="s">
        <v>204</v>
      </c>
      <c r="IT7" s="99" t="s">
        <v>204</v>
      </c>
      <c r="IU7" s="99" t="s">
        <v>204</v>
      </c>
      <c r="IV7" s="99" t="s">
        <v>204</v>
      </c>
    </row>
    <row r="8" spans="1:256" s="91" customFormat="1">
      <c r="A8" s="111" t="s">
        <v>205</v>
      </c>
      <c r="B8" s="111" t="s">
        <v>206</v>
      </c>
      <c r="C8" s="72">
        <v>67000</v>
      </c>
      <c r="D8" s="72">
        <v>67950</v>
      </c>
      <c r="E8" s="72">
        <v>69500</v>
      </c>
      <c r="F8" s="72">
        <v>70850</v>
      </c>
      <c r="G8" s="72">
        <v>72950</v>
      </c>
      <c r="H8" s="72">
        <v>74300</v>
      </c>
      <c r="I8" s="72">
        <v>76000</v>
      </c>
      <c r="J8" s="72">
        <v>77950</v>
      </c>
      <c r="K8" s="72">
        <v>79950</v>
      </c>
      <c r="L8" s="72">
        <v>81500</v>
      </c>
      <c r="M8" s="72">
        <v>84000</v>
      </c>
      <c r="N8" s="72">
        <v>85950</v>
      </c>
      <c r="O8" s="72">
        <v>87950</v>
      </c>
      <c r="P8" s="72">
        <v>89000</v>
      </c>
      <c r="Q8" s="72">
        <v>90000</v>
      </c>
      <c r="R8" s="72">
        <v>93450</v>
      </c>
      <c r="S8" s="72">
        <v>96950</v>
      </c>
      <c r="T8" s="72">
        <v>99495</v>
      </c>
      <c r="U8" s="72">
        <v>102995</v>
      </c>
      <c r="V8" s="72">
        <v>105995</v>
      </c>
      <c r="W8" s="72">
        <v>109995</v>
      </c>
      <c r="X8" s="72">
        <v>112500</v>
      </c>
      <c r="Y8" s="72">
        <v>116000</v>
      </c>
      <c r="Z8" s="72">
        <v>119950</v>
      </c>
      <c r="AA8" s="72">
        <v>122950</v>
      </c>
      <c r="AB8" s="72">
        <v>125500</v>
      </c>
      <c r="AC8" s="72">
        <v>130000</v>
      </c>
      <c r="AD8" s="72">
        <v>134995</v>
      </c>
      <c r="AE8" s="72">
        <v>139995</v>
      </c>
      <c r="AF8" s="72">
        <v>143995</v>
      </c>
      <c r="AG8" s="72">
        <v>149000</v>
      </c>
      <c r="AH8" s="72">
        <v>152995</v>
      </c>
      <c r="AI8" s="72">
        <v>158950</v>
      </c>
      <c r="AJ8" s="72">
        <v>160500</v>
      </c>
      <c r="AK8" s="72">
        <v>165500</v>
      </c>
      <c r="AL8" s="72">
        <v>169995</v>
      </c>
      <c r="AM8" s="72">
        <v>174735</v>
      </c>
      <c r="AN8" s="72">
        <v>175000</v>
      </c>
      <c r="AO8" s="72">
        <v>177000</v>
      </c>
      <c r="AP8" s="72">
        <v>176500</v>
      </c>
      <c r="AQ8" s="72">
        <v>175000</v>
      </c>
      <c r="AR8" s="72">
        <v>175000</v>
      </c>
      <c r="AS8" s="72">
        <v>175000</v>
      </c>
      <c r="AT8" s="72">
        <v>175000</v>
      </c>
      <c r="AU8" s="72">
        <v>177950</v>
      </c>
      <c r="AV8" s="72">
        <v>179000</v>
      </c>
      <c r="AW8" s="72">
        <v>179995</v>
      </c>
      <c r="AX8" s="72">
        <v>180000</v>
      </c>
      <c r="AY8" s="72">
        <v>180000</v>
      </c>
      <c r="AZ8" s="72">
        <v>179995</v>
      </c>
      <c r="BA8" s="72">
        <v>180000</v>
      </c>
      <c r="BB8" s="72">
        <v>179950</v>
      </c>
      <c r="BC8" s="72">
        <v>175000</v>
      </c>
      <c r="BD8" s="72">
        <v>170000</v>
      </c>
      <c r="BE8" s="72">
        <v>165000</v>
      </c>
      <c r="BF8" s="72">
        <v>165000</v>
      </c>
      <c r="BG8" s="72">
        <v>166203</v>
      </c>
      <c r="BH8" s="72">
        <v>170000</v>
      </c>
      <c r="BI8" s="72">
        <v>174995</v>
      </c>
      <c r="BJ8" s="72">
        <v>175000</v>
      </c>
      <c r="BK8" s="72">
        <v>180000</v>
      </c>
      <c r="BL8" s="72">
        <v>180000</v>
      </c>
      <c r="BM8" s="72">
        <v>180000</v>
      </c>
      <c r="BN8" s="72">
        <v>180000</v>
      </c>
      <c r="BO8" s="72">
        <v>180000</v>
      </c>
      <c r="BP8" s="72">
        <v>182000</v>
      </c>
      <c r="BQ8" s="72">
        <v>185000</v>
      </c>
      <c r="BR8" s="72">
        <v>189950</v>
      </c>
      <c r="BS8" s="72">
        <v>194000</v>
      </c>
      <c r="BT8" s="72">
        <v>196995</v>
      </c>
      <c r="BU8" s="72">
        <v>199999</v>
      </c>
      <c r="BV8" s="72">
        <v>203000</v>
      </c>
      <c r="BW8" s="72">
        <v>208000</v>
      </c>
      <c r="BX8" s="72">
        <v>210000</v>
      </c>
      <c r="BY8" s="72">
        <v>215500</v>
      </c>
      <c r="BZ8" s="72">
        <v>219950</v>
      </c>
      <c r="CA8" s="72">
        <v>223950</v>
      </c>
      <c r="CB8" s="72">
        <v>225950</v>
      </c>
      <c r="CC8" s="72">
        <v>230300</v>
      </c>
      <c r="CD8" s="72">
        <v>237725</v>
      </c>
      <c r="CE8" s="72">
        <v>244995</v>
      </c>
      <c r="CF8" s="72">
        <v>249950</v>
      </c>
      <c r="CG8" s="72">
        <v>250000</v>
      </c>
      <c r="CH8" s="72">
        <v>254995</v>
      </c>
      <c r="CI8" s="72"/>
      <c r="CJ8" s="72"/>
      <c r="CK8" s="72"/>
      <c r="CL8" s="72"/>
      <c r="CM8" s="72"/>
      <c r="CN8" s="72"/>
      <c r="CO8" s="72"/>
      <c r="CP8" s="72"/>
      <c r="CQ8" s="72"/>
      <c r="CR8" s="72"/>
      <c r="CS8" s="72"/>
      <c r="CT8" s="72"/>
      <c r="CU8" s="72"/>
      <c r="CV8" s="72"/>
      <c r="CW8" s="72"/>
      <c r="CX8" s="72"/>
      <c r="CY8" s="72"/>
      <c r="CZ8" s="72"/>
      <c r="DA8" s="72"/>
      <c r="DB8" s="72"/>
      <c r="DC8" s="72"/>
      <c r="DD8" s="72"/>
      <c r="DE8" s="72"/>
      <c r="DF8" s="72"/>
      <c r="DG8" s="72"/>
      <c r="DH8" s="72"/>
      <c r="DI8" s="72"/>
      <c r="DJ8" s="72"/>
      <c r="DK8" s="72"/>
      <c r="DL8" s="72"/>
      <c r="DM8" s="72"/>
      <c r="DN8" s="72"/>
      <c r="DO8" s="72"/>
      <c r="DP8" s="72"/>
      <c r="DQ8" s="72"/>
      <c r="DR8" s="72"/>
      <c r="DS8" s="72"/>
      <c r="DT8" s="72"/>
      <c r="DU8" s="72"/>
      <c r="DV8" s="72"/>
      <c r="DW8" s="72"/>
      <c r="DX8" s="72"/>
      <c r="DY8" s="72"/>
      <c r="DZ8" s="72"/>
      <c r="EA8" s="72"/>
      <c r="EB8" s="72"/>
      <c r="EC8" s="72"/>
      <c r="ED8" s="72"/>
      <c r="EE8" s="72"/>
      <c r="EF8" s="72"/>
      <c r="EG8" s="72"/>
      <c r="EH8" s="72"/>
      <c r="EI8" s="72"/>
      <c r="EJ8" s="72"/>
      <c r="EK8" s="72"/>
      <c r="EL8" s="72"/>
      <c r="EM8" s="72"/>
      <c r="EN8" s="72"/>
      <c r="EO8" s="72"/>
      <c r="EP8" s="72"/>
      <c r="EQ8" s="72"/>
      <c r="ER8" s="72"/>
      <c r="ES8" s="72"/>
      <c r="ET8" s="72"/>
      <c r="EU8" s="72"/>
      <c r="EV8" s="72"/>
      <c r="EW8" s="72"/>
      <c r="EX8" s="72"/>
      <c r="EY8" s="72"/>
      <c r="EZ8" s="72"/>
      <c r="FA8" s="72"/>
      <c r="FB8" s="72"/>
      <c r="FC8" s="72"/>
      <c r="FD8" s="72"/>
      <c r="FE8" s="72"/>
      <c r="FF8" s="72"/>
      <c r="FG8" s="72"/>
      <c r="FH8" s="72"/>
      <c r="FI8" s="72"/>
      <c r="FJ8" s="72"/>
      <c r="FK8" s="72"/>
      <c r="FL8" s="72"/>
      <c r="FM8" s="72"/>
      <c r="FN8" s="72"/>
      <c r="FO8" s="72"/>
      <c r="FP8" s="72"/>
      <c r="FQ8" s="72"/>
      <c r="FR8" s="72"/>
      <c r="FS8" s="72"/>
      <c r="FT8" s="72"/>
      <c r="FU8" s="72"/>
      <c r="FV8" s="72"/>
      <c r="FW8" s="72"/>
      <c r="FX8" s="72"/>
      <c r="FY8" s="72"/>
      <c r="FZ8" s="72"/>
      <c r="GA8" s="72"/>
      <c r="GB8" s="72"/>
      <c r="GC8" s="72"/>
      <c r="GD8" s="72"/>
      <c r="GE8" s="72"/>
      <c r="GF8" s="72"/>
      <c r="GG8" s="72"/>
      <c r="GH8" s="72"/>
      <c r="GI8" s="72"/>
      <c r="GJ8" s="72"/>
      <c r="GK8" s="72"/>
      <c r="GL8" s="72"/>
      <c r="GM8" s="72"/>
      <c r="GN8" s="72"/>
      <c r="GO8" s="72"/>
      <c r="GP8" s="72"/>
      <c r="GQ8" s="72"/>
      <c r="GR8" s="72"/>
      <c r="GS8" s="72"/>
      <c r="GT8" s="72"/>
      <c r="GU8" s="72"/>
      <c r="GV8" s="72"/>
      <c r="GW8" s="72"/>
      <c r="GX8" s="72"/>
      <c r="GY8" s="72"/>
      <c r="GZ8" s="72"/>
      <c r="HA8" s="72"/>
      <c r="HB8" s="72"/>
      <c r="HC8" s="72"/>
      <c r="HD8" s="72"/>
      <c r="HE8" s="72"/>
      <c r="HF8" s="72"/>
      <c r="HG8" s="72"/>
      <c r="HH8" s="72"/>
      <c r="HI8" s="72"/>
      <c r="HJ8" s="72"/>
      <c r="HK8" s="72"/>
      <c r="HL8" s="72"/>
      <c r="HM8" s="72"/>
      <c r="HN8" s="72"/>
      <c r="HO8" s="72"/>
      <c r="HP8" s="72"/>
      <c r="HQ8" s="72"/>
      <c r="HR8" s="72"/>
      <c r="HS8" s="72"/>
      <c r="HT8" s="72"/>
      <c r="HU8" s="72"/>
      <c r="HV8" s="72"/>
      <c r="HW8" s="72"/>
      <c r="HX8" s="72"/>
      <c r="HY8" s="72"/>
      <c r="HZ8" s="72"/>
      <c r="IA8" s="72"/>
      <c r="IB8" s="72"/>
      <c r="IC8" s="72"/>
      <c r="ID8" s="72"/>
      <c r="IE8" s="72"/>
      <c r="IF8" s="72"/>
      <c r="IG8" s="72"/>
      <c r="IH8" s="72"/>
      <c r="II8" s="72"/>
      <c r="IJ8" s="72"/>
      <c r="IK8" s="72"/>
      <c r="IL8" s="72"/>
      <c r="IM8" s="72"/>
      <c r="IN8" s="72"/>
      <c r="IO8" s="72"/>
      <c r="IP8" s="72"/>
      <c r="IQ8" s="72"/>
      <c r="IR8" s="72"/>
      <c r="IS8" s="72"/>
      <c r="IT8" s="72"/>
      <c r="IU8" s="72"/>
      <c r="IV8" s="72"/>
    </row>
    <row r="9" spans="1:256" s="91" customFormat="1">
      <c r="A9" s="111"/>
      <c r="B9" s="111"/>
      <c r="C9" s="73"/>
      <c r="D9" s="73"/>
      <c r="E9" s="73"/>
      <c r="F9" s="73"/>
      <c r="G9" s="73"/>
      <c r="H9" s="73"/>
      <c r="I9" s="73"/>
      <c r="J9" s="73"/>
      <c r="K9" s="73"/>
      <c r="L9" s="73"/>
      <c r="M9" s="73"/>
      <c r="N9" s="73"/>
      <c r="O9" s="73"/>
      <c r="P9" s="73"/>
      <c r="Q9" s="73"/>
      <c r="R9" s="73"/>
      <c r="S9" s="73"/>
      <c r="T9" s="73"/>
      <c r="U9" s="73"/>
      <c r="V9" s="73"/>
      <c r="W9" s="73"/>
      <c r="X9" s="73"/>
      <c r="Y9" s="73"/>
      <c r="Z9" s="73"/>
      <c r="AA9" s="73"/>
      <c r="AB9" s="73"/>
      <c r="AC9" s="73"/>
      <c r="AD9" s="73"/>
      <c r="AE9" s="73"/>
      <c r="AF9" s="73"/>
      <c r="AG9" s="73"/>
      <c r="AH9" s="73"/>
      <c r="AI9" s="73"/>
      <c r="AJ9" s="73"/>
      <c r="AK9" s="73"/>
      <c r="AL9" s="73"/>
      <c r="AM9" s="73"/>
      <c r="AN9" s="73"/>
      <c r="AO9" s="73"/>
      <c r="AP9" s="73"/>
      <c r="AQ9" s="73"/>
      <c r="AR9" s="73"/>
      <c r="AS9" s="73"/>
      <c r="AT9" s="73"/>
      <c r="AU9" s="73"/>
      <c r="AV9" s="73"/>
      <c r="AW9" s="73"/>
      <c r="AX9" s="73"/>
      <c r="AY9" s="73"/>
      <c r="AZ9" s="73"/>
      <c r="BA9" s="73"/>
      <c r="BB9" s="73"/>
      <c r="BC9" s="73"/>
      <c r="BD9" s="73"/>
      <c r="BE9" s="73"/>
      <c r="BF9" s="73"/>
      <c r="BG9" s="73"/>
      <c r="BH9" s="73"/>
      <c r="BI9" s="73"/>
      <c r="BJ9" s="73"/>
      <c r="BK9" s="73"/>
      <c r="BL9" s="73"/>
      <c r="BM9" s="73"/>
      <c r="BN9" s="73"/>
      <c r="BO9" s="73"/>
      <c r="BP9" s="73"/>
      <c r="BQ9" s="73"/>
      <c r="BR9" s="73"/>
      <c r="BS9" s="73"/>
      <c r="BT9" s="73"/>
      <c r="BU9" s="73"/>
      <c r="BV9" s="73"/>
      <c r="BW9" s="73"/>
      <c r="BX9" s="73"/>
      <c r="BY9" s="73"/>
      <c r="BZ9" s="73"/>
      <c r="CA9" s="73"/>
      <c r="CB9" s="73"/>
      <c r="CC9" s="73"/>
    </row>
    <row r="10" spans="1:256" s="91" customFormat="1">
      <c r="A10" s="111" t="s">
        <v>207</v>
      </c>
      <c r="B10" s="111" t="s">
        <v>22</v>
      </c>
      <c r="C10" s="72">
        <v>67500</v>
      </c>
      <c r="D10" s="72">
        <v>68000</v>
      </c>
      <c r="E10" s="72">
        <v>69950</v>
      </c>
      <c r="F10" s="72">
        <v>71500</v>
      </c>
      <c r="G10" s="72">
        <v>73450</v>
      </c>
      <c r="H10" s="72">
        <v>74995</v>
      </c>
      <c r="I10" s="72">
        <v>76950</v>
      </c>
      <c r="J10" s="72">
        <v>78500</v>
      </c>
      <c r="K10" s="72">
        <v>80000</v>
      </c>
      <c r="L10" s="72">
        <v>82500</v>
      </c>
      <c r="M10" s="72">
        <v>84950</v>
      </c>
      <c r="N10" s="72">
        <v>86950</v>
      </c>
      <c r="O10" s="72">
        <v>88500</v>
      </c>
      <c r="P10" s="72">
        <v>89950</v>
      </c>
      <c r="Q10" s="72">
        <v>91950</v>
      </c>
      <c r="R10" s="72">
        <v>94748.5</v>
      </c>
      <c r="S10" s="72">
        <v>97995</v>
      </c>
      <c r="T10" s="72">
        <v>99995</v>
      </c>
      <c r="U10" s="72">
        <v>104950</v>
      </c>
      <c r="V10" s="72">
        <v>107995</v>
      </c>
      <c r="W10" s="72">
        <v>111995</v>
      </c>
      <c r="X10" s="72">
        <v>114995</v>
      </c>
      <c r="Y10" s="72">
        <v>118500</v>
      </c>
      <c r="Z10" s="72">
        <v>121000</v>
      </c>
      <c r="AA10" s="72">
        <v>124995</v>
      </c>
      <c r="AB10" s="72">
        <v>127500</v>
      </c>
      <c r="AC10" s="72">
        <v>132000</v>
      </c>
      <c r="AD10" s="72">
        <v>135995</v>
      </c>
      <c r="AE10" s="72">
        <v>141000</v>
      </c>
      <c r="AF10" s="72">
        <v>145000</v>
      </c>
      <c r="AG10" s="72">
        <v>149995</v>
      </c>
      <c r="AH10" s="72">
        <v>154950</v>
      </c>
      <c r="AI10" s="72">
        <v>159995</v>
      </c>
      <c r="AJ10" s="72">
        <v>162500</v>
      </c>
      <c r="AK10" s="72">
        <v>167000</v>
      </c>
      <c r="AL10" s="72">
        <v>170000</v>
      </c>
      <c r="AM10" s="72">
        <v>174995</v>
      </c>
      <c r="AN10" s="72">
        <v>175750</v>
      </c>
      <c r="AO10" s="72">
        <v>177950</v>
      </c>
      <c r="AP10" s="72">
        <v>177000</v>
      </c>
      <c r="AQ10" s="72">
        <v>175703</v>
      </c>
      <c r="AR10" s="72">
        <v>175000</v>
      </c>
      <c r="AS10" s="72">
        <v>175000</v>
      </c>
      <c r="AT10" s="72">
        <v>175750</v>
      </c>
      <c r="AU10" s="72">
        <v>178000</v>
      </c>
      <c r="AV10" s="72">
        <v>179503</v>
      </c>
      <c r="AW10" s="72">
        <v>179996</v>
      </c>
      <c r="AX10" s="72">
        <v>180000</v>
      </c>
      <c r="AY10" s="72">
        <v>180000</v>
      </c>
      <c r="AZ10" s="72">
        <v>180000</v>
      </c>
      <c r="BA10" s="72">
        <v>180000</v>
      </c>
      <c r="BB10" s="72">
        <v>180000</v>
      </c>
      <c r="BC10" s="72">
        <v>175000</v>
      </c>
      <c r="BD10" s="72">
        <v>172500</v>
      </c>
      <c r="BE10" s="72">
        <v>166057</v>
      </c>
      <c r="BF10" s="72">
        <v>165000</v>
      </c>
      <c r="BG10" s="72">
        <v>169950</v>
      </c>
      <c r="BH10" s="72">
        <v>172000</v>
      </c>
      <c r="BI10" s="72">
        <v>175000</v>
      </c>
      <c r="BJ10" s="72">
        <v>177500</v>
      </c>
      <c r="BK10" s="72">
        <v>181000</v>
      </c>
      <c r="BL10" s="72">
        <v>181000</v>
      </c>
      <c r="BM10" s="72">
        <v>180950</v>
      </c>
      <c r="BN10" s="72">
        <v>181999.5</v>
      </c>
      <c r="BO10" s="72">
        <v>182000</v>
      </c>
      <c r="BP10" s="72">
        <v>184995</v>
      </c>
      <c r="BQ10" s="72">
        <v>188000</v>
      </c>
      <c r="BR10" s="72">
        <v>190000</v>
      </c>
      <c r="BS10" s="72">
        <v>195000</v>
      </c>
      <c r="BT10" s="72">
        <v>199950</v>
      </c>
      <c r="BU10" s="72">
        <v>200000</v>
      </c>
      <c r="BV10" s="72">
        <v>205000</v>
      </c>
      <c r="BW10" s="72">
        <v>210000</v>
      </c>
      <c r="BX10" s="72">
        <v>212000</v>
      </c>
      <c r="BY10" s="72">
        <v>219950</v>
      </c>
      <c r="BZ10" s="72">
        <v>220000</v>
      </c>
      <c r="CA10" s="72">
        <v>225000</v>
      </c>
      <c r="CB10" s="72">
        <v>229995</v>
      </c>
      <c r="CC10" s="72">
        <v>235000</v>
      </c>
      <c r="CD10" s="91">
        <v>240000</v>
      </c>
      <c r="CE10" s="91">
        <v>249750</v>
      </c>
      <c r="CF10" s="91">
        <v>250000</v>
      </c>
      <c r="CG10" s="91">
        <v>255000</v>
      </c>
      <c r="CH10" s="91">
        <v>259950</v>
      </c>
      <c r="CJ10" s="91">
        <f>SUMPRODUCT((BY10:CB10),'HPSSA NB sales'!BY10:CB10)/SUM('HPSSA NB sales'!BY10:CB10)</f>
        <v>223769.79935408192</v>
      </c>
      <c r="CK10" s="91">
        <f>SUMPRODUCT(BU10:BX10,'HPSSA NB sales'!BU10:BX10)/SUM('HPSSA NB sales'!BU10:BX10)</f>
        <v>207057.05456095483</v>
      </c>
    </row>
    <row r="11" spans="1:256" s="91" customFormat="1">
      <c r="A11" s="112"/>
      <c r="B11" s="112"/>
      <c r="C11" s="73"/>
      <c r="D11" s="73"/>
      <c r="E11" s="73"/>
      <c r="F11" s="73"/>
      <c r="G11" s="73"/>
      <c r="H11" s="73"/>
      <c r="I11" s="73"/>
      <c r="J11" s="73"/>
      <c r="K11" s="73"/>
      <c r="L11" s="73"/>
      <c r="M11" s="73"/>
      <c r="N11" s="73"/>
      <c r="O11" s="73"/>
      <c r="P11" s="73"/>
      <c r="Q11" s="73"/>
      <c r="R11" s="73"/>
      <c r="S11" s="73"/>
      <c r="T11" s="73"/>
      <c r="U11" s="73"/>
      <c r="V11" s="73"/>
      <c r="W11" s="73"/>
      <c r="X11" s="73"/>
      <c r="Y11" s="73"/>
      <c r="Z11" s="73"/>
      <c r="AA11" s="73"/>
      <c r="AB11" s="73"/>
      <c r="AC11" s="73"/>
      <c r="AD11" s="73"/>
      <c r="AE11" s="73"/>
      <c r="AF11" s="73"/>
      <c r="AG11" s="73"/>
      <c r="AH11" s="73"/>
      <c r="AI11" s="73"/>
      <c r="AJ11" s="73"/>
      <c r="AK11" s="73"/>
      <c r="AL11" s="73"/>
      <c r="AM11" s="73"/>
      <c r="AN11" s="73"/>
      <c r="AO11" s="73"/>
      <c r="AP11" s="73"/>
      <c r="AQ11" s="73"/>
      <c r="AR11" s="73"/>
      <c r="AS11" s="73"/>
      <c r="AT11" s="73"/>
      <c r="AU11" s="73"/>
      <c r="AV11" s="73"/>
      <c r="AW11" s="73"/>
      <c r="AX11" s="73"/>
      <c r="AY11" s="73"/>
      <c r="AZ11" s="73"/>
      <c r="BA11" s="73"/>
      <c r="BB11" s="73"/>
      <c r="BC11" s="73"/>
      <c r="BD11" s="73"/>
      <c r="BE11" s="73"/>
      <c r="BF11" s="73"/>
      <c r="BG11" s="73"/>
      <c r="BH11" s="73"/>
      <c r="BI11" s="73"/>
      <c r="BJ11" s="73"/>
      <c r="BK11" s="73"/>
      <c r="BL11" s="73"/>
      <c r="BM11" s="73"/>
      <c r="BN11" s="73"/>
      <c r="BO11" s="73"/>
      <c r="BP11" s="73"/>
      <c r="BQ11" s="73"/>
      <c r="BR11" s="73"/>
      <c r="BS11" s="73"/>
      <c r="BT11" s="73"/>
      <c r="BU11" s="73"/>
      <c r="BV11" s="73"/>
      <c r="BW11" s="73"/>
      <c r="BX11" s="73"/>
      <c r="BY11" s="73"/>
      <c r="BZ11" s="73"/>
      <c r="CA11" s="73"/>
      <c r="CB11" s="73"/>
      <c r="CC11" s="73"/>
    </row>
    <row r="12" spans="1:256" s="91" customFormat="1">
      <c r="A12" s="111" t="s">
        <v>209</v>
      </c>
      <c r="B12" s="111" t="s">
        <v>31</v>
      </c>
      <c r="C12" s="73">
        <v>59950</v>
      </c>
      <c r="D12" s="73">
        <v>59950</v>
      </c>
      <c r="E12" s="73">
        <v>61675</v>
      </c>
      <c r="F12" s="73">
        <v>62950</v>
      </c>
      <c r="G12" s="73">
        <v>63697.5</v>
      </c>
      <c r="H12" s="73">
        <v>64000</v>
      </c>
      <c r="I12" s="73">
        <v>64950</v>
      </c>
      <c r="J12" s="73">
        <v>64995</v>
      </c>
      <c r="K12" s="73">
        <v>65950</v>
      </c>
      <c r="L12" s="73">
        <v>66950</v>
      </c>
      <c r="M12" s="73">
        <v>68000</v>
      </c>
      <c r="N12" s="73">
        <v>68950</v>
      </c>
      <c r="O12" s="73">
        <v>69995</v>
      </c>
      <c r="P12" s="73">
        <v>71500</v>
      </c>
      <c r="Q12" s="73">
        <v>73995</v>
      </c>
      <c r="R12" s="73">
        <v>75950</v>
      </c>
      <c r="S12" s="73">
        <v>78500</v>
      </c>
      <c r="T12" s="73">
        <v>79950</v>
      </c>
      <c r="U12" s="73">
        <v>81000</v>
      </c>
      <c r="V12" s="73">
        <v>82995</v>
      </c>
      <c r="W12" s="73">
        <v>84995</v>
      </c>
      <c r="X12" s="73">
        <v>85450</v>
      </c>
      <c r="Y12" s="73">
        <v>87000</v>
      </c>
      <c r="Z12" s="73">
        <v>89950</v>
      </c>
      <c r="AA12" s="73">
        <v>91000</v>
      </c>
      <c r="AB12" s="73">
        <v>91995</v>
      </c>
      <c r="AC12" s="73">
        <v>94000</v>
      </c>
      <c r="AD12" s="73">
        <v>97500</v>
      </c>
      <c r="AE12" s="73">
        <v>103950</v>
      </c>
      <c r="AF12" s="73">
        <v>107995</v>
      </c>
      <c r="AG12" s="73">
        <v>115995</v>
      </c>
      <c r="AH12" s="73">
        <v>124950</v>
      </c>
      <c r="AI12" s="73">
        <v>134995</v>
      </c>
      <c r="AJ12" s="73">
        <v>138000</v>
      </c>
      <c r="AK12" s="73">
        <v>144950</v>
      </c>
      <c r="AL12" s="73">
        <v>147995</v>
      </c>
      <c r="AM12" s="73">
        <v>154000</v>
      </c>
      <c r="AN12" s="73">
        <v>157920</v>
      </c>
      <c r="AO12" s="73">
        <v>157500</v>
      </c>
      <c r="AP12" s="73">
        <v>158995</v>
      </c>
      <c r="AQ12" s="73">
        <v>155745</v>
      </c>
      <c r="AR12" s="73">
        <v>152000</v>
      </c>
      <c r="AS12" s="73">
        <v>150000</v>
      </c>
      <c r="AT12" s="73">
        <v>150000</v>
      </c>
      <c r="AU12" s="73">
        <v>149995</v>
      </c>
      <c r="AV12" s="73">
        <v>150000</v>
      </c>
      <c r="AW12" s="73">
        <v>152750</v>
      </c>
      <c r="AX12" s="73">
        <v>151950</v>
      </c>
      <c r="AY12" s="73">
        <v>155000</v>
      </c>
      <c r="AZ12" s="73">
        <v>156972.5</v>
      </c>
      <c r="BA12" s="73">
        <v>155281.5</v>
      </c>
      <c r="BB12" s="73">
        <v>154544</v>
      </c>
      <c r="BC12" s="73">
        <v>149950</v>
      </c>
      <c r="BD12" s="73">
        <v>146995</v>
      </c>
      <c r="BE12" s="73">
        <v>142329</v>
      </c>
      <c r="BF12" s="73">
        <v>139950</v>
      </c>
      <c r="BG12" s="73">
        <v>141000</v>
      </c>
      <c r="BH12" s="73">
        <v>140997.5</v>
      </c>
      <c r="BI12" s="73">
        <v>143995</v>
      </c>
      <c r="BJ12" s="73">
        <v>144950</v>
      </c>
      <c r="BK12" s="73">
        <v>142995</v>
      </c>
      <c r="BL12" s="73">
        <v>144830.5</v>
      </c>
      <c r="BM12" s="73">
        <v>142351</v>
      </c>
      <c r="BN12" s="73">
        <v>140000</v>
      </c>
      <c r="BO12" s="73">
        <v>139972.5</v>
      </c>
      <c r="BP12" s="73">
        <v>140000</v>
      </c>
      <c r="BQ12" s="73">
        <v>140000</v>
      </c>
      <c r="BR12" s="73">
        <v>141000</v>
      </c>
      <c r="BS12" s="73">
        <v>144950</v>
      </c>
      <c r="BT12" s="73">
        <v>144995</v>
      </c>
      <c r="BU12" s="73">
        <v>144995</v>
      </c>
      <c r="BV12" s="73">
        <v>149562.5</v>
      </c>
      <c r="BW12" s="73">
        <v>150950</v>
      </c>
      <c r="BX12" s="73">
        <v>154995</v>
      </c>
      <c r="BY12" s="73">
        <v>159995</v>
      </c>
      <c r="BZ12" s="73">
        <v>160546</v>
      </c>
      <c r="CA12" s="73">
        <v>162950</v>
      </c>
      <c r="CB12" s="73">
        <v>164995</v>
      </c>
      <c r="CC12" s="73">
        <v>166950</v>
      </c>
      <c r="CD12" s="91">
        <v>169995</v>
      </c>
      <c r="CE12" s="91">
        <v>173550</v>
      </c>
      <c r="CF12" s="91">
        <v>171950</v>
      </c>
      <c r="CG12" s="91">
        <v>173950</v>
      </c>
      <c r="CH12" s="91">
        <v>171950</v>
      </c>
      <c r="CJ12" s="91">
        <f>SUMPRODUCT((BY12:CB12),'HPSSA NB sales'!BY12:CB12)/SUM('HPSSA NB sales'!BY12:CB12)</f>
        <v>162205.05987027151</v>
      </c>
      <c r="CK12" s="91">
        <f>SUMPRODUCT(BU12:BX12,'HPSSA NB sales'!BU12:BX12)/SUM('HPSSA NB sales'!BU12:BX12)</f>
        <v>150273.78069694061</v>
      </c>
    </row>
    <row r="13" spans="1:256" s="91" customFormat="1">
      <c r="A13" s="111" t="s">
        <v>210</v>
      </c>
      <c r="B13" s="111" t="s">
        <v>30</v>
      </c>
      <c r="C13" s="72">
        <v>59995</v>
      </c>
      <c r="D13" s="72">
        <v>59995</v>
      </c>
      <c r="E13" s="72">
        <v>60000</v>
      </c>
      <c r="F13" s="72">
        <v>62500</v>
      </c>
      <c r="G13" s="72">
        <v>62950</v>
      </c>
      <c r="H13" s="72">
        <v>64000</v>
      </c>
      <c r="I13" s="72">
        <v>65000</v>
      </c>
      <c r="J13" s="72">
        <v>66950</v>
      </c>
      <c r="K13" s="72">
        <v>68000</v>
      </c>
      <c r="L13" s="72">
        <v>69950</v>
      </c>
      <c r="M13" s="72">
        <v>71950</v>
      </c>
      <c r="N13" s="72">
        <v>73450</v>
      </c>
      <c r="O13" s="72">
        <v>74450</v>
      </c>
      <c r="P13" s="72">
        <v>74950</v>
      </c>
      <c r="Q13" s="72">
        <v>74950</v>
      </c>
      <c r="R13" s="72">
        <v>76050</v>
      </c>
      <c r="S13" s="72">
        <v>78500</v>
      </c>
      <c r="T13" s="72">
        <v>79950</v>
      </c>
      <c r="U13" s="72">
        <v>83200</v>
      </c>
      <c r="V13" s="72">
        <v>85700</v>
      </c>
      <c r="W13" s="72">
        <v>87995</v>
      </c>
      <c r="X13" s="72">
        <v>89950</v>
      </c>
      <c r="Y13" s="72">
        <v>91997.5</v>
      </c>
      <c r="Z13" s="72">
        <v>94995</v>
      </c>
      <c r="AA13" s="72">
        <v>98000</v>
      </c>
      <c r="AB13" s="72">
        <v>100000</v>
      </c>
      <c r="AC13" s="72">
        <v>104950</v>
      </c>
      <c r="AD13" s="72">
        <v>106995</v>
      </c>
      <c r="AE13" s="72">
        <v>109995</v>
      </c>
      <c r="AF13" s="72">
        <v>112000</v>
      </c>
      <c r="AG13" s="72">
        <v>116823</v>
      </c>
      <c r="AH13" s="72">
        <v>121950</v>
      </c>
      <c r="AI13" s="72">
        <v>129000</v>
      </c>
      <c r="AJ13" s="72">
        <v>132000</v>
      </c>
      <c r="AK13" s="72">
        <v>136950</v>
      </c>
      <c r="AL13" s="72">
        <v>140000</v>
      </c>
      <c r="AM13" s="72">
        <v>144000</v>
      </c>
      <c r="AN13" s="72">
        <v>145000</v>
      </c>
      <c r="AO13" s="72">
        <v>148498</v>
      </c>
      <c r="AP13" s="72">
        <v>147500</v>
      </c>
      <c r="AQ13" s="72">
        <v>146929</v>
      </c>
      <c r="AR13" s="72">
        <v>145950</v>
      </c>
      <c r="AS13" s="72">
        <v>146995</v>
      </c>
      <c r="AT13" s="72">
        <v>148000</v>
      </c>
      <c r="AU13" s="72">
        <v>150000</v>
      </c>
      <c r="AV13" s="72">
        <v>150995</v>
      </c>
      <c r="AW13" s="72">
        <v>153995</v>
      </c>
      <c r="AX13" s="72">
        <v>153000</v>
      </c>
      <c r="AY13" s="72">
        <v>149999</v>
      </c>
      <c r="AZ13" s="72">
        <v>149950</v>
      </c>
      <c r="BA13" s="72">
        <v>148787.5</v>
      </c>
      <c r="BB13" s="72">
        <v>148500</v>
      </c>
      <c r="BC13" s="72">
        <v>145000</v>
      </c>
      <c r="BD13" s="72">
        <v>141000</v>
      </c>
      <c r="BE13" s="72">
        <v>134950</v>
      </c>
      <c r="BF13" s="72">
        <v>131995</v>
      </c>
      <c r="BG13" s="72">
        <v>133856.5</v>
      </c>
      <c r="BH13" s="72">
        <v>134950</v>
      </c>
      <c r="BI13" s="72">
        <v>137500</v>
      </c>
      <c r="BJ13" s="72">
        <v>138500</v>
      </c>
      <c r="BK13" s="72">
        <v>140000</v>
      </c>
      <c r="BL13" s="72">
        <v>146000</v>
      </c>
      <c r="BM13" s="72">
        <v>147831</v>
      </c>
      <c r="BN13" s="72">
        <v>150245</v>
      </c>
      <c r="BO13" s="72">
        <v>152497.5</v>
      </c>
      <c r="BP13" s="72">
        <v>154995</v>
      </c>
      <c r="BQ13" s="72">
        <v>154995</v>
      </c>
      <c r="BR13" s="72">
        <v>155000</v>
      </c>
      <c r="BS13" s="72">
        <v>157000</v>
      </c>
      <c r="BT13" s="72">
        <v>157000</v>
      </c>
      <c r="BU13" s="72">
        <v>159995</v>
      </c>
      <c r="BV13" s="72">
        <v>159995</v>
      </c>
      <c r="BW13" s="72">
        <v>161500</v>
      </c>
      <c r="BX13" s="72">
        <v>163995</v>
      </c>
      <c r="BY13" s="72">
        <v>167000</v>
      </c>
      <c r="BZ13" s="72">
        <v>169950</v>
      </c>
      <c r="CA13" s="72">
        <v>170856</v>
      </c>
      <c r="CB13" s="72">
        <v>172995</v>
      </c>
      <c r="CC13" s="72">
        <v>174995</v>
      </c>
      <c r="CD13" s="91">
        <v>175950</v>
      </c>
      <c r="CE13" s="91">
        <v>178950</v>
      </c>
      <c r="CF13" s="91">
        <v>183000</v>
      </c>
      <c r="CG13" s="91">
        <v>184995</v>
      </c>
      <c r="CH13" s="91">
        <v>189995</v>
      </c>
      <c r="CJ13" s="91">
        <f>SUMPRODUCT((BY13:CB13),'HPSSA NB sales'!BY13:CB13)/SUM('HPSSA NB sales'!BY13:CB13)</f>
        <v>170287.46176365975</v>
      </c>
      <c r="CK13" s="91">
        <f>SUMPRODUCT(BU13:BX13,'HPSSA NB sales'!BU13:BX13)/SUM('HPSSA NB sales'!BU13:BX13)</f>
        <v>161520.29247517054</v>
      </c>
    </row>
    <row r="14" spans="1:256" s="91" customFormat="1">
      <c r="A14" s="111" t="s">
        <v>211</v>
      </c>
      <c r="B14" s="111" t="s">
        <v>48</v>
      </c>
      <c r="C14" s="72">
        <v>63495</v>
      </c>
      <c r="D14" s="72">
        <v>63500</v>
      </c>
      <c r="E14" s="72">
        <v>64995</v>
      </c>
      <c r="F14" s="72">
        <v>66950</v>
      </c>
      <c r="G14" s="72">
        <v>67950</v>
      </c>
      <c r="H14" s="72">
        <v>68995</v>
      </c>
      <c r="I14" s="72">
        <v>69000</v>
      </c>
      <c r="J14" s="72">
        <v>68950</v>
      </c>
      <c r="K14" s="72">
        <v>69950</v>
      </c>
      <c r="L14" s="72">
        <v>70000</v>
      </c>
      <c r="M14" s="72">
        <v>71950</v>
      </c>
      <c r="N14" s="72">
        <v>73637.5</v>
      </c>
      <c r="O14" s="72">
        <v>75000</v>
      </c>
      <c r="P14" s="72">
        <v>75287</v>
      </c>
      <c r="Q14" s="72">
        <v>77500</v>
      </c>
      <c r="R14" s="72">
        <v>77995</v>
      </c>
      <c r="S14" s="72">
        <v>79950</v>
      </c>
      <c r="T14" s="72">
        <v>79995</v>
      </c>
      <c r="U14" s="72">
        <v>82950</v>
      </c>
      <c r="V14" s="72">
        <v>85000</v>
      </c>
      <c r="W14" s="72">
        <v>87995</v>
      </c>
      <c r="X14" s="72">
        <v>89950</v>
      </c>
      <c r="Y14" s="72">
        <v>89995</v>
      </c>
      <c r="Z14" s="72">
        <v>91495</v>
      </c>
      <c r="AA14" s="72">
        <v>92950</v>
      </c>
      <c r="AB14" s="72">
        <v>94995</v>
      </c>
      <c r="AC14" s="72">
        <v>97995</v>
      </c>
      <c r="AD14" s="72">
        <v>100500</v>
      </c>
      <c r="AE14" s="72">
        <v>108950</v>
      </c>
      <c r="AF14" s="72">
        <v>110500</v>
      </c>
      <c r="AG14" s="72">
        <v>117995</v>
      </c>
      <c r="AH14" s="72">
        <v>121950</v>
      </c>
      <c r="AI14" s="72">
        <v>126950</v>
      </c>
      <c r="AJ14" s="72">
        <v>130000</v>
      </c>
      <c r="AK14" s="72">
        <v>135000</v>
      </c>
      <c r="AL14" s="72">
        <v>139925</v>
      </c>
      <c r="AM14" s="72">
        <v>143995</v>
      </c>
      <c r="AN14" s="72">
        <v>145000</v>
      </c>
      <c r="AO14" s="72">
        <v>147495</v>
      </c>
      <c r="AP14" s="72">
        <v>147995</v>
      </c>
      <c r="AQ14" s="72">
        <v>148950</v>
      </c>
      <c r="AR14" s="72">
        <v>149950</v>
      </c>
      <c r="AS14" s="72">
        <v>149995</v>
      </c>
      <c r="AT14" s="72">
        <v>150000</v>
      </c>
      <c r="AU14" s="72">
        <v>150000</v>
      </c>
      <c r="AV14" s="72">
        <v>150000</v>
      </c>
      <c r="AW14" s="72">
        <v>151447</v>
      </c>
      <c r="AX14" s="72">
        <v>150995</v>
      </c>
      <c r="AY14" s="72">
        <v>150000</v>
      </c>
      <c r="AZ14" s="72">
        <v>150000</v>
      </c>
      <c r="BA14" s="72">
        <v>148000</v>
      </c>
      <c r="BB14" s="72">
        <v>144995</v>
      </c>
      <c r="BC14" s="72">
        <v>139995</v>
      </c>
      <c r="BD14" s="72">
        <v>139000</v>
      </c>
      <c r="BE14" s="72">
        <v>134950</v>
      </c>
      <c r="BF14" s="72">
        <v>135000</v>
      </c>
      <c r="BG14" s="72">
        <v>137950</v>
      </c>
      <c r="BH14" s="72">
        <v>140000</v>
      </c>
      <c r="BI14" s="72">
        <v>144950</v>
      </c>
      <c r="BJ14" s="72">
        <v>147050</v>
      </c>
      <c r="BK14" s="72">
        <v>149995</v>
      </c>
      <c r="BL14" s="72">
        <v>149995</v>
      </c>
      <c r="BM14" s="72">
        <v>149995</v>
      </c>
      <c r="BN14" s="72">
        <v>149995</v>
      </c>
      <c r="BO14" s="72">
        <v>148125</v>
      </c>
      <c r="BP14" s="72">
        <v>149950</v>
      </c>
      <c r="BQ14" s="72">
        <v>149995</v>
      </c>
      <c r="BR14" s="72">
        <v>149995</v>
      </c>
      <c r="BS14" s="72">
        <v>150000</v>
      </c>
      <c r="BT14" s="72">
        <v>150000</v>
      </c>
      <c r="BU14" s="72">
        <v>153000</v>
      </c>
      <c r="BV14" s="72">
        <v>156500</v>
      </c>
      <c r="BW14" s="72">
        <v>159995</v>
      </c>
      <c r="BX14" s="72">
        <v>161747.5</v>
      </c>
      <c r="BY14" s="72">
        <v>167999</v>
      </c>
      <c r="BZ14" s="72">
        <v>169950</v>
      </c>
      <c r="CA14" s="72">
        <v>169995</v>
      </c>
      <c r="CB14" s="72">
        <v>170995</v>
      </c>
      <c r="CC14" s="72">
        <v>169995</v>
      </c>
      <c r="CD14" s="91">
        <v>170000</v>
      </c>
      <c r="CE14" s="91">
        <v>179950</v>
      </c>
      <c r="CF14" s="91">
        <v>181972.5</v>
      </c>
      <c r="CG14" s="91">
        <v>189950</v>
      </c>
      <c r="CH14" s="91">
        <v>190000</v>
      </c>
      <c r="CJ14" s="91">
        <f>SUMPRODUCT((BY14:CB14),'HPSSA NB sales'!BY14:CB14)/SUM('HPSSA NB sales'!BY14:CB14)</f>
        <v>169750.36828551738</v>
      </c>
      <c r="CK14" s="91">
        <f>SUMPRODUCT(BU14:BX14,'HPSSA NB sales'!BU14:BX14)/SUM('HPSSA NB sales'!BU14:BX14)</f>
        <v>158055.81625167219</v>
      </c>
    </row>
    <row r="15" spans="1:256" s="91" customFormat="1">
      <c r="A15" s="111" t="s">
        <v>212</v>
      </c>
      <c r="B15" s="111" t="s">
        <v>28</v>
      </c>
      <c r="C15" s="72">
        <v>59995</v>
      </c>
      <c r="D15" s="72">
        <v>60000</v>
      </c>
      <c r="E15" s="72">
        <v>63000</v>
      </c>
      <c r="F15" s="72">
        <v>65250</v>
      </c>
      <c r="G15" s="72">
        <v>67950</v>
      </c>
      <c r="H15" s="72">
        <v>69500</v>
      </c>
      <c r="I15" s="72">
        <v>71000</v>
      </c>
      <c r="J15" s="72">
        <v>72000</v>
      </c>
      <c r="K15" s="72">
        <v>73950</v>
      </c>
      <c r="L15" s="72">
        <v>74950</v>
      </c>
      <c r="M15" s="72">
        <v>75995</v>
      </c>
      <c r="N15" s="72">
        <v>78500</v>
      </c>
      <c r="O15" s="72">
        <v>79500</v>
      </c>
      <c r="P15" s="72">
        <v>79950</v>
      </c>
      <c r="Q15" s="72">
        <v>81812.5</v>
      </c>
      <c r="R15" s="72">
        <v>82950</v>
      </c>
      <c r="S15" s="72">
        <v>85000</v>
      </c>
      <c r="T15" s="72">
        <v>86950</v>
      </c>
      <c r="U15" s="72">
        <v>89950</v>
      </c>
      <c r="V15" s="72">
        <v>92300</v>
      </c>
      <c r="W15" s="72">
        <v>95500</v>
      </c>
      <c r="X15" s="72">
        <v>97950</v>
      </c>
      <c r="Y15" s="72">
        <v>101800</v>
      </c>
      <c r="Z15" s="72">
        <v>105000</v>
      </c>
      <c r="AA15" s="72">
        <v>108995</v>
      </c>
      <c r="AB15" s="72">
        <v>112000</v>
      </c>
      <c r="AC15" s="72">
        <v>115450</v>
      </c>
      <c r="AD15" s="72">
        <v>118995</v>
      </c>
      <c r="AE15" s="72">
        <v>124000</v>
      </c>
      <c r="AF15" s="72">
        <v>126950</v>
      </c>
      <c r="AG15" s="72">
        <v>132950</v>
      </c>
      <c r="AH15" s="72">
        <v>137995</v>
      </c>
      <c r="AI15" s="72">
        <v>140000</v>
      </c>
      <c r="AJ15" s="72">
        <v>143950</v>
      </c>
      <c r="AK15" s="72">
        <v>148950</v>
      </c>
      <c r="AL15" s="72">
        <v>150000</v>
      </c>
      <c r="AM15" s="72">
        <v>156850</v>
      </c>
      <c r="AN15" s="72">
        <v>159500</v>
      </c>
      <c r="AO15" s="72">
        <v>159995</v>
      </c>
      <c r="AP15" s="72">
        <v>159950</v>
      </c>
      <c r="AQ15" s="72">
        <v>157500</v>
      </c>
      <c r="AR15" s="72">
        <v>156000</v>
      </c>
      <c r="AS15" s="72">
        <v>155000</v>
      </c>
      <c r="AT15" s="72">
        <v>154950</v>
      </c>
      <c r="AU15" s="72">
        <v>155995</v>
      </c>
      <c r="AV15" s="72">
        <v>157995</v>
      </c>
      <c r="AW15" s="72">
        <v>159995</v>
      </c>
      <c r="AX15" s="72">
        <v>164000</v>
      </c>
      <c r="AY15" s="72">
        <v>163000</v>
      </c>
      <c r="AZ15" s="72">
        <v>162500</v>
      </c>
      <c r="BA15" s="72">
        <v>159995</v>
      </c>
      <c r="BB15" s="72">
        <v>155950</v>
      </c>
      <c r="BC15" s="72">
        <v>149995</v>
      </c>
      <c r="BD15" s="72">
        <v>147000</v>
      </c>
      <c r="BE15" s="72">
        <v>141950</v>
      </c>
      <c r="BF15" s="72">
        <v>140000</v>
      </c>
      <c r="BG15" s="72">
        <v>145000</v>
      </c>
      <c r="BH15" s="72">
        <v>147000</v>
      </c>
      <c r="BI15" s="72">
        <v>149950</v>
      </c>
      <c r="BJ15" s="72">
        <v>150000</v>
      </c>
      <c r="BK15" s="72">
        <v>154000</v>
      </c>
      <c r="BL15" s="72">
        <v>155000</v>
      </c>
      <c r="BM15" s="72">
        <v>156950</v>
      </c>
      <c r="BN15" s="72">
        <v>155000</v>
      </c>
      <c r="BO15" s="72">
        <v>155000</v>
      </c>
      <c r="BP15" s="72">
        <v>157849</v>
      </c>
      <c r="BQ15" s="72">
        <v>159950</v>
      </c>
      <c r="BR15" s="72">
        <v>159995</v>
      </c>
      <c r="BS15" s="72">
        <v>161775</v>
      </c>
      <c r="BT15" s="72">
        <v>163000</v>
      </c>
      <c r="BU15" s="72">
        <v>165000</v>
      </c>
      <c r="BV15" s="72">
        <v>168000</v>
      </c>
      <c r="BW15" s="72">
        <v>174950</v>
      </c>
      <c r="BX15" s="72">
        <v>175000</v>
      </c>
      <c r="BY15" s="72">
        <v>179995</v>
      </c>
      <c r="BZ15" s="72">
        <v>182950</v>
      </c>
      <c r="CA15" s="72">
        <v>185224</v>
      </c>
      <c r="CB15" s="72">
        <v>189950</v>
      </c>
      <c r="CC15" s="72">
        <v>194995</v>
      </c>
      <c r="CD15" s="91">
        <v>199995</v>
      </c>
      <c r="CE15" s="91">
        <v>208472.5</v>
      </c>
      <c r="CF15" s="91">
        <v>212247.5</v>
      </c>
      <c r="CG15" s="91">
        <v>215000</v>
      </c>
      <c r="CH15" s="91">
        <v>219750</v>
      </c>
      <c r="CJ15" s="91">
        <f>SUMPRODUCT((BY15:CB15),'HPSSA NB sales'!BY15:CB15)/SUM('HPSSA NB sales'!BY15:CB15)</f>
        <v>184626.06074226677</v>
      </c>
      <c r="CK15" s="91">
        <f>SUMPRODUCT(BU15:BX15,'HPSSA NB sales'!BU15:BX15)/SUM('HPSSA NB sales'!BU15:BX15)</f>
        <v>171017.39886907351</v>
      </c>
    </row>
    <row r="16" spans="1:256" s="91" customFormat="1">
      <c r="A16" s="111" t="s">
        <v>213</v>
      </c>
      <c r="B16" s="111" t="s">
        <v>27</v>
      </c>
      <c r="C16" s="72">
        <v>62000</v>
      </c>
      <c r="D16" s="72">
        <v>63000</v>
      </c>
      <c r="E16" s="72">
        <v>66000</v>
      </c>
      <c r="F16" s="72">
        <v>68475</v>
      </c>
      <c r="G16" s="72">
        <v>69995</v>
      </c>
      <c r="H16" s="72">
        <v>72000</v>
      </c>
      <c r="I16" s="72">
        <v>73450</v>
      </c>
      <c r="J16" s="72">
        <v>74000</v>
      </c>
      <c r="K16" s="72">
        <v>75000</v>
      </c>
      <c r="L16" s="72">
        <v>75972.5</v>
      </c>
      <c r="M16" s="72">
        <v>78500</v>
      </c>
      <c r="N16" s="72">
        <v>79995</v>
      </c>
      <c r="O16" s="72">
        <v>81995</v>
      </c>
      <c r="P16" s="72">
        <v>83950</v>
      </c>
      <c r="Q16" s="72">
        <v>85500</v>
      </c>
      <c r="R16" s="72">
        <v>88000</v>
      </c>
      <c r="S16" s="72">
        <v>92950</v>
      </c>
      <c r="T16" s="72">
        <v>95500</v>
      </c>
      <c r="U16" s="72">
        <v>99722.5</v>
      </c>
      <c r="V16" s="72">
        <v>102950</v>
      </c>
      <c r="W16" s="72">
        <v>107500</v>
      </c>
      <c r="X16" s="72">
        <v>110950</v>
      </c>
      <c r="Y16" s="72">
        <v>116200</v>
      </c>
      <c r="Z16" s="72">
        <v>120000</v>
      </c>
      <c r="AA16" s="72">
        <v>123950</v>
      </c>
      <c r="AB16" s="72">
        <v>125000</v>
      </c>
      <c r="AC16" s="72">
        <v>127995</v>
      </c>
      <c r="AD16" s="72">
        <v>131000</v>
      </c>
      <c r="AE16" s="72">
        <v>135000</v>
      </c>
      <c r="AF16" s="72">
        <v>139950</v>
      </c>
      <c r="AG16" s="72">
        <v>145000</v>
      </c>
      <c r="AH16" s="72">
        <v>148995</v>
      </c>
      <c r="AI16" s="72">
        <v>150925</v>
      </c>
      <c r="AJ16" s="72">
        <v>152000</v>
      </c>
      <c r="AK16" s="72">
        <v>152000</v>
      </c>
      <c r="AL16" s="72">
        <v>154950</v>
      </c>
      <c r="AM16" s="72">
        <v>157950</v>
      </c>
      <c r="AN16" s="72">
        <v>158000</v>
      </c>
      <c r="AO16" s="72">
        <v>159950</v>
      </c>
      <c r="AP16" s="72">
        <v>158950</v>
      </c>
      <c r="AQ16" s="72">
        <v>156069</v>
      </c>
      <c r="AR16" s="72">
        <v>157200</v>
      </c>
      <c r="AS16" s="72">
        <v>157500</v>
      </c>
      <c r="AT16" s="72">
        <v>157925</v>
      </c>
      <c r="AU16" s="72">
        <v>160500</v>
      </c>
      <c r="AV16" s="72">
        <v>161500</v>
      </c>
      <c r="AW16" s="72">
        <v>162950</v>
      </c>
      <c r="AX16" s="72">
        <v>162950</v>
      </c>
      <c r="AY16" s="72">
        <v>159950</v>
      </c>
      <c r="AZ16" s="72">
        <v>158425</v>
      </c>
      <c r="BA16" s="72">
        <v>155000</v>
      </c>
      <c r="BB16" s="72">
        <v>155000</v>
      </c>
      <c r="BC16" s="72">
        <v>149995</v>
      </c>
      <c r="BD16" s="72">
        <v>146250</v>
      </c>
      <c r="BE16" s="72">
        <v>142451</v>
      </c>
      <c r="BF16" s="72">
        <v>140450</v>
      </c>
      <c r="BG16" s="72">
        <v>145000</v>
      </c>
      <c r="BH16" s="72">
        <v>146000</v>
      </c>
      <c r="BI16" s="72">
        <v>150000</v>
      </c>
      <c r="BJ16" s="72">
        <v>150000</v>
      </c>
      <c r="BK16" s="72">
        <v>152000</v>
      </c>
      <c r="BL16" s="72">
        <v>154950</v>
      </c>
      <c r="BM16" s="72">
        <v>153970</v>
      </c>
      <c r="BN16" s="72">
        <v>152000</v>
      </c>
      <c r="BO16" s="72">
        <v>152000</v>
      </c>
      <c r="BP16" s="72">
        <v>154950</v>
      </c>
      <c r="BQ16" s="72">
        <v>155995</v>
      </c>
      <c r="BR16" s="72">
        <v>159995</v>
      </c>
      <c r="BS16" s="72">
        <v>163995</v>
      </c>
      <c r="BT16" s="72">
        <v>165000</v>
      </c>
      <c r="BU16" s="72">
        <v>165000</v>
      </c>
      <c r="BV16" s="72">
        <v>165995</v>
      </c>
      <c r="BW16" s="72">
        <v>169950</v>
      </c>
      <c r="BX16" s="72">
        <v>169995</v>
      </c>
      <c r="BY16" s="72">
        <v>174995</v>
      </c>
      <c r="BZ16" s="72">
        <v>178500</v>
      </c>
      <c r="CA16" s="72">
        <v>184750</v>
      </c>
      <c r="CB16" s="72">
        <v>187500</v>
      </c>
      <c r="CC16" s="72">
        <v>194995</v>
      </c>
      <c r="CD16" s="91">
        <v>200000</v>
      </c>
      <c r="CE16" s="91">
        <v>209950</v>
      </c>
      <c r="CF16" s="91">
        <v>207450</v>
      </c>
      <c r="CG16" s="91">
        <v>209995</v>
      </c>
      <c r="CH16" s="91">
        <v>210000</v>
      </c>
      <c r="CJ16" s="91">
        <f>SUMPRODUCT((BY16:CB16),'HPSSA NB sales'!BY16:CB16)/SUM('HPSSA NB sales'!BY16:CB16)</f>
        <v>181540.97322492464</v>
      </c>
      <c r="CK16" s="91">
        <f>SUMPRODUCT(BU16:BX16,'HPSSA NB sales'!BU16:BX16)/SUM('HPSSA NB sales'!BU16:BX16)</f>
        <v>167908.0534968907</v>
      </c>
    </row>
    <row r="17" spans="1:256" s="91" customFormat="1">
      <c r="A17" s="111" t="s">
        <v>214</v>
      </c>
      <c r="B17" s="111" t="s">
        <v>32</v>
      </c>
      <c r="C17" s="72">
        <v>69750</v>
      </c>
      <c r="D17" s="72">
        <v>69950</v>
      </c>
      <c r="E17" s="72">
        <v>70000</v>
      </c>
      <c r="F17" s="72">
        <v>71950</v>
      </c>
      <c r="G17" s="72">
        <v>72950</v>
      </c>
      <c r="H17" s="72">
        <v>74950</v>
      </c>
      <c r="I17" s="72">
        <v>77750</v>
      </c>
      <c r="J17" s="72">
        <v>79950</v>
      </c>
      <c r="K17" s="72">
        <v>82950</v>
      </c>
      <c r="L17" s="72">
        <v>85000</v>
      </c>
      <c r="M17" s="72">
        <v>88750</v>
      </c>
      <c r="N17" s="72">
        <v>89995</v>
      </c>
      <c r="O17" s="72">
        <v>92950</v>
      </c>
      <c r="P17" s="72">
        <v>94000</v>
      </c>
      <c r="Q17" s="72">
        <v>96995</v>
      </c>
      <c r="R17" s="72">
        <v>99995</v>
      </c>
      <c r="S17" s="72">
        <v>104995</v>
      </c>
      <c r="T17" s="72">
        <v>108950</v>
      </c>
      <c r="U17" s="72">
        <v>112000</v>
      </c>
      <c r="V17" s="72">
        <v>116450</v>
      </c>
      <c r="W17" s="72">
        <v>119995</v>
      </c>
      <c r="X17" s="72">
        <v>122500</v>
      </c>
      <c r="Y17" s="72">
        <v>127000</v>
      </c>
      <c r="Z17" s="72">
        <v>129950</v>
      </c>
      <c r="AA17" s="72">
        <v>135000</v>
      </c>
      <c r="AB17" s="72">
        <v>139000</v>
      </c>
      <c r="AC17" s="72">
        <v>145000</v>
      </c>
      <c r="AD17" s="72">
        <v>150000</v>
      </c>
      <c r="AE17" s="72">
        <v>157000</v>
      </c>
      <c r="AF17" s="72">
        <v>159995</v>
      </c>
      <c r="AG17" s="72">
        <v>165000</v>
      </c>
      <c r="AH17" s="72">
        <v>168500</v>
      </c>
      <c r="AI17" s="72">
        <v>171000</v>
      </c>
      <c r="AJ17" s="72">
        <v>174950</v>
      </c>
      <c r="AK17" s="72">
        <v>178950</v>
      </c>
      <c r="AL17" s="72">
        <v>180000</v>
      </c>
      <c r="AM17" s="72">
        <v>182500</v>
      </c>
      <c r="AN17" s="72">
        <v>182500</v>
      </c>
      <c r="AO17" s="72">
        <v>182500</v>
      </c>
      <c r="AP17" s="72">
        <v>184950</v>
      </c>
      <c r="AQ17" s="72">
        <v>184995</v>
      </c>
      <c r="AR17" s="72">
        <v>185000</v>
      </c>
      <c r="AS17" s="72">
        <v>186950</v>
      </c>
      <c r="AT17" s="72">
        <v>187500</v>
      </c>
      <c r="AU17" s="72">
        <v>190000</v>
      </c>
      <c r="AV17" s="72">
        <v>191995</v>
      </c>
      <c r="AW17" s="72">
        <v>194999</v>
      </c>
      <c r="AX17" s="72">
        <v>195000</v>
      </c>
      <c r="AY17" s="72">
        <v>195000</v>
      </c>
      <c r="AZ17" s="72">
        <v>193000</v>
      </c>
      <c r="BA17" s="72">
        <v>189999</v>
      </c>
      <c r="BB17" s="72">
        <v>188950</v>
      </c>
      <c r="BC17" s="72">
        <v>181472.5</v>
      </c>
      <c r="BD17" s="72">
        <v>180000</v>
      </c>
      <c r="BE17" s="72">
        <v>175000</v>
      </c>
      <c r="BF17" s="72">
        <v>175000</v>
      </c>
      <c r="BG17" s="72">
        <v>175000</v>
      </c>
      <c r="BH17" s="72">
        <v>175000</v>
      </c>
      <c r="BI17" s="72">
        <v>181500</v>
      </c>
      <c r="BJ17" s="72">
        <v>186950</v>
      </c>
      <c r="BK17" s="72">
        <v>194950</v>
      </c>
      <c r="BL17" s="72">
        <v>194995</v>
      </c>
      <c r="BM17" s="72">
        <v>194000</v>
      </c>
      <c r="BN17" s="72">
        <v>194995</v>
      </c>
      <c r="BO17" s="72">
        <v>195000</v>
      </c>
      <c r="BP17" s="72">
        <v>197287.5</v>
      </c>
      <c r="BQ17" s="72">
        <v>202000</v>
      </c>
      <c r="BR17" s="72">
        <v>204995</v>
      </c>
      <c r="BS17" s="72">
        <v>208995</v>
      </c>
      <c r="BT17" s="72">
        <v>212997.5</v>
      </c>
      <c r="BU17" s="72">
        <v>215000</v>
      </c>
      <c r="BV17" s="72">
        <v>220000</v>
      </c>
      <c r="BW17" s="72">
        <v>225000</v>
      </c>
      <c r="BX17" s="72">
        <v>229500</v>
      </c>
      <c r="BY17" s="72">
        <v>237595</v>
      </c>
      <c r="BZ17" s="72">
        <v>241995</v>
      </c>
      <c r="CA17" s="72">
        <v>249500</v>
      </c>
      <c r="CB17" s="72">
        <v>249995</v>
      </c>
      <c r="CC17" s="72">
        <v>250000</v>
      </c>
      <c r="CD17" s="91">
        <v>257000</v>
      </c>
      <c r="CE17" s="91">
        <v>260995</v>
      </c>
      <c r="CF17" s="91">
        <v>262995</v>
      </c>
      <c r="CG17" s="91">
        <v>269950</v>
      </c>
      <c r="CH17" s="91">
        <v>270000</v>
      </c>
      <c r="CJ17" s="91">
        <f>SUMPRODUCT((BY17:CB17),'HPSSA NB sales'!BY17:CB17)/SUM('HPSSA NB sales'!BY17:CB17)</f>
        <v>244697.51308962543</v>
      </c>
      <c r="CK17" s="91">
        <f>SUMPRODUCT(BU17:BX17,'HPSSA NB sales'!BU17:BX17)/SUM('HPSSA NB sales'!BU17:BX17)</f>
        <v>222736.40388129617</v>
      </c>
    </row>
    <row r="18" spans="1:256" s="91" customFormat="1">
      <c r="A18" s="111" t="s">
        <v>215</v>
      </c>
      <c r="B18" s="111" t="s">
        <v>24</v>
      </c>
      <c r="C18" s="72">
        <v>71995</v>
      </c>
      <c r="D18" s="72">
        <v>73169</v>
      </c>
      <c r="E18" s="72">
        <v>75000</v>
      </c>
      <c r="F18" s="72">
        <v>79995</v>
      </c>
      <c r="G18" s="72">
        <v>85995</v>
      </c>
      <c r="H18" s="72">
        <v>88902.5</v>
      </c>
      <c r="I18" s="72">
        <v>95000</v>
      </c>
      <c r="J18" s="72">
        <v>99995</v>
      </c>
      <c r="K18" s="72">
        <v>107000</v>
      </c>
      <c r="L18" s="72">
        <v>112995</v>
      </c>
      <c r="M18" s="72">
        <v>116972.5</v>
      </c>
      <c r="N18" s="72">
        <v>119950</v>
      </c>
      <c r="O18" s="72">
        <v>129950</v>
      </c>
      <c r="P18" s="72">
        <v>134000</v>
      </c>
      <c r="Q18" s="72">
        <v>138700</v>
      </c>
      <c r="R18" s="72">
        <v>148000</v>
      </c>
      <c r="S18" s="72">
        <v>155000</v>
      </c>
      <c r="T18" s="72">
        <v>162000</v>
      </c>
      <c r="U18" s="72">
        <v>172500</v>
      </c>
      <c r="V18" s="72">
        <v>180000</v>
      </c>
      <c r="W18" s="72">
        <v>190000</v>
      </c>
      <c r="X18" s="72">
        <v>195000</v>
      </c>
      <c r="Y18" s="72">
        <v>199950</v>
      </c>
      <c r="Z18" s="72">
        <v>198950</v>
      </c>
      <c r="AA18" s="72">
        <v>197000</v>
      </c>
      <c r="AB18" s="72">
        <v>195000</v>
      </c>
      <c r="AC18" s="72">
        <v>200000</v>
      </c>
      <c r="AD18" s="72">
        <v>207995</v>
      </c>
      <c r="AE18" s="72">
        <v>215000</v>
      </c>
      <c r="AF18" s="72">
        <v>220000</v>
      </c>
      <c r="AG18" s="72">
        <v>230000</v>
      </c>
      <c r="AH18" s="72">
        <v>241950</v>
      </c>
      <c r="AI18" s="72">
        <v>248750</v>
      </c>
      <c r="AJ18" s="72">
        <v>249500</v>
      </c>
      <c r="AK18" s="72">
        <v>249995</v>
      </c>
      <c r="AL18" s="72">
        <v>247000</v>
      </c>
      <c r="AM18" s="72">
        <v>244950</v>
      </c>
      <c r="AN18" s="72">
        <v>245000</v>
      </c>
      <c r="AO18" s="72">
        <v>245000</v>
      </c>
      <c r="AP18" s="72">
        <v>248000</v>
      </c>
      <c r="AQ18" s="72">
        <v>249995</v>
      </c>
      <c r="AR18" s="72">
        <v>249995</v>
      </c>
      <c r="AS18" s="72">
        <v>249998.5</v>
      </c>
      <c r="AT18" s="72">
        <v>250000</v>
      </c>
      <c r="AU18" s="72">
        <v>250000</v>
      </c>
      <c r="AV18" s="72">
        <v>250000</v>
      </c>
      <c r="AW18" s="72">
        <v>250000</v>
      </c>
      <c r="AX18" s="72">
        <v>250000</v>
      </c>
      <c r="AY18" s="72">
        <v>260000</v>
      </c>
      <c r="AZ18" s="72">
        <v>264950</v>
      </c>
      <c r="BA18" s="72">
        <v>271795</v>
      </c>
      <c r="BB18" s="72">
        <v>275000</v>
      </c>
      <c r="BC18" s="72">
        <v>266700</v>
      </c>
      <c r="BD18" s="72">
        <v>260000</v>
      </c>
      <c r="BE18" s="72">
        <v>250000</v>
      </c>
      <c r="BF18" s="72">
        <v>249950</v>
      </c>
      <c r="BG18" s="72">
        <v>250000</v>
      </c>
      <c r="BH18" s="72">
        <v>250000</v>
      </c>
      <c r="BI18" s="72">
        <v>250000</v>
      </c>
      <c r="BJ18" s="72">
        <v>262500</v>
      </c>
      <c r="BK18" s="72">
        <v>265100</v>
      </c>
      <c r="BL18" s="72">
        <v>273000</v>
      </c>
      <c r="BM18" s="72">
        <v>284235</v>
      </c>
      <c r="BN18" s="72">
        <v>285000</v>
      </c>
      <c r="BO18" s="72">
        <v>285000</v>
      </c>
      <c r="BP18" s="72">
        <v>281000</v>
      </c>
      <c r="BQ18" s="72">
        <v>280000</v>
      </c>
      <c r="BR18" s="72">
        <v>280000</v>
      </c>
      <c r="BS18" s="72">
        <v>285000</v>
      </c>
      <c r="BT18" s="72">
        <v>285000</v>
      </c>
      <c r="BU18" s="72">
        <v>294450</v>
      </c>
      <c r="BV18" s="72">
        <v>302500</v>
      </c>
      <c r="BW18" s="72">
        <v>315000</v>
      </c>
      <c r="BX18" s="72">
        <v>327750</v>
      </c>
      <c r="BY18" s="72">
        <v>350000</v>
      </c>
      <c r="BZ18" s="72">
        <v>360000</v>
      </c>
      <c r="CA18" s="72">
        <v>375000</v>
      </c>
      <c r="CB18" s="72">
        <v>395000</v>
      </c>
      <c r="CC18" s="72">
        <v>396000</v>
      </c>
      <c r="CD18" s="91">
        <v>404205</v>
      </c>
      <c r="CE18" s="91">
        <v>417000</v>
      </c>
      <c r="CF18" s="91">
        <v>430000</v>
      </c>
      <c r="CG18" s="91">
        <v>449950</v>
      </c>
      <c r="CH18" s="91">
        <v>472000</v>
      </c>
      <c r="CJ18" s="91">
        <f>SUMPRODUCT((BY18:CB18),'HPSSA NB sales'!BY18:CB18)/SUM('HPSSA NB sales'!BY18:CB18)</f>
        <v>369687.87957660941</v>
      </c>
      <c r="CK18" s="91">
        <f>SUMPRODUCT(BU18:BX18,'HPSSA NB sales'!BU18:BX18)/SUM('HPSSA NB sales'!BU18:BX18)</f>
        <v>310621.14150943398</v>
      </c>
    </row>
    <row r="19" spans="1:256" s="91" customFormat="1">
      <c r="A19" s="111" t="s">
        <v>216</v>
      </c>
      <c r="B19" s="111" t="s">
        <v>23</v>
      </c>
      <c r="C19" s="72">
        <v>83950</v>
      </c>
      <c r="D19" s="72">
        <v>84950</v>
      </c>
      <c r="E19" s="72">
        <v>86500</v>
      </c>
      <c r="F19" s="72">
        <v>88500</v>
      </c>
      <c r="G19" s="72">
        <v>89950</v>
      </c>
      <c r="H19" s="72">
        <v>91500</v>
      </c>
      <c r="I19" s="72">
        <v>94950</v>
      </c>
      <c r="J19" s="72">
        <v>97500</v>
      </c>
      <c r="K19" s="72">
        <v>102000</v>
      </c>
      <c r="L19" s="72">
        <v>105950</v>
      </c>
      <c r="M19" s="72">
        <v>110000</v>
      </c>
      <c r="N19" s="72">
        <v>114500</v>
      </c>
      <c r="O19" s="72">
        <v>116950</v>
      </c>
      <c r="P19" s="72">
        <v>117950</v>
      </c>
      <c r="Q19" s="72">
        <v>120000</v>
      </c>
      <c r="R19" s="72">
        <v>126000</v>
      </c>
      <c r="S19" s="72">
        <v>131000</v>
      </c>
      <c r="T19" s="72">
        <v>135000</v>
      </c>
      <c r="U19" s="72">
        <v>141000</v>
      </c>
      <c r="V19" s="72">
        <v>145950</v>
      </c>
      <c r="W19" s="72">
        <v>151298</v>
      </c>
      <c r="X19" s="72">
        <v>155000</v>
      </c>
      <c r="Y19" s="72">
        <v>159995</v>
      </c>
      <c r="Z19" s="72">
        <v>161000</v>
      </c>
      <c r="AA19" s="72">
        <v>164950</v>
      </c>
      <c r="AB19" s="72">
        <v>166500</v>
      </c>
      <c r="AC19" s="72">
        <v>170000</v>
      </c>
      <c r="AD19" s="72">
        <v>175000</v>
      </c>
      <c r="AE19" s="72">
        <v>182000</v>
      </c>
      <c r="AF19" s="72">
        <v>185000</v>
      </c>
      <c r="AG19" s="72">
        <v>190000</v>
      </c>
      <c r="AH19" s="72">
        <v>195000</v>
      </c>
      <c r="AI19" s="72">
        <v>199995</v>
      </c>
      <c r="AJ19" s="72">
        <v>200475</v>
      </c>
      <c r="AK19" s="72">
        <v>205000</v>
      </c>
      <c r="AL19" s="72">
        <v>209950</v>
      </c>
      <c r="AM19" s="72">
        <v>211112.5</v>
      </c>
      <c r="AN19" s="72">
        <v>214995</v>
      </c>
      <c r="AO19" s="72">
        <v>215000</v>
      </c>
      <c r="AP19" s="72">
        <v>213022</v>
      </c>
      <c r="AQ19" s="72">
        <v>212500</v>
      </c>
      <c r="AR19" s="72">
        <v>210000</v>
      </c>
      <c r="AS19" s="72">
        <v>210450</v>
      </c>
      <c r="AT19" s="72">
        <v>213528</v>
      </c>
      <c r="AU19" s="72">
        <v>215000</v>
      </c>
      <c r="AV19" s="72">
        <v>219000</v>
      </c>
      <c r="AW19" s="72">
        <v>219995</v>
      </c>
      <c r="AX19" s="72">
        <v>219995</v>
      </c>
      <c r="AY19" s="72">
        <v>218000</v>
      </c>
      <c r="AZ19" s="72">
        <v>217805.5</v>
      </c>
      <c r="BA19" s="72">
        <v>216062.5</v>
      </c>
      <c r="BB19" s="72">
        <v>215000</v>
      </c>
      <c r="BC19" s="72">
        <v>210000</v>
      </c>
      <c r="BD19" s="72">
        <v>205000</v>
      </c>
      <c r="BE19" s="72">
        <v>199500</v>
      </c>
      <c r="BF19" s="72">
        <v>196000</v>
      </c>
      <c r="BG19" s="72">
        <v>198000</v>
      </c>
      <c r="BH19" s="72">
        <v>205000</v>
      </c>
      <c r="BI19" s="72">
        <v>209950</v>
      </c>
      <c r="BJ19" s="72">
        <v>213995</v>
      </c>
      <c r="BK19" s="72">
        <v>220000</v>
      </c>
      <c r="BL19" s="72">
        <v>220000</v>
      </c>
      <c r="BM19" s="72">
        <v>225000</v>
      </c>
      <c r="BN19" s="72">
        <v>225000</v>
      </c>
      <c r="BO19" s="72">
        <v>225500</v>
      </c>
      <c r="BP19" s="72">
        <v>227500</v>
      </c>
      <c r="BQ19" s="72">
        <v>232500</v>
      </c>
      <c r="BR19" s="72">
        <v>235000</v>
      </c>
      <c r="BS19" s="72">
        <v>241000</v>
      </c>
      <c r="BT19" s="72">
        <v>248000</v>
      </c>
      <c r="BU19" s="72">
        <v>249950</v>
      </c>
      <c r="BV19" s="72">
        <v>250000</v>
      </c>
      <c r="BW19" s="72">
        <v>250000</v>
      </c>
      <c r="BX19" s="72">
        <v>250000</v>
      </c>
      <c r="BY19" s="72">
        <v>265000</v>
      </c>
      <c r="BZ19" s="72">
        <v>270000</v>
      </c>
      <c r="CA19" s="72">
        <v>275000</v>
      </c>
      <c r="CB19" s="72">
        <v>282995</v>
      </c>
      <c r="CC19" s="72">
        <v>289995</v>
      </c>
      <c r="CD19" s="91">
        <v>296000</v>
      </c>
      <c r="CE19" s="91">
        <v>300000</v>
      </c>
      <c r="CF19" s="91">
        <v>300000</v>
      </c>
      <c r="CG19" s="91">
        <v>306950</v>
      </c>
      <c r="CH19" s="91">
        <v>308997.5</v>
      </c>
      <c r="CJ19" s="91">
        <f>SUMPRODUCT((BY19:CB19),'HPSSA NB sales'!BY19:CB19)/SUM('HPSSA NB sales'!BY19:CB19)</f>
        <v>273283.39462956396</v>
      </c>
      <c r="CK19" s="91">
        <f>SUMPRODUCT(BU19:BX19,'HPSSA NB sales'!BU19:BX19)/SUM('HPSSA NB sales'!BU19:BX19)</f>
        <v>249988.51638502287</v>
      </c>
    </row>
    <row r="20" spans="1:256" s="91" customFormat="1">
      <c r="A20" s="113" t="s">
        <v>217</v>
      </c>
      <c r="B20" s="113" t="s">
        <v>26</v>
      </c>
      <c r="C20" s="72">
        <v>63500</v>
      </c>
      <c r="D20" s="72">
        <v>64950</v>
      </c>
      <c r="E20" s="72">
        <v>66950</v>
      </c>
      <c r="F20" s="72">
        <v>69000</v>
      </c>
      <c r="G20" s="72">
        <v>70500</v>
      </c>
      <c r="H20" s="72">
        <v>72250</v>
      </c>
      <c r="I20" s="72">
        <v>73995</v>
      </c>
      <c r="J20" s="72">
        <v>75450</v>
      </c>
      <c r="K20" s="72">
        <v>78000</v>
      </c>
      <c r="L20" s="72">
        <v>80000</v>
      </c>
      <c r="M20" s="72">
        <v>84500</v>
      </c>
      <c r="N20" s="72">
        <v>86950</v>
      </c>
      <c r="O20" s="72">
        <v>89000</v>
      </c>
      <c r="P20" s="72">
        <v>89950</v>
      </c>
      <c r="Q20" s="72">
        <v>90000</v>
      </c>
      <c r="R20" s="72">
        <v>92950</v>
      </c>
      <c r="S20" s="72">
        <v>95500</v>
      </c>
      <c r="T20" s="72">
        <v>98500</v>
      </c>
      <c r="U20" s="72">
        <v>103950</v>
      </c>
      <c r="V20" s="72">
        <v>108000</v>
      </c>
      <c r="W20" s="72">
        <v>112500</v>
      </c>
      <c r="X20" s="72">
        <v>114950</v>
      </c>
      <c r="Y20" s="72">
        <v>119950</v>
      </c>
      <c r="Z20" s="72">
        <v>123950</v>
      </c>
      <c r="AA20" s="72">
        <v>126950</v>
      </c>
      <c r="AB20" s="72">
        <v>129995</v>
      </c>
      <c r="AC20" s="72">
        <v>135000</v>
      </c>
      <c r="AD20" s="72">
        <v>139950</v>
      </c>
      <c r="AE20" s="72">
        <v>145000</v>
      </c>
      <c r="AF20" s="72">
        <v>149995</v>
      </c>
      <c r="AG20" s="72">
        <v>153500</v>
      </c>
      <c r="AH20" s="72">
        <v>156495</v>
      </c>
      <c r="AI20" s="72">
        <v>160000</v>
      </c>
      <c r="AJ20" s="72">
        <v>163950</v>
      </c>
      <c r="AK20" s="72">
        <v>169950</v>
      </c>
      <c r="AL20" s="72">
        <v>175000</v>
      </c>
      <c r="AM20" s="72">
        <v>179000</v>
      </c>
      <c r="AN20" s="72">
        <v>179995</v>
      </c>
      <c r="AO20" s="72">
        <v>179000</v>
      </c>
      <c r="AP20" s="72">
        <v>175950</v>
      </c>
      <c r="AQ20" s="72">
        <v>176000</v>
      </c>
      <c r="AR20" s="72">
        <v>175000</v>
      </c>
      <c r="AS20" s="72">
        <v>175000</v>
      </c>
      <c r="AT20" s="72">
        <v>175991.5</v>
      </c>
      <c r="AU20" s="72">
        <v>177950</v>
      </c>
      <c r="AV20" s="72">
        <v>179950</v>
      </c>
      <c r="AW20" s="72">
        <v>182000</v>
      </c>
      <c r="AX20" s="72">
        <v>185000</v>
      </c>
      <c r="AY20" s="72">
        <v>186996</v>
      </c>
      <c r="AZ20" s="72">
        <v>187550</v>
      </c>
      <c r="BA20" s="72">
        <v>186000</v>
      </c>
      <c r="BB20" s="72">
        <v>185000</v>
      </c>
      <c r="BC20" s="72">
        <v>175950</v>
      </c>
      <c r="BD20" s="72">
        <v>175000</v>
      </c>
      <c r="BE20" s="72">
        <v>169950</v>
      </c>
      <c r="BF20" s="72">
        <v>168000</v>
      </c>
      <c r="BG20" s="72">
        <v>171000</v>
      </c>
      <c r="BH20" s="72">
        <v>174950</v>
      </c>
      <c r="BI20" s="72">
        <v>175000</v>
      </c>
      <c r="BJ20" s="72">
        <v>179995</v>
      </c>
      <c r="BK20" s="72">
        <v>184995</v>
      </c>
      <c r="BL20" s="72">
        <v>182725</v>
      </c>
      <c r="BM20" s="72">
        <v>180950</v>
      </c>
      <c r="BN20" s="72">
        <v>180000</v>
      </c>
      <c r="BO20" s="72">
        <v>179995</v>
      </c>
      <c r="BP20" s="72">
        <v>180000</v>
      </c>
      <c r="BQ20" s="72">
        <v>184497.5</v>
      </c>
      <c r="BR20" s="72">
        <v>185000</v>
      </c>
      <c r="BS20" s="72">
        <v>185250</v>
      </c>
      <c r="BT20" s="72">
        <v>187995</v>
      </c>
      <c r="BU20" s="72">
        <v>189995</v>
      </c>
      <c r="BV20" s="72">
        <v>192950</v>
      </c>
      <c r="BW20" s="72">
        <v>197500</v>
      </c>
      <c r="BX20" s="72">
        <v>200000</v>
      </c>
      <c r="BY20" s="72">
        <v>209950</v>
      </c>
      <c r="BZ20" s="72">
        <v>211995</v>
      </c>
      <c r="CA20" s="72">
        <v>218226</v>
      </c>
      <c r="CB20" s="72">
        <v>220995</v>
      </c>
      <c r="CC20" s="72">
        <v>225000</v>
      </c>
      <c r="CD20" s="91">
        <v>229995</v>
      </c>
      <c r="CE20" s="91">
        <v>235000</v>
      </c>
      <c r="CF20" s="91">
        <v>239000</v>
      </c>
      <c r="CG20" s="91">
        <v>246950</v>
      </c>
      <c r="CH20" s="91">
        <v>250000</v>
      </c>
      <c r="CJ20" s="91">
        <f>SUMPRODUCT((BY20:CB20),'HPSSA NB sales'!BY20:CB20)/SUM('HPSSA NB sales'!BY20:CB20)</f>
        <v>215335.07776166304</v>
      </c>
      <c r="CK20" s="91">
        <f>SUMPRODUCT(BU20:BX20,'HPSSA NB sales'!BU20:BX20)/SUM('HPSSA NB sales'!BU20:BX20)</f>
        <v>195347.91493283436</v>
      </c>
    </row>
    <row r="21" spans="1:256" s="91" customFormat="1" ht="15" thickBot="1">
      <c r="A21" s="114" t="s">
        <v>208</v>
      </c>
      <c r="B21" s="114" t="s">
        <v>66</v>
      </c>
      <c r="C21" s="101">
        <v>57950</v>
      </c>
      <c r="D21" s="101">
        <v>58500</v>
      </c>
      <c r="E21" s="101">
        <v>59950</v>
      </c>
      <c r="F21" s="101">
        <v>59995</v>
      </c>
      <c r="G21" s="101">
        <v>59995</v>
      </c>
      <c r="H21" s="101">
        <v>60000</v>
      </c>
      <c r="I21" s="101">
        <v>62500</v>
      </c>
      <c r="J21" s="101">
        <v>63995</v>
      </c>
      <c r="K21" s="101">
        <v>65995</v>
      </c>
      <c r="L21" s="101">
        <v>67500</v>
      </c>
      <c r="M21" s="101">
        <v>69950</v>
      </c>
      <c r="N21" s="101">
        <v>72500</v>
      </c>
      <c r="O21" s="101">
        <v>73995</v>
      </c>
      <c r="P21" s="101">
        <v>74995</v>
      </c>
      <c r="Q21" s="101">
        <v>75500</v>
      </c>
      <c r="R21" s="101">
        <v>77950</v>
      </c>
      <c r="S21" s="101">
        <v>79950</v>
      </c>
      <c r="T21" s="101">
        <v>82680</v>
      </c>
      <c r="U21" s="101">
        <v>85000</v>
      </c>
      <c r="V21" s="101">
        <v>87450</v>
      </c>
      <c r="W21" s="101">
        <v>89500</v>
      </c>
      <c r="X21" s="101">
        <v>89950</v>
      </c>
      <c r="Y21" s="101">
        <v>92500</v>
      </c>
      <c r="Z21" s="101">
        <v>94995</v>
      </c>
      <c r="AA21" s="101">
        <v>99500</v>
      </c>
      <c r="AB21" s="101">
        <v>103000</v>
      </c>
      <c r="AC21" s="101">
        <v>107950</v>
      </c>
      <c r="AD21" s="101">
        <v>113000</v>
      </c>
      <c r="AE21" s="101">
        <v>119500</v>
      </c>
      <c r="AF21" s="101">
        <v>122000</v>
      </c>
      <c r="AG21" s="101">
        <v>127000</v>
      </c>
      <c r="AH21" s="101">
        <v>130000</v>
      </c>
      <c r="AI21" s="101">
        <v>135300</v>
      </c>
      <c r="AJ21" s="101">
        <v>140200</v>
      </c>
      <c r="AK21" s="101">
        <v>149500</v>
      </c>
      <c r="AL21" s="101">
        <v>154950</v>
      </c>
      <c r="AM21" s="101">
        <v>164725</v>
      </c>
      <c r="AN21" s="101">
        <v>168500</v>
      </c>
      <c r="AO21" s="101">
        <v>169950</v>
      </c>
      <c r="AP21" s="101">
        <v>170000</v>
      </c>
      <c r="AQ21" s="101">
        <v>169950</v>
      </c>
      <c r="AR21" s="101">
        <v>167475</v>
      </c>
      <c r="AS21" s="101">
        <v>167000</v>
      </c>
      <c r="AT21" s="101">
        <v>169950</v>
      </c>
      <c r="AU21" s="101">
        <v>169995</v>
      </c>
      <c r="AV21" s="101">
        <v>171500</v>
      </c>
      <c r="AW21" s="101">
        <v>172997.5</v>
      </c>
      <c r="AX21" s="101">
        <v>170545.5</v>
      </c>
      <c r="AY21" s="101">
        <v>169995</v>
      </c>
      <c r="AZ21" s="101">
        <v>167000</v>
      </c>
      <c r="BA21" s="101">
        <v>162725</v>
      </c>
      <c r="BB21" s="101">
        <v>159995</v>
      </c>
      <c r="BC21" s="101">
        <v>154000</v>
      </c>
      <c r="BD21" s="101">
        <v>150000</v>
      </c>
      <c r="BE21" s="101">
        <v>145000</v>
      </c>
      <c r="BF21" s="101">
        <v>141000</v>
      </c>
      <c r="BG21" s="101">
        <v>140000</v>
      </c>
      <c r="BH21" s="101">
        <v>140000</v>
      </c>
      <c r="BI21" s="101">
        <v>145000</v>
      </c>
      <c r="BJ21" s="101">
        <v>149145</v>
      </c>
      <c r="BK21" s="101">
        <v>150000</v>
      </c>
      <c r="BL21" s="101">
        <v>153000</v>
      </c>
      <c r="BM21" s="101">
        <v>155000</v>
      </c>
      <c r="BN21" s="101">
        <v>155000</v>
      </c>
      <c r="BO21" s="101">
        <v>155000</v>
      </c>
      <c r="BP21" s="101">
        <v>156995</v>
      </c>
      <c r="BQ21" s="101">
        <v>159995</v>
      </c>
      <c r="BR21" s="101">
        <v>162000</v>
      </c>
      <c r="BS21" s="101">
        <v>165000</v>
      </c>
      <c r="BT21" s="101">
        <v>169995</v>
      </c>
      <c r="BU21" s="101">
        <v>175000</v>
      </c>
      <c r="BV21" s="101">
        <v>175000</v>
      </c>
      <c r="BW21" s="101">
        <v>176995</v>
      </c>
      <c r="BX21" s="101">
        <v>178950</v>
      </c>
      <c r="BY21" s="101">
        <v>179995</v>
      </c>
      <c r="BZ21" s="101">
        <v>180000</v>
      </c>
      <c r="CA21" s="101">
        <v>181500</v>
      </c>
      <c r="CB21" s="101">
        <v>180497.5</v>
      </c>
      <c r="CC21" s="101">
        <v>183000</v>
      </c>
      <c r="CD21" s="101">
        <v>184995</v>
      </c>
      <c r="CE21" s="101">
        <v>184995</v>
      </c>
      <c r="CF21" s="101">
        <v>186995</v>
      </c>
      <c r="CG21" s="101">
        <v>189995</v>
      </c>
      <c r="CH21" s="101">
        <v>190000</v>
      </c>
      <c r="CI21" s="101"/>
      <c r="CJ21" s="91">
        <f>SUMPRODUCT((BY21:CB21),'HPSSA NB sales'!BY21:CB21)/SUM('HPSSA NB sales'!BY21:CB21)</f>
        <v>180512.29887382832</v>
      </c>
      <c r="CK21" s="91">
        <f>SUMPRODUCT(BU21:BX21,'HPSSA NB sales'!BU21:BX21)/SUM('HPSSA NB sales'!BU21:BX21)</f>
        <v>176540.28859635457</v>
      </c>
      <c r="CL21" s="101"/>
      <c r="CM21" s="101"/>
      <c r="CN21" s="101"/>
      <c r="CO21" s="101"/>
      <c r="CP21" s="101"/>
      <c r="CQ21" s="101"/>
      <c r="CR21" s="101"/>
      <c r="CS21" s="101"/>
      <c r="CT21" s="101"/>
      <c r="CU21" s="101"/>
      <c r="CV21" s="101"/>
      <c r="CW21" s="101"/>
      <c r="CX21" s="101"/>
      <c r="CY21" s="101"/>
      <c r="CZ21" s="101"/>
      <c r="DA21" s="101"/>
      <c r="DB21" s="101"/>
      <c r="DC21" s="101"/>
      <c r="DD21" s="101"/>
      <c r="DE21" s="101"/>
      <c r="DF21" s="101"/>
      <c r="DG21" s="101"/>
      <c r="DH21" s="101"/>
      <c r="DI21" s="101"/>
      <c r="DJ21" s="101"/>
      <c r="DK21" s="101"/>
      <c r="DL21" s="101"/>
      <c r="DM21" s="101"/>
      <c r="DN21" s="101"/>
      <c r="DO21" s="101"/>
      <c r="DP21" s="101"/>
      <c r="DQ21" s="101"/>
      <c r="DR21" s="101"/>
      <c r="DS21" s="101"/>
      <c r="DT21" s="101"/>
      <c r="DU21" s="101"/>
      <c r="DV21" s="101"/>
      <c r="DW21" s="101"/>
      <c r="DX21" s="101"/>
      <c r="DY21" s="101"/>
      <c r="DZ21" s="101"/>
      <c r="EA21" s="101"/>
      <c r="EB21" s="101"/>
      <c r="EC21" s="101"/>
      <c r="ED21" s="101"/>
      <c r="EE21" s="101"/>
      <c r="EF21" s="101"/>
      <c r="EG21" s="101"/>
      <c r="EH21" s="101"/>
      <c r="EI21" s="101"/>
      <c r="EJ21" s="101"/>
      <c r="EK21" s="101"/>
      <c r="EL21" s="101"/>
      <c r="EM21" s="101"/>
      <c r="EN21" s="101"/>
      <c r="EO21" s="101"/>
      <c r="EP21" s="101"/>
      <c r="EQ21" s="101"/>
      <c r="ER21" s="101"/>
      <c r="ES21" s="101"/>
      <c r="ET21" s="101"/>
      <c r="EU21" s="101"/>
      <c r="EV21" s="101"/>
      <c r="EW21" s="101"/>
      <c r="EX21" s="101"/>
      <c r="EY21" s="101"/>
      <c r="EZ21" s="101"/>
      <c r="FA21" s="101"/>
      <c r="FB21" s="101"/>
      <c r="FC21" s="101"/>
      <c r="FD21" s="101"/>
      <c r="FE21" s="101"/>
      <c r="FF21" s="101"/>
      <c r="FG21" s="101"/>
      <c r="FH21" s="101"/>
      <c r="FI21" s="101"/>
      <c r="FJ21" s="101"/>
      <c r="FK21" s="101"/>
      <c r="FL21" s="101"/>
      <c r="FM21" s="101"/>
      <c r="FN21" s="101"/>
      <c r="FO21" s="101"/>
      <c r="FP21" s="101"/>
      <c r="FQ21" s="101"/>
      <c r="FR21" s="101"/>
      <c r="FS21" s="101"/>
      <c r="FT21" s="101"/>
      <c r="FU21" s="101"/>
      <c r="FV21" s="101"/>
      <c r="FW21" s="101"/>
      <c r="FX21" s="101"/>
      <c r="FY21" s="101"/>
      <c r="FZ21" s="101"/>
      <c r="GA21" s="101"/>
      <c r="GB21" s="101"/>
      <c r="GC21" s="101"/>
      <c r="GD21" s="101"/>
      <c r="GE21" s="101"/>
      <c r="GF21" s="101"/>
      <c r="GG21" s="101"/>
      <c r="GH21" s="101"/>
      <c r="GI21" s="101"/>
      <c r="GJ21" s="101"/>
      <c r="GK21" s="101"/>
      <c r="GL21" s="101"/>
      <c r="GM21" s="101"/>
      <c r="GN21" s="101"/>
      <c r="GO21" s="101"/>
      <c r="GP21" s="101"/>
      <c r="GQ21" s="101"/>
      <c r="GR21" s="101"/>
      <c r="GS21" s="101"/>
      <c r="GT21" s="101"/>
      <c r="GU21" s="101"/>
      <c r="GV21" s="101"/>
      <c r="GW21" s="101"/>
      <c r="GX21" s="101"/>
      <c r="GY21" s="101"/>
      <c r="GZ21" s="101"/>
      <c r="HA21" s="101"/>
      <c r="HB21" s="101"/>
      <c r="HC21" s="101"/>
      <c r="HD21" s="101"/>
      <c r="HE21" s="101"/>
      <c r="HF21" s="101"/>
      <c r="HG21" s="101"/>
      <c r="HH21" s="101"/>
      <c r="HI21" s="101"/>
      <c r="HJ21" s="101"/>
      <c r="HK21" s="101"/>
      <c r="HL21" s="101"/>
      <c r="HM21" s="101"/>
      <c r="HN21" s="101"/>
      <c r="HO21" s="101"/>
      <c r="HP21" s="101"/>
      <c r="HQ21" s="101"/>
      <c r="HR21" s="101"/>
      <c r="HS21" s="101"/>
      <c r="HT21" s="101"/>
      <c r="HU21" s="101"/>
      <c r="HV21" s="101"/>
      <c r="HW21" s="101"/>
      <c r="HX21" s="101"/>
      <c r="HY21" s="101"/>
      <c r="HZ21" s="101"/>
      <c r="IA21" s="101"/>
      <c r="IB21" s="101"/>
      <c r="IC21" s="101"/>
      <c r="ID21" s="101"/>
      <c r="IE21" s="101"/>
      <c r="IF21" s="101"/>
      <c r="IG21" s="101"/>
      <c r="IH21" s="101"/>
      <c r="II21" s="101"/>
      <c r="IJ21" s="101"/>
      <c r="IK21" s="101"/>
      <c r="IL21" s="101"/>
      <c r="IM21" s="101"/>
      <c r="IN21" s="101"/>
      <c r="IO21" s="101"/>
      <c r="IP21" s="101"/>
      <c r="IQ21" s="101"/>
      <c r="IR21" s="101"/>
      <c r="IS21" s="101"/>
      <c r="IT21" s="101"/>
      <c r="IU21" s="101"/>
      <c r="IV21" s="101"/>
    </row>
    <row r="23" spans="1:256">
      <c r="A23" s="100" t="s">
        <v>218</v>
      </c>
    </row>
    <row r="24" spans="1:256">
      <c r="A24" s="100"/>
    </row>
    <row r="25" spans="1:256">
      <c r="A25" s="42" t="s">
        <v>75</v>
      </c>
    </row>
    <row r="26" spans="1:256">
      <c r="A26" s="102" t="s">
        <v>219</v>
      </c>
    </row>
    <row r="27" spans="1:256">
      <c r="A27" s="102" t="s">
        <v>220</v>
      </c>
    </row>
    <row r="63" s="103" customFormat="1"/>
    <row r="64" s="103" customFormat="1"/>
    <row r="65" s="103" customFormat="1"/>
    <row r="66" s="103" customFormat="1"/>
    <row r="67" s="103" customFormat="1"/>
  </sheetData>
  <mergeCells count="1">
    <mergeCell ref="A3:B5"/>
  </mergeCells>
  <hyperlinks>
    <hyperlink ref="A1" location="Contents!A1" display="Contents"/>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IV67"/>
  <sheetViews>
    <sheetView showGridLines="0" zoomScaleNormal="100" workbookViewId="0">
      <pane xSplit="2" ySplit="7" topLeftCell="BS8" activePane="bottomRight" state="frozen"/>
      <selection pane="topRight" activeCell="C1" sqref="C1"/>
      <selection pane="bottomLeft" activeCell="A6" sqref="A6"/>
      <selection pane="bottomRight" activeCell="A28" sqref="A28"/>
    </sheetView>
  </sheetViews>
  <sheetFormatPr defaultColWidth="9.21875" defaultRowHeight="14.4"/>
  <cols>
    <col min="1" max="1" width="15.77734375" style="85" customWidth="1"/>
    <col min="2" max="2" width="50.77734375" style="85" customWidth="1"/>
    <col min="3" max="81" width="10.77734375" style="85" customWidth="1"/>
    <col min="82" max="256" width="9.21875" style="85"/>
    <col min="257" max="257" width="15.77734375" style="85" customWidth="1"/>
    <col min="258" max="258" width="50.77734375" style="85" customWidth="1"/>
    <col min="259" max="337" width="10.77734375" style="85" customWidth="1"/>
    <col min="338" max="512" width="9.21875" style="85"/>
    <col min="513" max="513" width="15.77734375" style="85" customWidth="1"/>
    <col min="514" max="514" width="50.77734375" style="85" customWidth="1"/>
    <col min="515" max="593" width="10.77734375" style="85" customWidth="1"/>
    <col min="594" max="768" width="9.21875" style="85"/>
    <col min="769" max="769" width="15.77734375" style="85" customWidth="1"/>
    <col min="770" max="770" width="50.77734375" style="85" customWidth="1"/>
    <col min="771" max="849" width="10.77734375" style="85" customWidth="1"/>
    <col min="850" max="1024" width="9.21875" style="85"/>
    <col min="1025" max="1025" width="15.77734375" style="85" customWidth="1"/>
    <col min="1026" max="1026" width="50.77734375" style="85" customWidth="1"/>
    <col min="1027" max="1105" width="10.77734375" style="85" customWidth="1"/>
    <col min="1106" max="1280" width="9.21875" style="85"/>
    <col min="1281" max="1281" width="15.77734375" style="85" customWidth="1"/>
    <col min="1282" max="1282" width="50.77734375" style="85" customWidth="1"/>
    <col min="1283" max="1361" width="10.77734375" style="85" customWidth="1"/>
    <col min="1362" max="1536" width="9.21875" style="85"/>
    <col min="1537" max="1537" width="15.77734375" style="85" customWidth="1"/>
    <col min="1538" max="1538" width="50.77734375" style="85" customWidth="1"/>
    <col min="1539" max="1617" width="10.77734375" style="85" customWidth="1"/>
    <col min="1618" max="1792" width="9.21875" style="85"/>
    <col min="1793" max="1793" width="15.77734375" style="85" customWidth="1"/>
    <col min="1794" max="1794" width="50.77734375" style="85" customWidth="1"/>
    <col min="1795" max="1873" width="10.77734375" style="85" customWidth="1"/>
    <col min="1874" max="2048" width="9.21875" style="85"/>
    <col min="2049" max="2049" width="15.77734375" style="85" customWidth="1"/>
    <col min="2050" max="2050" width="50.77734375" style="85" customWidth="1"/>
    <col min="2051" max="2129" width="10.77734375" style="85" customWidth="1"/>
    <col min="2130" max="2304" width="9.21875" style="85"/>
    <col min="2305" max="2305" width="15.77734375" style="85" customWidth="1"/>
    <col min="2306" max="2306" width="50.77734375" style="85" customWidth="1"/>
    <col min="2307" max="2385" width="10.77734375" style="85" customWidth="1"/>
    <col min="2386" max="2560" width="9.21875" style="85"/>
    <col min="2561" max="2561" width="15.77734375" style="85" customWidth="1"/>
    <col min="2562" max="2562" width="50.77734375" style="85" customWidth="1"/>
    <col min="2563" max="2641" width="10.77734375" style="85" customWidth="1"/>
    <col min="2642" max="2816" width="9.21875" style="85"/>
    <col min="2817" max="2817" width="15.77734375" style="85" customWidth="1"/>
    <col min="2818" max="2818" width="50.77734375" style="85" customWidth="1"/>
    <col min="2819" max="2897" width="10.77734375" style="85" customWidth="1"/>
    <col min="2898" max="3072" width="9.21875" style="85"/>
    <col min="3073" max="3073" width="15.77734375" style="85" customWidth="1"/>
    <col min="3074" max="3074" width="50.77734375" style="85" customWidth="1"/>
    <col min="3075" max="3153" width="10.77734375" style="85" customWidth="1"/>
    <col min="3154" max="3328" width="9.21875" style="85"/>
    <col min="3329" max="3329" width="15.77734375" style="85" customWidth="1"/>
    <col min="3330" max="3330" width="50.77734375" style="85" customWidth="1"/>
    <col min="3331" max="3409" width="10.77734375" style="85" customWidth="1"/>
    <col min="3410" max="3584" width="9.21875" style="85"/>
    <col min="3585" max="3585" width="15.77734375" style="85" customWidth="1"/>
    <col min="3586" max="3586" width="50.77734375" style="85" customWidth="1"/>
    <col min="3587" max="3665" width="10.77734375" style="85" customWidth="1"/>
    <col min="3666" max="3840" width="9.21875" style="85"/>
    <col min="3841" max="3841" width="15.77734375" style="85" customWidth="1"/>
    <col min="3842" max="3842" width="50.77734375" style="85" customWidth="1"/>
    <col min="3843" max="3921" width="10.77734375" style="85" customWidth="1"/>
    <col min="3922" max="4096" width="9.21875" style="85"/>
    <col min="4097" max="4097" width="15.77734375" style="85" customWidth="1"/>
    <col min="4098" max="4098" width="50.77734375" style="85" customWidth="1"/>
    <col min="4099" max="4177" width="10.77734375" style="85" customWidth="1"/>
    <col min="4178" max="4352" width="9.21875" style="85"/>
    <col min="4353" max="4353" width="15.77734375" style="85" customWidth="1"/>
    <col min="4354" max="4354" width="50.77734375" style="85" customWidth="1"/>
    <col min="4355" max="4433" width="10.77734375" style="85" customWidth="1"/>
    <col min="4434" max="4608" width="9.21875" style="85"/>
    <col min="4609" max="4609" width="15.77734375" style="85" customWidth="1"/>
    <col min="4610" max="4610" width="50.77734375" style="85" customWidth="1"/>
    <col min="4611" max="4689" width="10.77734375" style="85" customWidth="1"/>
    <col min="4690" max="4864" width="9.21875" style="85"/>
    <col min="4865" max="4865" width="15.77734375" style="85" customWidth="1"/>
    <col min="4866" max="4866" width="50.77734375" style="85" customWidth="1"/>
    <col min="4867" max="4945" width="10.77734375" style="85" customWidth="1"/>
    <col min="4946" max="5120" width="9.21875" style="85"/>
    <col min="5121" max="5121" width="15.77734375" style="85" customWidth="1"/>
    <col min="5122" max="5122" width="50.77734375" style="85" customWidth="1"/>
    <col min="5123" max="5201" width="10.77734375" style="85" customWidth="1"/>
    <col min="5202" max="5376" width="9.21875" style="85"/>
    <col min="5377" max="5377" width="15.77734375" style="85" customWidth="1"/>
    <col min="5378" max="5378" width="50.77734375" style="85" customWidth="1"/>
    <col min="5379" max="5457" width="10.77734375" style="85" customWidth="1"/>
    <col min="5458" max="5632" width="9.21875" style="85"/>
    <col min="5633" max="5633" width="15.77734375" style="85" customWidth="1"/>
    <col min="5634" max="5634" width="50.77734375" style="85" customWidth="1"/>
    <col min="5635" max="5713" width="10.77734375" style="85" customWidth="1"/>
    <col min="5714" max="5888" width="9.21875" style="85"/>
    <col min="5889" max="5889" width="15.77734375" style="85" customWidth="1"/>
    <col min="5890" max="5890" width="50.77734375" style="85" customWidth="1"/>
    <col min="5891" max="5969" width="10.77734375" style="85" customWidth="1"/>
    <col min="5970" max="6144" width="9.21875" style="85"/>
    <col min="6145" max="6145" width="15.77734375" style="85" customWidth="1"/>
    <col min="6146" max="6146" width="50.77734375" style="85" customWidth="1"/>
    <col min="6147" max="6225" width="10.77734375" style="85" customWidth="1"/>
    <col min="6226" max="6400" width="9.21875" style="85"/>
    <col min="6401" max="6401" width="15.77734375" style="85" customWidth="1"/>
    <col min="6402" max="6402" width="50.77734375" style="85" customWidth="1"/>
    <col min="6403" max="6481" width="10.77734375" style="85" customWidth="1"/>
    <col min="6482" max="6656" width="9.21875" style="85"/>
    <col min="6657" max="6657" width="15.77734375" style="85" customWidth="1"/>
    <col min="6658" max="6658" width="50.77734375" style="85" customWidth="1"/>
    <col min="6659" max="6737" width="10.77734375" style="85" customWidth="1"/>
    <col min="6738" max="6912" width="9.21875" style="85"/>
    <col min="6913" max="6913" width="15.77734375" style="85" customWidth="1"/>
    <col min="6914" max="6914" width="50.77734375" style="85" customWidth="1"/>
    <col min="6915" max="6993" width="10.77734375" style="85" customWidth="1"/>
    <col min="6994" max="7168" width="9.21875" style="85"/>
    <col min="7169" max="7169" width="15.77734375" style="85" customWidth="1"/>
    <col min="7170" max="7170" width="50.77734375" style="85" customWidth="1"/>
    <col min="7171" max="7249" width="10.77734375" style="85" customWidth="1"/>
    <col min="7250" max="7424" width="9.21875" style="85"/>
    <col min="7425" max="7425" width="15.77734375" style="85" customWidth="1"/>
    <col min="7426" max="7426" width="50.77734375" style="85" customWidth="1"/>
    <col min="7427" max="7505" width="10.77734375" style="85" customWidth="1"/>
    <col min="7506" max="7680" width="9.21875" style="85"/>
    <col min="7681" max="7681" width="15.77734375" style="85" customWidth="1"/>
    <col min="7682" max="7682" width="50.77734375" style="85" customWidth="1"/>
    <col min="7683" max="7761" width="10.77734375" style="85" customWidth="1"/>
    <col min="7762" max="7936" width="9.21875" style="85"/>
    <col min="7937" max="7937" width="15.77734375" style="85" customWidth="1"/>
    <col min="7938" max="7938" width="50.77734375" style="85" customWidth="1"/>
    <col min="7939" max="8017" width="10.77734375" style="85" customWidth="1"/>
    <col min="8018" max="8192" width="9.21875" style="85"/>
    <col min="8193" max="8193" width="15.77734375" style="85" customWidth="1"/>
    <col min="8194" max="8194" width="50.77734375" style="85" customWidth="1"/>
    <col min="8195" max="8273" width="10.77734375" style="85" customWidth="1"/>
    <col min="8274" max="8448" width="9.21875" style="85"/>
    <col min="8449" max="8449" width="15.77734375" style="85" customWidth="1"/>
    <col min="8450" max="8450" width="50.77734375" style="85" customWidth="1"/>
    <col min="8451" max="8529" width="10.77734375" style="85" customWidth="1"/>
    <col min="8530" max="8704" width="9.21875" style="85"/>
    <col min="8705" max="8705" width="15.77734375" style="85" customWidth="1"/>
    <col min="8706" max="8706" width="50.77734375" style="85" customWidth="1"/>
    <col min="8707" max="8785" width="10.77734375" style="85" customWidth="1"/>
    <col min="8786" max="8960" width="9.21875" style="85"/>
    <col min="8961" max="8961" width="15.77734375" style="85" customWidth="1"/>
    <col min="8962" max="8962" width="50.77734375" style="85" customWidth="1"/>
    <col min="8963" max="9041" width="10.77734375" style="85" customWidth="1"/>
    <col min="9042" max="9216" width="9.21875" style="85"/>
    <col min="9217" max="9217" width="15.77734375" style="85" customWidth="1"/>
    <col min="9218" max="9218" width="50.77734375" style="85" customWidth="1"/>
    <col min="9219" max="9297" width="10.77734375" style="85" customWidth="1"/>
    <col min="9298" max="9472" width="9.21875" style="85"/>
    <col min="9473" max="9473" width="15.77734375" style="85" customWidth="1"/>
    <col min="9474" max="9474" width="50.77734375" style="85" customWidth="1"/>
    <col min="9475" max="9553" width="10.77734375" style="85" customWidth="1"/>
    <col min="9554" max="9728" width="9.21875" style="85"/>
    <col min="9729" max="9729" width="15.77734375" style="85" customWidth="1"/>
    <col min="9730" max="9730" width="50.77734375" style="85" customWidth="1"/>
    <col min="9731" max="9809" width="10.77734375" style="85" customWidth="1"/>
    <col min="9810" max="9984" width="9.21875" style="85"/>
    <col min="9985" max="9985" width="15.77734375" style="85" customWidth="1"/>
    <col min="9986" max="9986" width="50.77734375" style="85" customWidth="1"/>
    <col min="9987" max="10065" width="10.77734375" style="85" customWidth="1"/>
    <col min="10066" max="10240" width="9.21875" style="85"/>
    <col min="10241" max="10241" width="15.77734375" style="85" customWidth="1"/>
    <col min="10242" max="10242" width="50.77734375" style="85" customWidth="1"/>
    <col min="10243" max="10321" width="10.77734375" style="85" customWidth="1"/>
    <col min="10322" max="10496" width="9.21875" style="85"/>
    <col min="10497" max="10497" width="15.77734375" style="85" customWidth="1"/>
    <col min="10498" max="10498" width="50.77734375" style="85" customWidth="1"/>
    <col min="10499" max="10577" width="10.77734375" style="85" customWidth="1"/>
    <col min="10578" max="10752" width="9.21875" style="85"/>
    <col min="10753" max="10753" width="15.77734375" style="85" customWidth="1"/>
    <col min="10754" max="10754" width="50.77734375" style="85" customWidth="1"/>
    <col min="10755" max="10833" width="10.77734375" style="85" customWidth="1"/>
    <col min="10834" max="11008" width="9.21875" style="85"/>
    <col min="11009" max="11009" width="15.77734375" style="85" customWidth="1"/>
    <col min="11010" max="11010" width="50.77734375" style="85" customWidth="1"/>
    <col min="11011" max="11089" width="10.77734375" style="85" customWidth="1"/>
    <col min="11090" max="11264" width="9.21875" style="85"/>
    <col min="11265" max="11265" width="15.77734375" style="85" customWidth="1"/>
    <col min="11266" max="11266" width="50.77734375" style="85" customWidth="1"/>
    <col min="11267" max="11345" width="10.77734375" style="85" customWidth="1"/>
    <col min="11346" max="11520" width="9.21875" style="85"/>
    <col min="11521" max="11521" width="15.77734375" style="85" customWidth="1"/>
    <col min="11522" max="11522" width="50.77734375" style="85" customWidth="1"/>
    <col min="11523" max="11601" width="10.77734375" style="85" customWidth="1"/>
    <col min="11602" max="11776" width="9.21875" style="85"/>
    <col min="11777" max="11777" width="15.77734375" style="85" customWidth="1"/>
    <col min="11778" max="11778" width="50.77734375" style="85" customWidth="1"/>
    <col min="11779" max="11857" width="10.77734375" style="85" customWidth="1"/>
    <col min="11858" max="12032" width="9.21875" style="85"/>
    <col min="12033" max="12033" width="15.77734375" style="85" customWidth="1"/>
    <col min="12034" max="12034" width="50.77734375" style="85" customWidth="1"/>
    <col min="12035" max="12113" width="10.77734375" style="85" customWidth="1"/>
    <col min="12114" max="12288" width="9.21875" style="85"/>
    <col min="12289" max="12289" width="15.77734375" style="85" customWidth="1"/>
    <col min="12290" max="12290" width="50.77734375" style="85" customWidth="1"/>
    <col min="12291" max="12369" width="10.77734375" style="85" customWidth="1"/>
    <col min="12370" max="12544" width="9.21875" style="85"/>
    <col min="12545" max="12545" width="15.77734375" style="85" customWidth="1"/>
    <col min="12546" max="12546" width="50.77734375" style="85" customWidth="1"/>
    <col min="12547" max="12625" width="10.77734375" style="85" customWidth="1"/>
    <col min="12626" max="12800" width="9.21875" style="85"/>
    <col min="12801" max="12801" width="15.77734375" style="85" customWidth="1"/>
    <col min="12802" max="12802" width="50.77734375" style="85" customWidth="1"/>
    <col min="12803" max="12881" width="10.77734375" style="85" customWidth="1"/>
    <col min="12882" max="13056" width="9.21875" style="85"/>
    <col min="13057" max="13057" width="15.77734375" style="85" customWidth="1"/>
    <col min="13058" max="13058" width="50.77734375" style="85" customWidth="1"/>
    <col min="13059" max="13137" width="10.77734375" style="85" customWidth="1"/>
    <col min="13138" max="13312" width="9.21875" style="85"/>
    <col min="13313" max="13313" width="15.77734375" style="85" customWidth="1"/>
    <col min="13314" max="13314" width="50.77734375" style="85" customWidth="1"/>
    <col min="13315" max="13393" width="10.77734375" style="85" customWidth="1"/>
    <col min="13394" max="13568" width="9.21875" style="85"/>
    <col min="13569" max="13569" width="15.77734375" style="85" customWidth="1"/>
    <col min="13570" max="13570" width="50.77734375" style="85" customWidth="1"/>
    <col min="13571" max="13649" width="10.77734375" style="85" customWidth="1"/>
    <col min="13650" max="13824" width="9.21875" style="85"/>
    <col min="13825" max="13825" width="15.77734375" style="85" customWidth="1"/>
    <col min="13826" max="13826" width="50.77734375" style="85" customWidth="1"/>
    <col min="13827" max="13905" width="10.77734375" style="85" customWidth="1"/>
    <col min="13906" max="14080" width="9.21875" style="85"/>
    <col min="14081" max="14081" width="15.77734375" style="85" customWidth="1"/>
    <col min="14082" max="14082" width="50.77734375" style="85" customWidth="1"/>
    <col min="14083" max="14161" width="10.77734375" style="85" customWidth="1"/>
    <col min="14162" max="14336" width="9.21875" style="85"/>
    <col min="14337" max="14337" width="15.77734375" style="85" customWidth="1"/>
    <col min="14338" max="14338" width="50.77734375" style="85" customWidth="1"/>
    <col min="14339" max="14417" width="10.77734375" style="85" customWidth="1"/>
    <col min="14418" max="14592" width="9.21875" style="85"/>
    <col min="14593" max="14593" width="15.77734375" style="85" customWidth="1"/>
    <col min="14594" max="14594" width="50.77734375" style="85" customWidth="1"/>
    <col min="14595" max="14673" width="10.77734375" style="85" customWidth="1"/>
    <col min="14674" max="14848" width="9.21875" style="85"/>
    <col min="14849" max="14849" width="15.77734375" style="85" customWidth="1"/>
    <col min="14850" max="14850" width="50.77734375" style="85" customWidth="1"/>
    <col min="14851" max="14929" width="10.77734375" style="85" customWidth="1"/>
    <col min="14930" max="15104" width="9.21875" style="85"/>
    <col min="15105" max="15105" width="15.77734375" style="85" customWidth="1"/>
    <col min="15106" max="15106" width="50.77734375" style="85" customWidth="1"/>
    <col min="15107" max="15185" width="10.77734375" style="85" customWidth="1"/>
    <col min="15186" max="15360" width="9.21875" style="85"/>
    <col min="15361" max="15361" width="15.77734375" style="85" customWidth="1"/>
    <col min="15362" max="15362" width="50.77734375" style="85" customWidth="1"/>
    <col min="15363" max="15441" width="10.77734375" style="85" customWidth="1"/>
    <col min="15442" max="15616" width="9.21875" style="85"/>
    <col min="15617" max="15617" width="15.77734375" style="85" customWidth="1"/>
    <col min="15618" max="15618" width="50.77734375" style="85" customWidth="1"/>
    <col min="15619" max="15697" width="10.77734375" style="85" customWidth="1"/>
    <col min="15698" max="15872" width="9.21875" style="85"/>
    <col min="15873" max="15873" width="15.77734375" style="85" customWidth="1"/>
    <col min="15874" max="15874" width="50.77734375" style="85" customWidth="1"/>
    <col min="15875" max="15953" width="10.77734375" style="85" customWidth="1"/>
    <col min="15954" max="16128" width="9.21875" style="85"/>
    <col min="16129" max="16129" width="15.77734375" style="85" customWidth="1"/>
    <col min="16130" max="16130" width="50.77734375" style="85" customWidth="1"/>
    <col min="16131" max="16209" width="10.77734375" style="85" customWidth="1"/>
    <col min="16210" max="16384" width="9.21875" style="85"/>
  </cols>
  <sheetData>
    <row r="1" spans="1:256">
      <c r="A1" s="94" t="s">
        <v>119</v>
      </c>
    </row>
    <row r="2" spans="1:256">
      <c r="A2" s="95" t="s">
        <v>120</v>
      </c>
    </row>
    <row r="3" spans="1:256">
      <c r="A3" s="110" t="s">
        <v>234</v>
      </c>
      <c r="B3" s="110"/>
    </row>
    <row r="4" spans="1:256">
      <c r="A4" s="110"/>
      <c r="B4" s="110"/>
    </row>
    <row r="5" spans="1:256">
      <c r="A5" s="110"/>
      <c r="B5" s="110"/>
    </row>
    <row r="6" spans="1:256" ht="15" thickBot="1">
      <c r="A6" s="96"/>
      <c r="B6" s="97"/>
      <c r="C6" s="96"/>
      <c r="D6" s="96"/>
      <c r="E6" s="96"/>
      <c r="F6" s="96"/>
      <c r="G6" s="96"/>
      <c r="H6" s="96"/>
      <c r="I6" s="96"/>
      <c r="J6" s="96"/>
      <c r="K6" s="96"/>
      <c r="L6" s="96"/>
      <c r="M6" s="96"/>
      <c r="N6" s="96"/>
      <c r="O6" s="96"/>
      <c r="P6" s="96"/>
      <c r="Q6" s="96"/>
      <c r="R6" s="96"/>
      <c r="S6" s="96"/>
      <c r="T6" s="96"/>
      <c r="U6" s="96"/>
      <c r="V6" s="96"/>
      <c r="W6" s="96"/>
      <c r="X6" s="96"/>
      <c r="Y6" s="96"/>
      <c r="Z6" s="96"/>
      <c r="AA6" s="96"/>
      <c r="AB6" s="96"/>
      <c r="AC6" s="96"/>
      <c r="AD6" s="96"/>
      <c r="AE6" s="96"/>
      <c r="AF6" s="96"/>
      <c r="AG6" s="96"/>
      <c r="AH6" s="96"/>
      <c r="AI6" s="96"/>
      <c r="AJ6" s="96"/>
      <c r="AK6" s="96"/>
      <c r="AL6" s="96"/>
      <c r="AM6" s="96"/>
      <c r="AN6" s="96"/>
      <c r="AO6" s="96"/>
      <c r="AP6" s="96"/>
      <c r="AQ6" s="96"/>
      <c r="AR6" s="96"/>
      <c r="AS6" s="96"/>
      <c r="AT6" s="96"/>
      <c r="AU6" s="96"/>
      <c r="AV6" s="96"/>
      <c r="AW6" s="96"/>
      <c r="AX6" s="96"/>
      <c r="AY6" s="96"/>
      <c r="AZ6" s="96"/>
      <c r="BA6" s="96"/>
      <c r="BB6" s="96"/>
      <c r="BC6" s="96"/>
      <c r="BD6" s="96"/>
      <c r="BE6" s="96"/>
      <c r="BF6" s="96"/>
      <c r="BG6" s="96"/>
      <c r="BH6" s="96"/>
      <c r="BI6" s="96"/>
      <c r="BJ6" s="96"/>
      <c r="BK6" s="96"/>
      <c r="BL6" s="96"/>
      <c r="BM6" s="96"/>
      <c r="BN6" s="96"/>
      <c r="BO6" s="96"/>
      <c r="BP6" s="96"/>
      <c r="BQ6" s="96"/>
      <c r="BR6" s="96"/>
      <c r="BS6" s="96"/>
      <c r="BT6" s="96"/>
      <c r="BU6" s="96"/>
      <c r="BV6" s="96"/>
      <c r="BW6" s="96"/>
      <c r="BX6" s="96"/>
      <c r="BY6" s="96"/>
      <c r="BZ6" s="96"/>
      <c r="CA6" s="96"/>
      <c r="CB6" s="96"/>
      <c r="CC6" s="96"/>
    </row>
    <row r="7" spans="1:256">
      <c r="A7" s="116" t="s">
        <v>121</v>
      </c>
      <c r="B7" s="116" t="s">
        <v>122</v>
      </c>
      <c r="C7" s="99" t="s">
        <v>123</v>
      </c>
      <c r="D7" s="99" t="s">
        <v>124</v>
      </c>
      <c r="E7" s="99" t="s">
        <v>125</v>
      </c>
      <c r="F7" s="99" t="s">
        <v>126</v>
      </c>
      <c r="G7" s="99" t="s">
        <v>127</v>
      </c>
      <c r="H7" s="99" t="s">
        <v>128</v>
      </c>
      <c r="I7" s="99" t="s">
        <v>129</v>
      </c>
      <c r="J7" s="99" t="s">
        <v>130</v>
      </c>
      <c r="K7" s="99" t="s">
        <v>131</v>
      </c>
      <c r="L7" s="99" t="s">
        <v>132</v>
      </c>
      <c r="M7" s="99" t="s">
        <v>133</v>
      </c>
      <c r="N7" s="99" t="s">
        <v>134</v>
      </c>
      <c r="O7" s="99" t="s">
        <v>135</v>
      </c>
      <c r="P7" s="99" t="s">
        <v>136</v>
      </c>
      <c r="Q7" s="99" t="s">
        <v>137</v>
      </c>
      <c r="R7" s="99" t="s">
        <v>138</v>
      </c>
      <c r="S7" s="99" t="s">
        <v>139</v>
      </c>
      <c r="T7" s="99" t="s">
        <v>140</v>
      </c>
      <c r="U7" s="99" t="s">
        <v>141</v>
      </c>
      <c r="V7" s="99" t="s">
        <v>142</v>
      </c>
      <c r="W7" s="99" t="s">
        <v>143</v>
      </c>
      <c r="X7" s="99" t="s">
        <v>144</v>
      </c>
      <c r="Y7" s="99" t="s">
        <v>145</v>
      </c>
      <c r="Z7" s="99" t="s">
        <v>146</v>
      </c>
      <c r="AA7" s="99" t="s">
        <v>147</v>
      </c>
      <c r="AB7" s="99" t="s">
        <v>148</v>
      </c>
      <c r="AC7" s="99" t="s">
        <v>149</v>
      </c>
      <c r="AD7" s="99" t="s">
        <v>150</v>
      </c>
      <c r="AE7" s="99" t="s">
        <v>151</v>
      </c>
      <c r="AF7" s="99" t="s">
        <v>152</v>
      </c>
      <c r="AG7" s="99" t="s">
        <v>153</v>
      </c>
      <c r="AH7" s="99" t="s">
        <v>154</v>
      </c>
      <c r="AI7" s="99" t="s">
        <v>155</v>
      </c>
      <c r="AJ7" s="99" t="s">
        <v>156</v>
      </c>
      <c r="AK7" s="99" t="s">
        <v>157</v>
      </c>
      <c r="AL7" s="99" t="s">
        <v>158</v>
      </c>
      <c r="AM7" s="99" t="s">
        <v>159</v>
      </c>
      <c r="AN7" s="99" t="s">
        <v>160</v>
      </c>
      <c r="AO7" s="99" t="s">
        <v>161</v>
      </c>
      <c r="AP7" s="99" t="s">
        <v>162</v>
      </c>
      <c r="AQ7" s="99" t="s">
        <v>163</v>
      </c>
      <c r="AR7" s="99" t="s">
        <v>164</v>
      </c>
      <c r="AS7" s="99" t="s">
        <v>165</v>
      </c>
      <c r="AT7" s="99" t="s">
        <v>166</v>
      </c>
      <c r="AU7" s="99" t="s">
        <v>167</v>
      </c>
      <c r="AV7" s="99" t="s">
        <v>168</v>
      </c>
      <c r="AW7" s="99" t="s">
        <v>169</v>
      </c>
      <c r="AX7" s="99" t="s">
        <v>170</v>
      </c>
      <c r="AY7" s="99" t="s">
        <v>171</v>
      </c>
      <c r="AZ7" s="99" t="s">
        <v>172</v>
      </c>
      <c r="BA7" s="99" t="s">
        <v>173</v>
      </c>
      <c r="BB7" s="99" t="s">
        <v>174</v>
      </c>
      <c r="BC7" s="99" t="s">
        <v>175</v>
      </c>
      <c r="BD7" s="99" t="s">
        <v>176</v>
      </c>
      <c r="BE7" s="99" t="s">
        <v>177</v>
      </c>
      <c r="BF7" s="99" t="s">
        <v>178</v>
      </c>
      <c r="BG7" s="99" t="s">
        <v>179</v>
      </c>
      <c r="BH7" s="99" t="s">
        <v>180</v>
      </c>
      <c r="BI7" s="99" t="s">
        <v>181</v>
      </c>
      <c r="BJ7" s="99" t="s">
        <v>182</v>
      </c>
      <c r="BK7" s="99" t="s">
        <v>183</v>
      </c>
      <c r="BL7" s="99" t="s">
        <v>184</v>
      </c>
      <c r="BM7" s="99" t="s">
        <v>185</v>
      </c>
      <c r="BN7" s="99" t="s">
        <v>186</v>
      </c>
      <c r="BO7" s="99" t="s">
        <v>187</v>
      </c>
      <c r="BP7" s="99" t="s">
        <v>188</v>
      </c>
      <c r="BQ7" s="99" t="s">
        <v>189</v>
      </c>
      <c r="BR7" s="99" t="s">
        <v>190</v>
      </c>
      <c r="BS7" s="99" t="s">
        <v>191</v>
      </c>
      <c r="BT7" s="99" t="s">
        <v>192</v>
      </c>
      <c r="BU7" s="99" t="s">
        <v>193</v>
      </c>
      <c r="BV7" s="99" t="s">
        <v>194</v>
      </c>
      <c r="BW7" s="99" t="s">
        <v>195</v>
      </c>
      <c r="BX7" s="99" t="s">
        <v>196</v>
      </c>
      <c r="BY7" s="99" t="s">
        <v>197</v>
      </c>
      <c r="BZ7" s="99" t="s">
        <v>198</v>
      </c>
      <c r="CA7" s="99" t="s">
        <v>199</v>
      </c>
      <c r="CB7" s="99" t="s">
        <v>200</v>
      </c>
      <c r="CC7" s="99" t="s">
        <v>201</v>
      </c>
      <c r="CD7" s="99" t="s">
        <v>202</v>
      </c>
      <c r="CE7" s="99" t="s">
        <v>203</v>
      </c>
      <c r="CF7" s="99" t="s">
        <v>229</v>
      </c>
      <c r="CG7" s="99" t="s">
        <v>230</v>
      </c>
      <c r="CH7" s="99" t="s">
        <v>231</v>
      </c>
      <c r="CI7" s="99" t="s">
        <v>204</v>
      </c>
      <c r="CJ7" s="99" t="s">
        <v>204</v>
      </c>
      <c r="CK7" s="99" t="s">
        <v>204</v>
      </c>
      <c r="CL7" s="99" t="s">
        <v>204</v>
      </c>
      <c r="CM7" s="99" t="s">
        <v>204</v>
      </c>
      <c r="CN7" s="99" t="s">
        <v>204</v>
      </c>
      <c r="CO7" s="99" t="s">
        <v>204</v>
      </c>
      <c r="CP7" s="99" t="s">
        <v>204</v>
      </c>
      <c r="CQ7" s="99" t="s">
        <v>204</v>
      </c>
      <c r="CR7" s="99" t="s">
        <v>204</v>
      </c>
      <c r="CS7" s="99" t="s">
        <v>204</v>
      </c>
      <c r="CT7" s="99" t="s">
        <v>204</v>
      </c>
      <c r="CU7" s="99" t="s">
        <v>204</v>
      </c>
      <c r="CV7" s="99" t="s">
        <v>204</v>
      </c>
      <c r="CW7" s="99" t="s">
        <v>204</v>
      </c>
      <c r="CX7" s="99" t="s">
        <v>204</v>
      </c>
      <c r="CY7" s="99" t="s">
        <v>204</v>
      </c>
      <c r="CZ7" s="99" t="s">
        <v>204</v>
      </c>
      <c r="DA7" s="99" t="s">
        <v>204</v>
      </c>
      <c r="DB7" s="99" t="s">
        <v>204</v>
      </c>
      <c r="DC7" s="99" t="s">
        <v>204</v>
      </c>
      <c r="DD7" s="99" t="s">
        <v>204</v>
      </c>
      <c r="DE7" s="99" t="s">
        <v>204</v>
      </c>
      <c r="DF7" s="99" t="s">
        <v>204</v>
      </c>
      <c r="DG7" s="99" t="s">
        <v>204</v>
      </c>
      <c r="DH7" s="99" t="s">
        <v>204</v>
      </c>
      <c r="DI7" s="99" t="s">
        <v>204</v>
      </c>
      <c r="DJ7" s="99" t="s">
        <v>204</v>
      </c>
      <c r="DK7" s="99" t="s">
        <v>204</v>
      </c>
      <c r="DL7" s="99" t="s">
        <v>204</v>
      </c>
      <c r="DM7" s="99" t="s">
        <v>204</v>
      </c>
      <c r="DN7" s="99" t="s">
        <v>204</v>
      </c>
      <c r="DO7" s="99" t="s">
        <v>204</v>
      </c>
      <c r="DP7" s="99" t="s">
        <v>204</v>
      </c>
      <c r="DQ7" s="99" t="s">
        <v>204</v>
      </c>
      <c r="DR7" s="99" t="s">
        <v>204</v>
      </c>
      <c r="DS7" s="99" t="s">
        <v>204</v>
      </c>
      <c r="DT7" s="99" t="s">
        <v>204</v>
      </c>
      <c r="DU7" s="99" t="s">
        <v>204</v>
      </c>
      <c r="DV7" s="99" t="s">
        <v>204</v>
      </c>
      <c r="DW7" s="99" t="s">
        <v>204</v>
      </c>
      <c r="DX7" s="99" t="s">
        <v>204</v>
      </c>
      <c r="DY7" s="99" t="s">
        <v>204</v>
      </c>
      <c r="DZ7" s="99" t="s">
        <v>204</v>
      </c>
      <c r="EA7" s="99" t="s">
        <v>204</v>
      </c>
      <c r="EB7" s="99" t="s">
        <v>204</v>
      </c>
      <c r="EC7" s="99" t="s">
        <v>204</v>
      </c>
      <c r="ED7" s="99" t="s">
        <v>204</v>
      </c>
      <c r="EE7" s="99" t="s">
        <v>204</v>
      </c>
      <c r="EF7" s="99" t="s">
        <v>204</v>
      </c>
      <c r="EG7" s="99" t="s">
        <v>204</v>
      </c>
      <c r="EH7" s="99" t="s">
        <v>204</v>
      </c>
      <c r="EI7" s="99" t="s">
        <v>204</v>
      </c>
      <c r="EJ7" s="99" t="s">
        <v>204</v>
      </c>
      <c r="EK7" s="99" t="s">
        <v>204</v>
      </c>
      <c r="EL7" s="99" t="s">
        <v>204</v>
      </c>
      <c r="EM7" s="99" t="s">
        <v>204</v>
      </c>
      <c r="EN7" s="99" t="s">
        <v>204</v>
      </c>
      <c r="EO7" s="99" t="s">
        <v>204</v>
      </c>
      <c r="EP7" s="99" t="s">
        <v>204</v>
      </c>
      <c r="EQ7" s="99" t="s">
        <v>204</v>
      </c>
      <c r="ER7" s="99" t="s">
        <v>204</v>
      </c>
      <c r="ES7" s="99" t="s">
        <v>204</v>
      </c>
      <c r="ET7" s="99" t="s">
        <v>204</v>
      </c>
      <c r="EU7" s="99" t="s">
        <v>204</v>
      </c>
      <c r="EV7" s="99" t="s">
        <v>204</v>
      </c>
      <c r="EW7" s="99" t="s">
        <v>204</v>
      </c>
      <c r="EX7" s="99" t="s">
        <v>204</v>
      </c>
      <c r="EY7" s="99" t="s">
        <v>204</v>
      </c>
      <c r="EZ7" s="99" t="s">
        <v>204</v>
      </c>
      <c r="FA7" s="99" t="s">
        <v>204</v>
      </c>
      <c r="FB7" s="99" t="s">
        <v>204</v>
      </c>
      <c r="FC7" s="99" t="s">
        <v>204</v>
      </c>
      <c r="FD7" s="99" t="s">
        <v>204</v>
      </c>
      <c r="FE7" s="99" t="s">
        <v>204</v>
      </c>
      <c r="FF7" s="99" t="s">
        <v>204</v>
      </c>
      <c r="FG7" s="99" t="s">
        <v>204</v>
      </c>
      <c r="FH7" s="99" t="s">
        <v>204</v>
      </c>
      <c r="FI7" s="99" t="s">
        <v>204</v>
      </c>
      <c r="FJ7" s="99" t="s">
        <v>204</v>
      </c>
      <c r="FK7" s="99" t="s">
        <v>204</v>
      </c>
      <c r="FL7" s="99" t="s">
        <v>204</v>
      </c>
      <c r="FM7" s="99" t="s">
        <v>204</v>
      </c>
      <c r="FN7" s="99" t="s">
        <v>204</v>
      </c>
      <c r="FO7" s="99" t="s">
        <v>204</v>
      </c>
      <c r="FP7" s="99" t="s">
        <v>204</v>
      </c>
      <c r="FQ7" s="99" t="s">
        <v>204</v>
      </c>
      <c r="FR7" s="99" t="s">
        <v>204</v>
      </c>
      <c r="FS7" s="99" t="s">
        <v>204</v>
      </c>
      <c r="FT7" s="99" t="s">
        <v>204</v>
      </c>
      <c r="FU7" s="99" t="s">
        <v>204</v>
      </c>
      <c r="FV7" s="99" t="s">
        <v>204</v>
      </c>
      <c r="FW7" s="99" t="s">
        <v>204</v>
      </c>
      <c r="FX7" s="99" t="s">
        <v>204</v>
      </c>
      <c r="FY7" s="99" t="s">
        <v>204</v>
      </c>
      <c r="FZ7" s="99" t="s">
        <v>204</v>
      </c>
      <c r="GA7" s="99" t="s">
        <v>204</v>
      </c>
      <c r="GB7" s="99" t="s">
        <v>204</v>
      </c>
      <c r="GC7" s="99" t="s">
        <v>204</v>
      </c>
      <c r="GD7" s="99" t="s">
        <v>204</v>
      </c>
      <c r="GE7" s="99" t="s">
        <v>204</v>
      </c>
      <c r="GF7" s="99" t="s">
        <v>204</v>
      </c>
      <c r="GG7" s="99" t="s">
        <v>204</v>
      </c>
      <c r="GH7" s="99" t="s">
        <v>204</v>
      </c>
      <c r="GI7" s="99" t="s">
        <v>204</v>
      </c>
      <c r="GJ7" s="99" t="s">
        <v>204</v>
      </c>
      <c r="GK7" s="99" t="s">
        <v>204</v>
      </c>
      <c r="GL7" s="99" t="s">
        <v>204</v>
      </c>
      <c r="GM7" s="99" t="s">
        <v>204</v>
      </c>
      <c r="GN7" s="99" t="s">
        <v>204</v>
      </c>
      <c r="GO7" s="99" t="s">
        <v>204</v>
      </c>
      <c r="GP7" s="99" t="s">
        <v>204</v>
      </c>
      <c r="GQ7" s="99" t="s">
        <v>204</v>
      </c>
      <c r="GR7" s="99" t="s">
        <v>204</v>
      </c>
      <c r="GS7" s="99" t="s">
        <v>204</v>
      </c>
      <c r="GT7" s="99" t="s">
        <v>204</v>
      </c>
      <c r="GU7" s="99" t="s">
        <v>204</v>
      </c>
      <c r="GV7" s="99" t="s">
        <v>204</v>
      </c>
      <c r="GW7" s="99" t="s">
        <v>204</v>
      </c>
      <c r="GX7" s="99" t="s">
        <v>204</v>
      </c>
      <c r="GY7" s="99" t="s">
        <v>204</v>
      </c>
      <c r="GZ7" s="99" t="s">
        <v>204</v>
      </c>
      <c r="HA7" s="99" t="s">
        <v>204</v>
      </c>
      <c r="HB7" s="99" t="s">
        <v>204</v>
      </c>
      <c r="HC7" s="99" t="s">
        <v>204</v>
      </c>
      <c r="HD7" s="99" t="s">
        <v>204</v>
      </c>
      <c r="HE7" s="99" t="s">
        <v>204</v>
      </c>
      <c r="HF7" s="99" t="s">
        <v>204</v>
      </c>
      <c r="HG7" s="99" t="s">
        <v>204</v>
      </c>
      <c r="HH7" s="99" t="s">
        <v>204</v>
      </c>
      <c r="HI7" s="99" t="s">
        <v>204</v>
      </c>
      <c r="HJ7" s="99" t="s">
        <v>204</v>
      </c>
      <c r="HK7" s="99" t="s">
        <v>204</v>
      </c>
      <c r="HL7" s="99" t="s">
        <v>204</v>
      </c>
      <c r="HM7" s="99" t="s">
        <v>204</v>
      </c>
      <c r="HN7" s="99" t="s">
        <v>204</v>
      </c>
      <c r="HO7" s="99" t="s">
        <v>204</v>
      </c>
      <c r="HP7" s="99" t="s">
        <v>204</v>
      </c>
      <c r="HQ7" s="99" t="s">
        <v>204</v>
      </c>
      <c r="HR7" s="99" t="s">
        <v>204</v>
      </c>
      <c r="HS7" s="99" t="s">
        <v>204</v>
      </c>
      <c r="HT7" s="99" t="s">
        <v>204</v>
      </c>
      <c r="HU7" s="99" t="s">
        <v>204</v>
      </c>
      <c r="HV7" s="99" t="s">
        <v>204</v>
      </c>
      <c r="HW7" s="99" t="s">
        <v>204</v>
      </c>
      <c r="HX7" s="99" t="s">
        <v>204</v>
      </c>
      <c r="HY7" s="99" t="s">
        <v>204</v>
      </c>
      <c r="HZ7" s="99" t="s">
        <v>204</v>
      </c>
      <c r="IA7" s="99" t="s">
        <v>204</v>
      </c>
      <c r="IB7" s="99" t="s">
        <v>204</v>
      </c>
      <c r="IC7" s="99" t="s">
        <v>204</v>
      </c>
      <c r="ID7" s="99" t="s">
        <v>204</v>
      </c>
      <c r="IE7" s="99" t="s">
        <v>204</v>
      </c>
      <c r="IF7" s="99" t="s">
        <v>204</v>
      </c>
      <c r="IG7" s="99" t="s">
        <v>204</v>
      </c>
      <c r="IH7" s="99" t="s">
        <v>204</v>
      </c>
      <c r="II7" s="99" t="s">
        <v>204</v>
      </c>
      <c r="IJ7" s="99" t="s">
        <v>204</v>
      </c>
      <c r="IK7" s="99" t="s">
        <v>204</v>
      </c>
      <c r="IL7" s="99" t="s">
        <v>204</v>
      </c>
      <c r="IM7" s="99" t="s">
        <v>204</v>
      </c>
      <c r="IN7" s="99" t="s">
        <v>204</v>
      </c>
      <c r="IO7" s="99" t="s">
        <v>204</v>
      </c>
      <c r="IP7" s="99" t="s">
        <v>204</v>
      </c>
      <c r="IQ7" s="99" t="s">
        <v>204</v>
      </c>
      <c r="IR7" s="99" t="s">
        <v>204</v>
      </c>
      <c r="IS7" s="99" t="s">
        <v>204</v>
      </c>
      <c r="IT7" s="99" t="s">
        <v>204</v>
      </c>
      <c r="IU7" s="99" t="s">
        <v>204</v>
      </c>
      <c r="IV7" s="99" t="s">
        <v>204</v>
      </c>
    </row>
    <row r="8" spans="1:256" s="91" customFormat="1">
      <c r="A8" s="111" t="s">
        <v>205</v>
      </c>
      <c r="B8" s="111" t="s">
        <v>206</v>
      </c>
      <c r="C8" s="72">
        <v>107508</v>
      </c>
      <c r="D8" s="72">
        <v>107011</v>
      </c>
      <c r="E8" s="72">
        <v>107974</v>
      </c>
      <c r="F8" s="72">
        <v>111016</v>
      </c>
      <c r="G8" s="72">
        <v>116075</v>
      </c>
      <c r="H8" s="72">
        <v>119712</v>
      </c>
      <c r="I8" s="72">
        <v>123144</v>
      </c>
      <c r="J8" s="72">
        <v>124420</v>
      </c>
      <c r="K8" s="72">
        <v>123007</v>
      </c>
      <c r="L8" s="72">
        <v>120065</v>
      </c>
      <c r="M8" s="72">
        <v>117346</v>
      </c>
      <c r="N8" s="72">
        <v>114861</v>
      </c>
      <c r="O8" s="72">
        <v>112308</v>
      </c>
      <c r="P8" s="72">
        <v>112346</v>
      </c>
      <c r="Q8" s="72">
        <v>113045</v>
      </c>
      <c r="R8" s="72">
        <v>116115</v>
      </c>
      <c r="S8" s="72">
        <v>120149</v>
      </c>
      <c r="T8" s="72">
        <v>123519</v>
      </c>
      <c r="U8" s="72">
        <v>124657</v>
      </c>
      <c r="V8" s="72">
        <v>121066</v>
      </c>
      <c r="W8" s="72">
        <v>116958</v>
      </c>
      <c r="X8" s="72">
        <v>113857</v>
      </c>
      <c r="Y8" s="72">
        <v>113941</v>
      </c>
      <c r="Z8" s="72">
        <v>115271</v>
      </c>
      <c r="AA8" s="72">
        <v>117626</v>
      </c>
      <c r="AB8" s="72">
        <v>119114</v>
      </c>
      <c r="AC8" s="72">
        <v>121087</v>
      </c>
      <c r="AD8" s="72">
        <v>123704</v>
      </c>
      <c r="AE8" s="72">
        <v>126353</v>
      </c>
      <c r="AF8" s="72">
        <v>124465</v>
      </c>
      <c r="AG8" s="72">
        <v>121192</v>
      </c>
      <c r="AH8" s="72">
        <v>118382</v>
      </c>
      <c r="AI8" s="72">
        <v>122307</v>
      </c>
      <c r="AJ8" s="72">
        <v>124579</v>
      </c>
      <c r="AK8" s="72">
        <v>128275</v>
      </c>
      <c r="AL8" s="72">
        <v>128859</v>
      </c>
      <c r="AM8" s="72">
        <v>123125</v>
      </c>
      <c r="AN8" s="72">
        <v>120102</v>
      </c>
      <c r="AO8" s="72">
        <v>118149</v>
      </c>
      <c r="AP8" s="72">
        <v>119076</v>
      </c>
      <c r="AQ8" s="72">
        <v>122655</v>
      </c>
      <c r="AR8" s="72">
        <v>129310</v>
      </c>
      <c r="AS8" s="72">
        <v>134301</v>
      </c>
      <c r="AT8" s="72">
        <v>135600</v>
      </c>
      <c r="AU8" s="72">
        <v>136365</v>
      </c>
      <c r="AV8" s="72">
        <v>132279</v>
      </c>
      <c r="AW8" s="72">
        <v>124632</v>
      </c>
      <c r="AX8" s="72">
        <v>114152</v>
      </c>
      <c r="AY8" s="72">
        <v>100998</v>
      </c>
      <c r="AZ8" s="72">
        <v>92438</v>
      </c>
      <c r="BA8" s="72">
        <v>86135</v>
      </c>
      <c r="BB8" s="72">
        <v>81982</v>
      </c>
      <c r="BC8" s="72">
        <v>76287</v>
      </c>
      <c r="BD8" s="72">
        <v>72779</v>
      </c>
      <c r="BE8" s="72">
        <v>65785</v>
      </c>
      <c r="BF8" s="72">
        <v>65214</v>
      </c>
      <c r="BG8" s="72">
        <v>66311</v>
      </c>
      <c r="BH8" s="72">
        <v>66736</v>
      </c>
      <c r="BI8" s="72">
        <v>66179</v>
      </c>
      <c r="BJ8" s="72">
        <v>64160</v>
      </c>
      <c r="BK8" s="72">
        <v>59757</v>
      </c>
      <c r="BL8" s="72">
        <v>58070</v>
      </c>
      <c r="BM8" s="72">
        <v>57403</v>
      </c>
      <c r="BN8" s="72">
        <v>57665</v>
      </c>
      <c r="BO8" s="72">
        <v>59790</v>
      </c>
      <c r="BP8" s="72">
        <v>63080</v>
      </c>
      <c r="BQ8" s="72">
        <v>64609</v>
      </c>
      <c r="BR8" s="72">
        <v>64620</v>
      </c>
      <c r="BS8" s="72">
        <v>65272</v>
      </c>
      <c r="BT8" s="72">
        <v>64420</v>
      </c>
      <c r="BU8" s="72">
        <v>67400</v>
      </c>
      <c r="BV8" s="72">
        <v>70795</v>
      </c>
      <c r="BW8" s="72">
        <v>76275</v>
      </c>
      <c r="BX8" s="72">
        <v>79888</v>
      </c>
      <c r="BY8" s="72">
        <v>83885</v>
      </c>
      <c r="BZ8" s="72">
        <v>85966</v>
      </c>
      <c r="CA8" s="72">
        <v>86422</v>
      </c>
      <c r="CB8" s="72">
        <v>86771</v>
      </c>
      <c r="CC8" s="72">
        <v>90341</v>
      </c>
      <c r="CD8" s="72">
        <v>93686</v>
      </c>
      <c r="CE8" s="72">
        <v>97836</v>
      </c>
      <c r="CF8" s="72">
        <v>104439</v>
      </c>
      <c r="CG8" s="72">
        <v>97434</v>
      </c>
      <c r="CH8" s="72">
        <v>84054</v>
      </c>
      <c r="CI8" s="72"/>
      <c r="CJ8" s="72"/>
      <c r="CK8" s="72"/>
      <c r="CL8" s="72"/>
      <c r="CM8" s="72"/>
      <c r="CN8" s="72"/>
      <c r="CO8" s="72"/>
      <c r="CP8" s="72"/>
      <c r="CQ8" s="72"/>
      <c r="CR8" s="72"/>
      <c r="CS8" s="72"/>
      <c r="CT8" s="72"/>
      <c r="CU8" s="72"/>
      <c r="CV8" s="72"/>
      <c r="CW8" s="72"/>
      <c r="CX8" s="72"/>
      <c r="CY8" s="72"/>
      <c r="CZ8" s="72"/>
      <c r="DA8" s="72"/>
      <c r="DB8" s="72"/>
      <c r="DC8" s="72"/>
      <c r="DD8" s="72"/>
      <c r="DE8" s="72"/>
      <c r="DF8" s="72"/>
      <c r="DG8" s="72"/>
      <c r="DH8" s="72"/>
      <c r="DI8" s="72"/>
      <c r="DJ8" s="72"/>
      <c r="DK8" s="72"/>
      <c r="DL8" s="72"/>
      <c r="DM8" s="72"/>
      <c r="DN8" s="72"/>
      <c r="DO8" s="72"/>
      <c r="DP8" s="72"/>
      <c r="DQ8" s="72"/>
      <c r="DR8" s="72"/>
      <c r="DS8" s="72"/>
      <c r="DT8" s="72"/>
      <c r="DU8" s="72"/>
      <c r="DV8" s="72"/>
      <c r="DW8" s="72"/>
      <c r="DX8" s="72"/>
      <c r="DY8" s="72"/>
      <c r="DZ8" s="72"/>
      <c r="EA8" s="72"/>
      <c r="EB8" s="72"/>
      <c r="EC8" s="72"/>
      <c r="ED8" s="72"/>
      <c r="EE8" s="72"/>
      <c r="EF8" s="72"/>
      <c r="EG8" s="72"/>
      <c r="EH8" s="72"/>
      <c r="EI8" s="72"/>
      <c r="EJ8" s="72"/>
      <c r="EK8" s="72"/>
      <c r="EL8" s="72"/>
      <c r="EM8" s="72"/>
      <c r="EN8" s="72"/>
      <c r="EO8" s="72"/>
      <c r="EP8" s="72"/>
      <c r="EQ8" s="72"/>
      <c r="ER8" s="72"/>
      <c r="ES8" s="72"/>
      <c r="ET8" s="72"/>
      <c r="EU8" s="72"/>
      <c r="EV8" s="72"/>
      <c r="EW8" s="72"/>
      <c r="EX8" s="72"/>
      <c r="EY8" s="72"/>
      <c r="EZ8" s="72"/>
      <c r="FA8" s="72"/>
      <c r="FB8" s="72"/>
      <c r="FC8" s="72"/>
      <c r="FD8" s="72"/>
      <c r="FE8" s="72"/>
      <c r="FF8" s="72"/>
      <c r="FG8" s="72"/>
      <c r="FH8" s="72"/>
      <c r="FI8" s="72"/>
      <c r="FJ8" s="72"/>
      <c r="FK8" s="72"/>
      <c r="FL8" s="72"/>
      <c r="FM8" s="72"/>
      <c r="FN8" s="72"/>
      <c r="FO8" s="72"/>
      <c r="FP8" s="72"/>
      <c r="FQ8" s="72"/>
      <c r="FR8" s="72"/>
      <c r="FS8" s="72"/>
      <c r="FT8" s="72"/>
      <c r="FU8" s="72"/>
      <c r="FV8" s="72"/>
      <c r="FW8" s="72"/>
      <c r="FX8" s="72"/>
      <c r="FY8" s="72"/>
      <c r="FZ8" s="72"/>
      <c r="GA8" s="72"/>
      <c r="GB8" s="72"/>
      <c r="GC8" s="72"/>
      <c r="GD8" s="72"/>
      <c r="GE8" s="72"/>
      <c r="GF8" s="72"/>
      <c r="GG8" s="72"/>
      <c r="GH8" s="72"/>
      <c r="GI8" s="72"/>
      <c r="GJ8" s="72"/>
      <c r="GK8" s="72"/>
      <c r="GL8" s="72"/>
      <c r="GM8" s="72"/>
      <c r="GN8" s="72"/>
      <c r="GO8" s="72"/>
      <c r="GP8" s="72"/>
      <c r="GQ8" s="72"/>
      <c r="GR8" s="72"/>
      <c r="GS8" s="72"/>
      <c r="GT8" s="72"/>
      <c r="GU8" s="72"/>
      <c r="GV8" s="72"/>
      <c r="GW8" s="72"/>
      <c r="GX8" s="72"/>
      <c r="GY8" s="72"/>
      <c r="GZ8" s="72"/>
      <c r="HA8" s="72"/>
      <c r="HB8" s="72"/>
      <c r="HC8" s="72"/>
      <c r="HD8" s="72"/>
      <c r="HE8" s="72"/>
      <c r="HF8" s="72"/>
      <c r="HG8" s="72"/>
      <c r="HH8" s="72"/>
      <c r="HI8" s="72"/>
      <c r="HJ8" s="72"/>
      <c r="HK8" s="72"/>
      <c r="HL8" s="72"/>
      <c r="HM8" s="72"/>
      <c r="HN8" s="72"/>
      <c r="HO8" s="72"/>
      <c r="HP8" s="72"/>
      <c r="HQ8" s="72"/>
      <c r="HR8" s="72"/>
      <c r="HS8" s="72"/>
      <c r="HT8" s="72"/>
      <c r="HU8" s="72"/>
      <c r="HV8" s="72"/>
      <c r="HW8" s="72"/>
      <c r="HX8" s="72"/>
      <c r="HY8" s="72"/>
      <c r="HZ8" s="72"/>
      <c r="IA8" s="72"/>
      <c r="IB8" s="72"/>
      <c r="IC8" s="72"/>
      <c r="ID8" s="72"/>
      <c r="IE8" s="72"/>
      <c r="IF8" s="72"/>
      <c r="IG8" s="72"/>
      <c r="IH8" s="72"/>
      <c r="II8" s="72"/>
      <c r="IJ8" s="72"/>
      <c r="IK8" s="72"/>
      <c r="IL8" s="72"/>
      <c r="IM8" s="72"/>
      <c r="IN8" s="72"/>
      <c r="IO8" s="72"/>
      <c r="IP8" s="72"/>
      <c r="IQ8" s="72"/>
      <c r="IR8" s="72"/>
      <c r="IS8" s="72"/>
      <c r="IT8" s="72"/>
      <c r="IU8" s="72"/>
      <c r="IV8" s="72"/>
    </row>
    <row r="9" spans="1:256" s="91" customFormat="1">
      <c r="A9" s="111"/>
      <c r="B9" s="111"/>
      <c r="C9" s="73"/>
      <c r="D9" s="73"/>
      <c r="E9" s="73"/>
      <c r="F9" s="73"/>
      <c r="G9" s="73"/>
      <c r="H9" s="73"/>
      <c r="I9" s="73"/>
      <c r="J9" s="73"/>
      <c r="K9" s="73"/>
      <c r="L9" s="73"/>
      <c r="M9" s="73"/>
      <c r="N9" s="73"/>
      <c r="O9" s="73"/>
      <c r="P9" s="73"/>
      <c r="Q9" s="73"/>
      <c r="R9" s="73"/>
      <c r="S9" s="73"/>
      <c r="T9" s="73"/>
      <c r="U9" s="73"/>
      <c r="V9" s="73"/>
      <c r="W9" s="73"/>
      <c r="X9" s="73"/>
      <c r="Y9" s="73"/>
      <c r="Z9" s="73"/>
      <c r="AA9" s="73"/>
      <c r="AB9" s="73"/>
      <c r="AC9" s="73"/>
      <c r="AD9" s="73"/>
      <c r="AE9" s="73"/>
      <c r="AF9" s="73"/>
      <c r="AG9" s="73"/>
      <c r="AH9" s="73"/>
      <c r="AI9" s="73"/>
      <c r="AJ9" s="73"/>
      <c r="AK9" s="73"/>
      <c r="AL9" s="73"/>
      <c r="AM9" s="73"/>
      <c r="AN9" s="73"/>
      <c r="AO9" s="73"/>
      <c r="AP9" s="73"/>
      <c r="AQ9" s="73"/>
      <c r="AR9" s="73"/>
      <c r="AS9" s="73"/>
      <c r="AT9" s="73"/>
      <c r="AU9" s="73"/>
      <c r="AV9" s="73"/>
      <c r="AW9" s="73"/>
      <c r="AX9" s="73"/>
      <c r="AY9" s="73"/>
      <c r="AZ9" s="73"/>
      <c r="BA9" s="73"/>
      <c r="BB9" s="73"/>
      <c r="BC9" s="73"/>
      <c r="BD9" s="73"/>
      <c r="BE9" s="73"/>
      <c r="BF9" s="73"/>
      <c r="BG9" s="73"/>
      <c r="BH9" s="73"/>
      <c r="BI9" s="73"/>
      <c r="BJ9" s="73"/>
      <c r="BK9" s="73"/>
      <c r="BL9" s="73"/>
      <c r="BM9" s="73"/>
      <c r="BN9" s="73"/>
      <c r="BO9" s="73"/>
      <c r="BP9" s="73"/>
      <c r="BQ9" s="73"/>
      <c r="BR9" s="73"/>
      <c r="BS9" s="73"/>
      <c r="BT9" s="73"/>
      <c r="BU9" s="73"/>
      <c r="BV9" s="73"/>
      <c r="BW9" s="73"/>
      <c r="BX9" s="73"/>
      <c r="BY9" s="73"/>
      <c r="BZ9" s="73"/>
      <c r="CA9" s="73"/>
      <c r="CB9" s="73"/>
      <c r="CC9" s="73"/>
    </row>
    <row r="10" spans="1:256" s="91" customFormat="1">
      <c r="A10" s="111" t="s">
        <v>207</v>
      </c>
      <c r="B10" s="111" t="s">
        <v>22</v>
      </c>
      <c r="C10" s="72">
        <v>102806</v>
      </c>
      <c r="D10" s="72">
        <v>102243</v>
      </c>
      <c r="E10" s="72">
        <v>102926</v>
      </c>
      <c r="F10" s="72">
        <v>105720</v>
      </c>
      <c r="G10" s="72">
        <v>110635</v>
      </c>
      <c r="H10" s="72">
        <v>114144</v>
      </c>
      <c r="I10" s="72">
        <v>117486</v>
      </c>
      <c r="J10" s="72">
        <v>118696</v>
      </c>
      <c r="K10" s="72">
        <v>117101</v>
      </c>
      <c r="L10" s="72">
        <v>114214</v>
      </c>
      <c r="M10" s="72">
        <v>111673</v>
      </c>
      <c r="N10" s="72">
        <v>109408</v>
      </c>
      <c r="O10" s="72">
        <v>107093</v>
      </c>
      <c r="P10" s="72">
        <v>107303</v>
      </c>
      <c r="Q10" s="72">
        <v>108011</v>
      </c>
      <c r="R10" s="72">
        <v>110942</v>
      </c>
      <c r="S10" s="72">
        <v>114655</v>
      </c>
      <c r="T10" s="72">
        <v>117651</v>
      </c>
      <c r="U10" s="72">
        <v>118441</v>
      </c>
      <c r="V10" s="72">
        <v>114811</v>
      </c>
      <c r="W10" s="72">
        <v>110805</v>
      </c>
      <c r="X10" s="72">
        <v>107955</v>
      </c>
      <c r="Y10" s="72">
        <v>107992</v>
      </c>
      <c r="Z10" s="72">
        <v>109237</v>
      </c>
      <c r="AA10" s="72">
        <v>111391</v>
      </c>
      <c r="AB10" s="72">
        <v>112642</v>
      </c>
      <c r="AC10" s="72">
        <v>114600</v>
      </c>
      <c r="AD10" s="72">
        <v>117083</v>
      </c>
      <c r="AE10" s="72">
        <v>119851</v>
      </c>
      <c r="AF10" s="72">
        <v>118135</v>
      </c>
      <c r="AG10" s="72">
        <v>114928</v>
      </c>
      <c r="AH10" s="72">
        <v>112506</v>
      </c>
      <c r="AI10" s="72">
        <v>116268</v>
      </c>
      <c r="AJ10" s="72">
        <v>118395</v>
      </c>
      <c r="AK10" s="72">
        <v>122302</v>
      </c>
      <c r="AL10" s="72">
        <v>122767</v>
      </c>
      <c r="AM10" s="72">
        <v>117333</v>
      </c>
      <c r="AN10" s="72">
        <v>114728</v>
      </c>
      <c r="AO10" s="72">
        <v>112895</v>
      </c>
      <c r="AP10" s="72">
        <v>113938</v>
      </c>
      <c r="AQ10" s="72">
        <v>117566</v>
      </c>
      <c r="AR10" s="72">
        <v>123994</v>
      </c>
      <c r="AS10" s="72">
        <v>128829</v>
      </c>
      <c r="AT10" s="72">
        <v>130201</v>
      </c>
      <c r="AU10" s="72">
        <v>130945</v>
      </c>
      <c r="AV10" s="72">
        <v>127152</v>
      </c>
      <c r="AW10" s="72">
        <v>120078</v>
      </c>
      <c r="AX10" s="72">
        <v>110246</v>
      </c>
      <c r="AY10" s="72">
        <v>97739</v>
      </c>
      <c r="AZ10" s="72">
        <v>89460</v>
      </c>
      <c r="BA10" s="72">
        <v>83045</v>
      </c>
      <c r="BB10" s="72">
        <v>78778</v>
      </c>
      <c r="BC10" s="72">
        <v>72989</v>
      </c>
      <c r="BD10" s="72">
        <v>69213</v>
      </c>
      <c r="BE10" s="72">
        <v>62288</v>
      </c>
      <c r="BF10" s="72">
        <v>61565</v>
      </c>
      <c r="BG10" s="72">
        <v>62717</v>
      </c>
      <c r="BH10" s="72">
        <v>63378</v>
      </c>
      <c r="BI10" s="72">
        <v>62953</v>
      </c>
      <c r="BJ10" s="72">
        <v>61123</v>
      </c>
      <c r="BK10" s="72">
        <v>56808</v>
      </c>
      <c r="BL10" s="72">
        <v>55151</v>
      </c>
      <c r="BM10" s="72">
        <v>54475</v>
      </c>
      <c r="BN10" s="72">
        <v>54624</v>
      </c>
      <c r="BO10" s="72">
        <v>56684</v>
      </c>
      <c r="BP10" s="72">
        <v>59902</v>
      </c>
      <c r="BQ10" s="72">
        <v>61406</v>
      </c>
      <c r="BR10" s="72">
        <v>61546</v>
      </c>
      <c r="BS10" s="72">
        <v>62163</v>
      </c>
      <c r="BT10" s="72">
        <v>61359</v>
      </c>
      <c r="BU10" s="72">
        <v>64327</v>
      </c>
      <c r="BV10" s="72">
        <v>67662</v>
      </c>
      <c r="BW10" s="72">
        <v>72990</v>
      </c>
      <c r="BX10" s="72">
        <v>76541</v>
      </c>
      <c r="BY10" s="72">
        <v>80421</v>
      </c>
      <c r="BZ10" s="72">
        <v>82297</v>
      </c>
      <c r="CA10" s="72">
        <v>82646</v>
      </c>
      <c r="CB10" s="72">
        <v>82851</v>
      </c>
      <c r="CC10" s="72">
        <v>86185</v>
      </c>
      <c r="CD10" s="91">
        <v>89442</v>
      </c>
      <c r="CE10" s="91">
        <v>93545</v>
      </c>
      <c r="CF10" s="91">
        <v>100112</v>
      </c>
      <c r="CG10" s="91">
        <v>93491</v>
      </c>
      <c r="CH10" s="91">
        <v>80781</v>
      </c>
    </row>
    <row r="11" spans="1:256" s="91" customFormat="1">
      <c r="A11" s="112"/>
      <c r="B11" s="112"/>
      <c r="C11" s="73"/>
      <c r="D11" s="73"/>
      <c r="E11" s="73"/>
      <c r="F11" s="73"/>
      <c r="G11" s="73"/>
      <c r="H11" s="73"/>
      <c r="I11" s="73"/>
      <c r="J11" s="73"/>
      <c r="K11" s="73"/>
      <c r="L11" s="73"/>
      <c r="M11" s="73"/>
      <c r="N11" s="73"/>
      <c r="O11" s="73"/>
      <c r="P11" s="73"/>
      <c r="Q11" s="73"/>
      <c r="R11" s="73"/>
      <c r="S11" s="73"/>
      <c r="T11" s="73"/>
      <c r="U11" s="73"/>
      <c r="V11" s="73"/>
      <c r="W11" s="73"/>
      <c r="X11" s="73"/>
      <c r="Y11" s="73"/>
      <c r="Z11" s="73"/>
      <c r="AA11" s="73"/>
      <c r="AB11" s="73"/>
      <c r="AC11" s="73"/>
      <c r="AD11" s="73"/>
      <c r="AE11" s="73"/>
      <c r="AF11" s="73"/>
      <c r="AG11" s="73"/>
      <c r="AH11" s="73"/>
      <c r="AI11" s="73"/>
      <c r="AJ11" s="73"/>
      <c r="AK11" s="73"/>
      <c r="AL11" s="73"/>
      <c r="AM11" s="73"/>
      <c r="AN11" s="73"/>
      <c r="AO11" s="73"/>
      <c r="AP11" s="73"/>
      <c r="AQ11" s="73"/>
      <c r="AR11" s="73"/>
      <c r="AS11" s="73"/>
      <c r="AT11" s="73"/>
      <c r="AU11" s="73"/>
      <c r="AV11" s="73"/>
      <c r="AW11" s="73"/>
      <c r="AX11" s="73"/>
      <c r="AY11" s="73"/>
      <c r="AZ11" s="73"/>
      <c r="BA11" s="73"/>
      <c r="BB11" s="73"/>
      <c r="BC11" s="73"/>
      <c r="BD11" s="73"/>
      <c r="BE11" s="73"/>
      <c r="BF11" s="73"/>
      <c r="BG11" s="73"/>
      <c r="BH11" s="73"/>
      <c r="BI11" s="73"/>
      <c r="BJ11" s="73"/>
      <c r="BK11" s="73"/>
      <c r="BL11" s="73"/>
      <c r="BM11" s="73"/>
      <c r="BN11" s="73"/>
      <c r="BO11" s="73"/>
      <c r="BP11" s="73"/>
      <c r="BQ11" s="73"/>
      <c r="BR11" s="73"/>
      <c r="BS11" s="73"/>
      <c r="BT11" s="73"/>
      <c r="BU11" s="73"/>
      <c r="BV11" s="73"/>
      <c r="BW11" s="73"/>
      <c r="BX11" s="73"/>
      <c r="BY11" s="73"/>
      <c r="BZ11" s="73"/>
      <c r="CA11" s="73"/>
      <c r="CB11" s="73"/>
      <c r="CC11" s="73"/>
    </row>
    <row r="12" spans="1:256" s="91" customFormat="1">
      <c r="A12" s="111" t="s">
        <v>209</v>
      </c>
      <c r="B12" s="111" t="s">
        <v>31</v>
      </c>
      <c r="C12" s="73">
        <v>4873</v>
      </c>
      <c r="D12" s="73">
        <v>4701</v>
      </c>
      <c r="E12" s="73">
        <v>4814</v>
      </c>
      <c r="F12" s="73">
        <v>4955</v>
      </c>
      <c r="G12" s="73">
        <v>5292</v>
      </c>
      <c r="H12" s="73">
        <v>5474</v>
      </c>
      <c r="I12" s="73">
        <v>5522</v>
      </c>
      <c r="J12" s="73">
        <v>5554</v>
      </c>
      <c r="K12" s="73">
        <v>5590</v>
      </c>
      <c r="L12" s="73">
        <v>5666</v>
      </c>
      <c r="M12" s="73">
        <v>5710</v>
      </c>
      <c r="N12" s="73">
        <v>5622</v>
      </c>
      <c r="O12" s="73">
        <v>5658</v>
      </c>
      <c r="P12" s="73">
        <v>5458</v>
      </c>
      <c r="Q12" s="73">
        <v>5359</v>
      </c>
      <c r="R12" s="73">
        <v>5465</v>
      </c>
      <c r="S12" s="73">
        <v>5518</v>
      </c>
      <c r="T12" s="73">
        <v>5706</v>
      </c>
      <c r="U12" s="73">
        <v>5897</v>
      </c>
      <c r="V12" s="73">
        <v>5859</v>
      </c>
      <c r="W12" s="73">
        <v>5801</v>
      </c>
      <c r="X12" s="73">
        <v>5688</v>
      </c>
      <c r="Y12" s="73">
        <v>5577</v>
      </c>
      <c r="Z12" s="73">
        <v>5609</v>
      </c>
      <c r="AA12" s="73">
        <v>5640</v>
      </c>
      <c r="AB12" s="73">
        <v>5673</v>
      </c>
      <c r="AC12" s="73">
        <v>5672</v>
      </c>
      <c r="AD12" s="73">
        <v>5750</v>
      </c>
      <c r="AE12" s="73">
        <v>5898</v>
      </c>
      <c r="AF12" s="73">
        <v>5786</v>
      </c>
      <c r="AG12" s="73">
        <v>5713</v>
      </c>
      <c r="AH12" s="73">
        <v>5778</v>
      </c>
      <c r="AI12" s="73">
        <v>6020</v>
      </c>
      <c r="AJ12" s="73">
        <v>6157</v>
      </c>
      <c r="AK12" s="73">
        <v>6427</v>
      </c>
      <c r="AL12" s="73">
        <v>6303</v>
      </c>
      <c r="AM12" s="73">
        <v>6080</v>
      </c>
      <c r="AN12" s="73">
        <v>5969</v>
      </c>
      <c r="AO12" s="73">
        <v>5834</v>
      </c>
      <c r="AP12" s="73">
        <v>5995</v>
      </c>
      <c r="AQ12" s="73">
        <v>6199</v>
      </c>
      <c r="AR12" s="73">
        <v>6674</v>
      </c>
      <c r="AS12" s="73">
        <v>6814</v>
      </c>
      <c r="AT12" s="73">
        <v>6751</v>
      </c>
      <c r="AU12" s="73">
        <v>6412</v>
      </c>
      <c r="AV12" s="73">
        <v>5986</v>
      </c>
      <c r="AW12" s="73">
        <v>5627</v>
      </c>
      <c r="AX12" s="73">
        <v>5166</v>
      </c>
      <c r="AY12" s="73">
        <v>4870</v>
      </c>
      <c r="AZ12" s="73">
        <v>4718</v>
      </c>
      <c r="BA12" s="73">
        <v>4602</v>
      </c>
      <c r="BB12" s="73">
        <v>4552</v>
      </c>
      <c r="BC12" s="73">
        <v>4079</v>
      </c>
      <c r="BD12" s="73">
        <v>3793</v>
      </c>
      <c r="BE12" s="73">
        <v>3466</v>
      </c>
      <c r="BF12" s="73">
        <v>3166</v>
      </c>
      <c r="BG12" s="73">
        <v>3204</v>
      </c>
      <c r="BH12" s="73">
        <v>3196</v>
      </c>
      <c r="BI12" s="73">
        <v>3102</v>
      </c>
      <c r="BJ12" s="73">
        <v>3176</v>
      </c>
      <c r="BK12" s="73">
        <v>3038</v>
      </c>
      <c r="BL12" s="73">
        <v>2994</v>
      </c>
      <c r="BM12" s="73">
        <v>2972</v>
      </c>
      <c r="BN12" s="73">
        <v>3095</v>
      </c>
      <c r="BO12" s="73">
        <v>3282</v>
      </c>
      <c r="BP12" s="73">
        <v>3353</v>
      </c>
      <c r="BQ12" s="73">
        <v>3455</v>
      </c>
      <c r="BR12" s="73">
        <v>3301</v>
      </c>
      <c r="BS12" s="73">
        <v>3346</v>
      </c>
      <c r="BT12" s="73">
        <v>3349</v>
      </c>
      <c r="BU12" s="73">
        <v>3469</v>
      </c>
      <c r="BV12" s="73">
        <v>3516</v>
      </c>
      <c r="BW12" s="73">
        <v>3717</v>
      </c>
      <c r="BX12" s="73">
        <v>3876</v>
      </c>
      <c r="BY12" s="73">
        <v>4092</v>
      </c>
      <c r="BZ12" s="73">
        <v>4273</v>
      </c>
      <c r="CA12" s="73">
        <v>4466</v>
      </c>
      <c r="CB12" s="73">
        <v>4590</v>
      </c>
      <c r="CC12" s="73">
        <v>4800</v>
      </c>
      <c r="CD12" s="91">
        <v>4970</v>
      </c>
      <c r="CE12" s="91">
        <v>4933</v>
      </c>
      <c r="CF12" s="91">
        <v>5062</v>
      </c>
      <c r="CG12" s="91">
        <v>4618</v>
      </c>
      <c r="CH12" s="91">
        <v>3950</v>
      </c>
    </row>
    <row r="13" spans="1:256" s="91" customFormat="1">
      <c r="A13" s="111" t="s">
        <v>210</v>
      </c>
      <c r="B13" s="111" t="s">
        <v>30</v>
      </c>
      <c r="C13" s="72">
        <v>13946</v>
      </c>
      <c r="D13" s="72">
        <v>13932</v>
      </c>
      <c r="E13" s="72">
        <v>14085</v>
      </c>
      <c r="F13" s="72">
        <v>14235</v>
      </c>
      <c r="G13" s="72">
        <v>14561</v>
      </c>
      <c r="H13" s="72">
        <v>14719</v>
      </c>
      <c r="I13" s="72">
        <v>14859</v>
      </c>
      <c r="J13" s="72">
        <v>14948</v>
      </c>
      <c r="K13" s="72">
        <v>14944</v>
      </c>
      <c r="L13" s="72">
        <v>14658</v>
      </c>
      <c r="M13" s="72">
        <v>14516</v>
      </c>
      <c r="N13" s="72">
        <v>14452</v>
      </c>
      <c r="O13" s="72">
        <v>14111</v>
      </c>
      <c r="P13" s="72">
        <v>14090</v>
      </c>
      <c r="Q13" s="72">
        <v>13889</v>
      </c>
      <c r="R13" s="72">
        <v>13935</v>
      </c>
      <c r="S13" s="72">
        <v>14023</v>
      </c>
      <c r="T13" s="72">
        <v>14443</v>
      </c>
      <c r="U13" s="72">
        <v>14797</v>
      </c>
      <c r="V13" s="72">
        <v>14890</v>
      </c>
      <c r="W13" s="72">
        <v>14664</v>
      </c>
      <c r="X13" s="72">
        <v>14415</v>
      </c>
      <c r="Y13" s="72">
        <v>14138</v>
      </c>
      <c r="Z13" s="72">
        <v>14012</v>
      </c>
      <c r="AA13" s="72">
        <v>14274</v>
      </c>
      <c r="AB13" s="72">
        <v>14554</v>
      </c>
      <c r="AC13" s="72">
        <v>15256</v>
      </c>
      <c r="AD13" s="72">
        <v>16002</v>
      </c>
      <c r="AE13" s="72">
        <v>16988</v>
      </c>
      <c r="AF13" s="72">
        <v>17129</v>
      </c>
      <c r="AG13" s="72">
        <v>17083</v>
      </c>
      <c r="AH13" s="72">
        <v>16561</v>
      </c>
      <c r="AI13" s="72">
        <v>17105</v>
      </c>
      <c r="AJ13" s="72">
        <v>17099</v>
      </c>
      <c r="AK13" s="72">
        <v>17376</v>
      </c>
      <c r="AL13" s="72">
        <v>17707</v>
      </c>
      <c r="AM13" s="72">
        <v>16990</v>
      </c>
      <c r="AN13" s="72">
        <v>16788</v>
      </c>
      <c r="AO13" s="72">
        <v>16568</v>
      </c>
      <c r="AP13" s="72">
        <v>16518</v>
      </c>
      <c r="AQ13" s="72">
        <v>16837</v>
      </c>
      <c r="AR13" s="72">
        <v>17864</v>
      </c>
      <c r="AS13" s="72">
        <v>18601</v>
      </c>
      <c r="AT13" s="72">
        <v>18651</v>
      </c>
      <c r="AU13" s="72">
        <v>18781</v>
      </c>
      <c r="AV13" s="72">
        <v>18121</v>
      </c>
      <c r="AW13" s="72">
        <v>16781</v>
      </c>
      <c r="AX13" s="72">
        <v>15534</v>
      </c>
      <c r="AY13" s="72">
        <v>13682</v>
      </c>
      <c r="AZ13" s="72">
        <v>12429</v>
      </c>
      <c r="BA13" s="72">
        <v>11104</v>
      </c>
      <c r="BB13" s="72">
        <v>10011</v>
      </c>
      <c r="BC13" s="72">
        <v>8654</v>
      </c>
      <c r="BD13" s="72">
        <v>7860</v>
      </c>
      <c r="BE13" s="72">
        <v>6806</v>
      </c>
      <c r="BF13" s="72">
        <v>6549</v>
      </c>
      <c r="BG13" s="72">
        <v>6396</v>
      </c>
      <c r="BH13" s="72">
        <v>6396</v>
      </c>
      <c r="BI13" s="72">
        <v>6420</v>
      </c>
      <c r="BJ13" s="72">
        <v>6398</v>
      </c>
      <c r="BK13" s="72">
        <v>5991</v>
      </c>
      <c r="BL13" s="72">
        <v>5756</v>
      </c>
      <c r="BM13" s="72">
        <v>5721</v>
      </c>
      <c r="BN13" s="72">
        <v>5496</v>
      </c>
      <c r="BO13" s="72">
        <v>5730</v>
      </c>
      <c r="BP13" s="72">
        <v>5754</v>
      </c>
      <c r="BQ13" s="72">
        <v>5783</v>
      </c>
      <c r="BR13" s="72">
        <v>5798</v>
      </c>
      <c r="BS13" s="72">
        <v>5739</v>
      </c>
      <c r="BT13" s="72">
        <v>5779</v>
      </c>
      <c r="BU13" s="72">
        <v>6190</v>
      </c>
      <c r="BV13" s="72">
        <v>6686</v>
      </c>
      <c r="BW13" s="72">
        <v>7420</v>
      </c>
      <c r="BX13" s="72">
        <v>7997</v>
      </c>
      <c r="BY13" s="72">
        <v>8602</v>
      </c>
      <c r="BZ13" s="72">
        <v>9051</v>
      </c>
      <c r="CA13" s="72">
        <v>9270</v>
      </c>
      <c r="CB13" s="72">
        <v>9626</v>
      </c>
      <c r="CC13" s="72">
        <v>9845</v>
      </c>
      <c r="CD13" s="91">
        <v>10241</v>
      </c>
      <c r="CE13" s="91">
        <v>10376</v>
      </c>
      <c r="CF13" s="91">
        <v>10513</v>
      </c>
      <c r="CG13" s="91">
        <v>9767</v>
      </c>
      <c r="CH13" s="91">
        <v>7753</v>
      </c>
    </row>
    <row r="14" spans="1:256" s="91" customFormat="1">
      <c r="A14" s="111" t="s">
        <v>211</v>
      </c>
      <c r="B14" s="111" t="s">
        <v>48</v>
      </c>
      <c r="C14" s="72">
        <v>10088</v>
      </c>
      <c r="D14" s="72">
        <v>10192</v>
      </c>
      <c r="E14" s="72">
        <v>10050</v>
      </c>
      <c r="F14" s="72">
        <v>10018</v>
      </c>
      <c r="G14" s="72">
        <v>10300</v>
      </c>
      <c r="H14" s="72">
        <v>10515</v>
      </c>
      <c r="I14" s="72">
        <v>10931</v>
      </c>
      <c r="J14" s="72">
        <v>11074</v>
      </c>
      <c r="K14" s="72">
        <v>10843</v>
      </c>
      <c r="L14" s="72">
        <v>10688</v>
      </c>
      <c r="M14" s="72">
        <v>10546</v>
      </c>
      <c r="N14" s="72">
        <v>10352</v>
      </c>
      <c r="O14" s="72">
        <v>10239</v>
      </c>
      <c r="P14" s="72">
        <v>10174</v>
      </c>
      <c r="Q14" s="72">
        <v>10350</v>
      </c>
      <c r="R14" s="72">
        <v>10834</v>
      </c>
      <c r="S14" s="72">
        <v>11621</v>
      </c>
      <c r="T14" s="72">
        <v>12155</v>
      </c>
      <c r="U14" s="72">
        <v>12553</v>
      </c>
      <c r="V14" s="72">
        <v>12446</v>
      </c>
      <c r="W14" s="72">
        <v>12114</v>
      </c>
      <c r="X14" s="72">
        <v>11907</v>
      </c>
      <c r="Y14" s="72">
        <v>11982</v>
      </c>
      <c r="Z14" s="72">
        <v>12007</v>
      </c>
      <c r="AA14" s="72">
        <v>12292</v>
      </c>
      <c r="AB14" s="72">
        <v>12278</v>
      </c>
      <c r="AC14" s="72">
        <v>12306</v>
      </c>
      <c r="AD14" s="72">
        <v>12389</v>
      </c>
      <c r="AE14" s="72">
        <v>12503</v>
      </c>
      <c r="AF14" s="72">
        <v>12293</v>
      </c>
      <c r="AG14" s="72">
        <v>12202</v>
      </c>
      <c r="AH14" s="72">
        <v>12288</v>
      </c>
      <c r="AI14" s="72">
        <v>12923</v>
      </c>
      <c r="AJ14" s="72">
        <v>13376</v>
      </c>
      <c r="AK14" s="72">
        <v>13462</v>
      </c>
      <c r="AL14" s="72">
        <v>13252</v>
      </c>
      <c r="AM14" s="72">
        <v>12061</v>
      </c>
      <c r="AN14" s="72">
        <v>11635</v>
      </c>
      <c r="AO14" s="72">
        <v>11366</v>
      </c>
      <c r="AP14" s="72">
        <v>11633</v>
      </c>
      <c r="AQ14" s="72">
        <v>12170</v>
      </c>
      <c r="AR14" s="72">
        <v>12837</v>
      </c>
      <c r="AS14" s="72">
        <v>13504</v>
      </c>
      <c r="AT14" s="72">
        <v>13483</v>
      </c>
      <c r="AU14" s="72">
        <v>13785</v>
      </c>
      <c r="AV14" s="72">
        <v>13639</v>
      </c>
      <c r="AW14" s="72">
        <v>13239</v>
      </c>
      <c r="AX14" s="72">
        <v>12791</v>
      </c>
      <c r="AY14" s="72">
        <v>11645</v>
      </c>
      <c r="AZ14" s="72">
        <v>10765</v>
      </c>
      <c r="BA14" s="72">
        <v>9621</v>
      </c>
      <c r="BB14" s="72">
        <v>8767</v>
      </c>
      <c r="BC14" s="72">
        <v>7831</v>
      </c>
      <c r="BD14" s="72">
        <v>7076</v>
      </c>
      <c r="BE14" s="72">
        <v>6213</v>
      </c>
      <c r="BF14" s="72">
        <v>5822</v>
      </c>
      <c r="BG14" s="72">
        <v>5706</v>
      </c>
      <c r="BH14" s="72">
        <v>5619</v>
      </c>
      <c r="BI14" s="72">
        <v>5557</v>
      </c>
      <c r="BJ14" s="72">
        <v>5461</v>
      </c>
      <c r="BK14" s="72">
        <v>4925</v>
      </c>
      <c r="BL14" s="72">
        <v>4913</v>
      </c>
      <c r="BM14" s="72">
        <v>4830</v>
      </c>
      <c r="BN14" s="72">
        <v>4747</v>
      </c>
      <c r="BO14" s="72">
        <v>5028</v>
      </c>
      <c r="BP14" s="72">
        <v>5261</v>
      </c>
      <c r="BQ14" s="72">
        <v>5207</v>
      </c>
      <c r="BR14" s="72">
        <v>5093</v>
      </c>
      <c r="BS14" s="72">
        <v>5045</v>
      </c>
      <c r="BT14" s="72">
        <v>4987</v>
      </c>
      <c r="BU14" s="72">
        <v>5232</v>
      </c>
      <c r="BV14" s="72">
        <v>5561</v>
      </c>
      <c r="BW14" s="72">
        <v>6048</v>
      </c>
      <c r="BX14" s="72">
        <v>6332</v>
      </c>
      <c r="BY14" s="72">
        <v>6726</v>
      </c>
      <c r="BZ14" s="72">
        <v>6881</v>
      </c>
      <c r="CA14" s="72">
        <v>6974</v>
      </c>
      <c r="CB14" s="72">
        <v>6990</v>
      </c>
      <c r="CC14" s="72">
        <v>7267</v>
      </c>
      <c r="CD14" s="91">
        <v>7522</v>
      </c>
      <c r="CE14" s="91">
        <v>7726</v>
      </c>
      <c r="CF14" s="91">
        <v>8250</v>
      </c>
      <c r="CG14" s="91">
        <v>7832</v>
      </c>
      <c r="CH14" s="91">
        <v>6973</v>
      </c>
    </row>
    <row r="15" spans="1:256" s="91" customFormat="1">
      <c r="A15" s="111" t="s">
        <v>212</v>
      </c>
      <c r="B15" s="111" t="s">
        <v>28</v>
      </c>
      <c r="C15" s="72">
        <v>9946</v>
      </c>
      <c r="D15" s="72">
        <v>9901</v>
      </c>
      <c r="E15" s="72">
        <v>10100</v>
      </c>
      <c r="F15" s="72">
        <v>10457</v>
      </c>
      <c r="G15" s="72">
        <v>10963</v>
      </c>
      <c r="H15" s="72">
        <v>11318</v>
      </c>
      <c r="I15" s="72">
        <v>11844</v>
      </c>
      <c r="J15" s="72">
        <v>12180</v>
      </c>
      <c r="K15" s="72">
        <v>12117</v>
      </c>
      <c r="L15" s="72">
        <v>11934</v>
      </c>
      <c r="M15" s="72">
        <v>11679</v>
      </c>
      <c r="N15" s="72">
        <v>11378</v>
      </c>
      <c r="O15" s="72">
        <v>11415</v>
      </c>
      <c r="P15" s="72">
        <v>11579</v>
      </c>
      <c r="Q15" s="72">
        <v>11996</v>
      </c>
      <c r="R15" s="72">
        <v>12541</v>
      </c>
      <c r="S15" s="72">
        <v>13193</v>
      </c>
      <c r="T15" s="72">
        <v>13607</v>
      </c>
      <c r="U15" s="72">
        <v>13629</v>
      </c>
      <c r="V15" s="72">
        <v>13401</v>
      </c>
      <c r="W15" s="72">
        <v>12610</v>
      </c>
      <c r="X15" s="72">
        <v>12087</v>
      </c>
      <c r="Y15" s="72">
        <v>12093</v>
      </c>
      <c r="Z15" s="72">
        <v>12112</v>
      </c>
      <c r="AA15" s="72">
        <v>12515</v>
      </c>
      <c r="AB15" s="72">
        <v>12877</v>
      </c>
      <c r="AC15" s="72">
        <v>13144</v>
      </c>
      <c r="AD15" s="72">
        <v>13387</v>
      </c>
      <c r="AE15" s="72">
        <v>13642</v>
      </c>
      <c r="AF15" s="72">
        <v>13400</v>
      </c>
      <c r="AG15" s="72">
        <v>12884</v>
      </c>
      <c r="AH15" s="72">
        <v>12675</v>
      </c>
      <c r="AI15" s="72">
        <v>12973</v>
      </c>
      <c r="AJ15" s="72">
        <v>13198</v>
      </c>
      <c r="AK15" s="72">
        <v>13430</v>
      </c>
      <c r="AL15" s="72">
        <v>13331</v>
      </c>
      <c r="AM15" s="72">
        <v>12745</v>
      </c>
      <c r="AN15" s="72">
        <v>12273</v>
      </c>
      <c r="AO15" s="72">
        <v>11988</v>
      </c>
      <c r="AP15" s="72">
        <v>11942</v>
      </c>
      <c r="AQ15" s="72">
        <v>12303</v>
      </c>
      <c r="AR15" s="72">
        <v>12888</v>
      </c>
      <c r="AS15" s="72">
        <v>13612</v>
      </c>
      <c r="AT15" s="72">
        <v>14290</v>
      </c>
      <c r="AU15" s="72">
        <v>14489</v>
      </c>
      <c r="AV15" s="72">
        <v>14210</v>
      </c>
      <c r="AW15" s="72">
        <v>13334</v>
      </c>
      <c r="AX15" s="72">
        <v>11849</v>
      </c>
      <c r="AY15" s="72">
        <v>10374</v>
      </c>
      <c r="AZ15" s="72">
        <v>9320</v>
      </c>
      <c r="BA15" s="72">
        <v>8220</v>
      </c>
      <c r="BB15" s="72">
        <v>7491</v>
      </c>
      <c r="BC15" s="72">
        <v>6772</v>
      </c>
      <c r="BD15" s="72">
        <v>6502</v>
      </c>
      <c r="BE15" s="72">
        <v>6179</v>
      </c>
      <c r="BF15" s="72">
        <v>6113</v>
      </c>
      <c r="BG15" s="72">
        <v>6100</v>
      </c>
      <c r="BH15" s="72">
        <v>6103</v>
      </c>
      <c r="BI15" s="72">
        <v>5912</v>
      </c>
      <c r="BJ15" s="72">
        <v>5742</v>
      </c>
      <c r="BK15" s="72">
        <v>5406</v>
      </c>
      <c r="BL15" s="72">
        <v>5205</v>
      </c>
      <c r="BM15" s="72">
        <v>5261</v>
      </c>
      <c r="BN15" s="72">
        <v>5309</v>
      </c>
      <c r="BO15" s="72">
        <v>5476</v>
      </c>
      <c r="BP15" s="72">
        <v>5823</v>
      </c>
      <c r="BQ15" s="72">
        <v>5942</v>
      </c>
      <c r="BR15" s="72">
        <v>5866</v>
      </c>
      <c r="BS15" s="72">
        <v>5958</v>
      </c>
      <c r="BT15" s="72">
        <v>5757</v>
      </c>
      <c r="BU15" s="72">
        <v>5795</v>
      </c>
      <c r="BV15" s="72">
        <v>6063</v>
      </c>
      <c r="BW15" s="72">
        <v>6500</v>
      </c>
      <c r="BX15" s="72">
        <v>6931</v>
      </c>
      <c r="BY15" s="72">
        <v>7602</v>
      </c>
      <c r="BZ15" s="72">
        <v>8031</v>
      </c>
      <c r="CA15" s="72">
        <v>8182</v>
      </c>
      <c r="CB15" s="72">
        <v>8222</v>
      </c>
      <c r="CC15" s="72">
        <v>8526</v>
      </c>
      <c r="CD15" s="91">
        <v>8787</v>
      </c>
      <c r="CE15" s="91">
        <v>9384</v>
      </c>
      <c r="CF15" s="91">
        <v>9972</v>
      </c>
      <c r="CG15" s="91">
        <v>9445</v>
      </c>
      <c r="CH15" s="91">
        <v>8627</v>
      </c>
    </row>
    <row r="16" spans="1:256" s="91" customFormat="1">
      <c r="A16" s="111" t="s">
        <v>213</v>
      </c>
      <c r="B16" s="111" t="s">
        <v>27</v>
      </c>
      <c r="C16" s="72">
        <v>10428</v>
      </c>
      <c r="D16" s="72">
        <v>10241</v>
      </c>
      <c r="E16" s="72">
        <v>10243</v>
      </c>
      <c r="F16" s="72">
        <v>10436</v>
      </c>
      <c r="G16" s="72">
        <v>10711</v>
      </c>
      <c r="H16" s="72">
        <v>11031</v>
      </c>
      <c r="I16" s="72">
        <v>11168</v>
      </c>
      <c r="J16" s="72">
        <v>10927</v>
      </c>
      <c r="K16" s="72">
        <v>10484</v>
      </c>
      <c r="L16" s="72">
        <v>10002</v>
      </c>
      <c r="M16" s="72">
        <v>9750</v>
      </c>
      <c r="N16" s="72">
        <v>9583</v>
      </c>
      <c r="O16" s="72">
        <v>9670</v>
      </c>
      <c r="P16" s="72">
        <v>9910</v>
      </c>
      <c r="Q16" s="72">
        <v>9943</v>
      </c>
      <c r="R16" s="72">
        <v>10344</v>
      </c>
      <c r="S16" s="72">
        <v>10618</v>
      </c>
      <c r="T16" s="72">
        <v>10956</v>
      </c>
      <c r="U16" s="72">
        <v>11348</v>
      </c>
      <c r="V16" s="72">
        <v>11106</v>
      </c>
      <c r="W16" s="72">
        <v>10817</v>
      </c>
      <c r="X16" s="72">
        <v>10624</v>
      </c>
      <c r="Y16" s="72">
        <v>10622</v>
      </c>
      <c r="Z16" s="72">
        <v>10850</v>
      </c>
      <c r="AA16" s="72">
        <v>11162</v>
      </c>
      <c r="AB16" s="72">
        <v>11407</v>
      </c>
      <c r="AC16" s="72">
        <v>11679</v>
      </c>
      <c r="AD16" s="72">
        <v>11815</v>
      </c>
      <c r="AE16" s="72">
        <v>12006</v>
      </c>
      <c r="AF16" s="72">
        <v>11639</v>
      </c>
      <c r="AG16" s="72">
        <v>11236</v>
      </c>
      <c r="AH16" s="72">
        <v>10793</v>
      </c>
      <c r="AI16" s="72">
        <v>11368</v>
      </c>
      <c r="AJ16" s="72">
        <v>11736</v>
      </c>
      <c r="AK16" s="72">
        <v>12248</v>
      </c>
      <c r="AL16" s="72">
        <v>12448</v>
      </c>
      <c r="AM16" s="72">
        <v>11910</v>
      </c>
      <c r="AN16" s="72">
        <v>11514</v>
      </c>
      <c r="AO16" s="72">
        <v>11375</v>
      </c>
      <c r="AP16" s="72">
        <v>11609</v>
      </c>
      <c r="AQ16" s="72">
        <v>12047</v>
      </c>
      <c r="AR16" s="72">
        <v>12490</v>
      </c>
      <c r="AS16" s="72">
        <v>12710</v>
      </c>
      <c r="AT16" s="72">
        <v>12569</v>
      </c>
      <c r="AU16" s="72">
        <v>12445</v>
      </c>
      <c r="AV16" s="72">
        <v>12041</v>
      </c>
      <c r="AW16" s="72">
        <v>11149</v>
      </c>
      <c r="AX16" s="72">
        <v>10056</v>
      </c>
      <c r="AY16" s="72">
        <v>8736</v>
      </c>
      <c r="AZ16" s="72">
        <v>7904</v>
      </c>
      <c r="BA16" s="72">
        <v>7532</v>
      </c>
      <c r="BB16" s="72">
        <v>7306</v>
      </c>
      <c r="BC16" s="72">
        <v>6567</v>
      </c>
      <c r="BD16" s="72">
        <v>6269</v>
      </c>
      <c r="BE16" s="72">
        <v>5260</v>
      </c>
      <c r="BF16" s="72">
        <v>4956</v>
      </c>
      <c r="BG16" s="72">
        <v>4892</v>
      </c>
      <c r="BH16" s="72">
        <v>4925</v>
      </c>
      <c r="BI16" s="72">
        <v>4883</v>
      </c>
      <c r="BJ16" s="72">
        <v>4872</v>
      </c>
      <c r="BK16" s="72">
        <v>4555</v>
      </c>
      <c r="BL16" s="72">
        <v>4384</v>
      </c>
      <c r="BM16" s="72">
        <v>4330</v>
      </c>
      <c r="BN16" s="72">
        <v>4397</v>
      </c>
      <c r="BO16" s="72">
        <v>4515</v>
      </c>
      <c r="BP16" s="72">
        <v>4865</v>
      </c>
      <c r="BQ16" s="72">
        <v>5072</v>
      </c>
      <c r="BR16" s="72">
        <v>5002</v>
      </c>
      <c r="BS16" s="72">
        <v>5042</v>
      </c>
      <c r="BT16" s="72">
        <v>5000</v>
      </c>
      <c r="BU16" s="72">
        <v>5311</v>
      </c>
      <c r="BV16" s="72">
        <v>5548</v>
      </c>
      <c r="BW16" s="72">
        <v>6153</v>
      </c>
      <c r="BX16" s="72">
        <v>6466</v>
      </c>
      <c r="BY16" s="72">
        <v>6824</v>
      </c>
      <c r="BZ16" s="72">
        <v>7206</v>
      </c>
      <c r="CA16" s="72">
        <v>7217</v>
      </c>
      <c r="CB16" s="72">
        <v>7287</v>
      </c>
      <c r="CC16" s="72">
        <v>7628</v>
      </c>
      <c r="CD16" s="91">
        <v>7831</v>
      </c>
      <c r="CE16" s="91">
        <v>8405</v>
      </c>
      <c r="CF16" s="91">
        <v>9021</v>
      </c>
      <c r="CG16" s="91">
        <v>8590</v>
      </c>
      <c r="CH16" s="91">
        <v>7608</v>
      </c>
    </row>
    <row r="17" spans="1:256" s="91" customFormat="1">
      <c r="A17" s="111" t="s">
        <v>214</v>
      </c>
      <c r="B17" s="111" t="s">
        <v>32</v>
      </c>
      <c r="C17" s="72">
        <v>14646</v>
      </c>
      <c r="D17" s="72">
        <v>14362</v>
      </c>
      <c r="E17" s="72">
        <v>14310</v>
      </c>
      <c r="F17" s="72">
        <v>15040</v>
      </c>
      <c r="G17" s="72">
        <v>15935</v>
      </c>
      <c r="H17" s="72">
        <v>16673</v>
      </c>
      <c r="I17" s="72">
        <v>17494</v>
      </c>
      <c r="J17" s="72">
        <v>17631</v>
      </c>
      <c r="K17" s="72">
        <v>16900</v>
      </c>
      <c r="L17" s="72">
        <v>16229</v>
      </c>
      <c r="M17" s="72">
        <v>15342</v>
      </c>
      <c r="N17" s="72">
        <v>14975</v>
      </c>
      <c r="O17" s="72">
        <v>14661</v>
      </c>
      <c r="P17" s="72">
        <v>14658</v>
      </c>
      <c r="Q17" s="72">
        <v>14747</v>
      </c>
      <c r="R17" s="72">
        <v>14899</v>
      </c>
      <c r="S17" s="72">
        <v>15278</v>
      </c>
      <c r="T17" s="72">
        <v>15282</v>
      </c>
      <c r="U17" s="72">
        <v>14903</v>
      </c>
      <c r="V17" s="72">
        <v>14179</v>
      </c>
      <c r="W17" s="72">
        <v>13683</v>
      </c>
      <c r="X17" s="72">
        <v>13613</v>
      </c>
      <c r="Y17" s="72">
        <v>14017</v>
      </c>
      <c r="Z17" s="72">
        <v>14251</v>
      </c>
      <c r="AA17" s="72">
        <v>14269</v>
      </c>
      <c r="AB17" s="72">
        <v>14221</v>
      </c>
      <c r="AC17" s="72">
        <v>14103</v>
      </c>
      <c r="AD17" s="72">
        <v>14413</v>
      </c>
      <c r="AE17" s="72">
        <v>14789</v>
      </c>
      <c r="AF17" s="72">
        <v>14807</v>
      </c>
      <c r="AG17" s="72">
        <v>14335</v>
      </c>
      <c r="AH17" s="72">
        <v>13883</v>
      </c>
      <c r="AI17" s="72">
        <v>14488</v>
      </c>
      <c r="AJ17" s="72">
        <v>14279</v>
      </c>
      <c r="AK17" s="72">
        <v>14848</v>
      </c>
      <c r="AL17" s="72">
        <v>14818</v>
      </c>
      <c r="AM17" s="72">
        <v>13808</v>
      </c>
      <c r="AN17" s="72">
        <v>13616</v>
      </c>
      <c r="AO17" s="72">
        <v>13316</v>
      </c>
      <c r="AP17" s="72">
        <v>13263</v>
      </c>
      <c r="AQ17" s="72">
        <v>14011</v>
      </c>
      <c r="AR17" s="72">
        <v>14603</v>
      </c>
      <c r="AS17" s="72">
        <v>15461</v>
      </c>
      <c r="AT17" s="72">
        <v>16062</v>
      </c>
      <c r="AU17" s="72">
        <v>16203</v>
      </c>
      <c r="AV17" s="72">
        <v>15971</v>
      </c>
      <c r="AW17" s="72">
        <v>15232</v>
      </c>
      <c r="AX17" s="72">
        <v>13659</v>
      </c>
      <c r="AY17" s="72">
        <v>11623</v>
      </c>
      <c r="AZ17" s="72">
        <v>10605</v>
      </c>
      <c r="BA17" s="72">
        <v>9260</v>
      </c>
      <c r="BB17" s="72">
        <v>8949</v>
      </c>
      <c r="BC17" s="72">
        <v>8782</v>
      </c>
      <c r="BD17" s="72">
        <v>8454</v>
      </c>
      <c r="BE17" s="72">
        <v>8082</v>
      </c>
      <c r="BF17" s="72">
        <v>8360</v>
      </c>
      <c r="BG17" s="72">
        <v>8691</v>
      </c>
      <c r="BH17" s="72">
        <v>8861</v>
      </c>
      <c r="BI17" s="72">
        <v>8889</v>
      </c>
      <c r="BJ17" s="72">
        <v>8469</v>
      </c>
      <c r="BK17" s="72">
        <v>7985</v>
      </c>
      <c r="BL17" s="72">
        <v>7943</v>
      </c>
      <c r="BM17" s="72">
        <v>8059</v>
      </c>
      <c r="BN17" s="72">
        <v>8194</v>
      </c>
      <c r="BO17" s="72">
        <v>8430</v>
      </c>
      <c r="BP17" s="72">
        <v>8844</v>
      </c>
      <c r="BQ17" s="72">
        <v>8846</v>
      </c>
      <c r="BR17" s="72">
        <v>8713</v>
      </c>
      <c r="BS17" s="72">
        <v>8683</v>
      </c>
      <c r="BT17" s="72">
        <v>8374</v>
      </c>
      <c r="BU17" s="72">
        <v>8818</v>
      </c>
      <c r="BV17" s="72">
        <v>9462</v>
      </c>
      <c r="BW17" s="72">
        <v>10008</v>
      </c>
      <c r="BX17" s="72">
        <v>10565</v>
      </c>
      <c r="BY17" s="72">
        <v>10797</v>
      </c>
      <c r="BZ17" s="72">
        <v>10563</v>
      </c>
      <c r="CA17" s="72">
        <v>10535</v>
      </c>
      <c r="CB17" s="72">
        <v>10314</v>
      </c>
      <c r="CC17" s="72">
        <v>10398</v>
      </c>
      <c r="CD17" s="91">
        <v>10940</v>
      </c>
      <c r="CE17" s="91">
        <v>11282</v>
      </c>
      <c r="CF17" s="91">
        <v>11968</v>
      </c>
      <c r="CG17" s="91">
        <v>11466</v>
      </c>
      <c r="CH17" s="91">
        <v>10093</v>
      </c>
    </row>
    <row r="18" spans="1:256" s="91" customFormat="1">
      <c r="A18" s="111" t="s">
        <v>215</v>
      </c>
      <c r="B18" s="111" t="s">
        <v>24</v>
      </c>
      <c r="C18" s="72">
        <v>10212</v>
      </c>
      <c r="D18" s="72">
        <v>10170</v>
      </c>
      <c r="E18" s="72">
        <v>10187</v>
      </c>
      <c r="F18" s="72">
        <v>10526</v>
      </c>
      <c r="G18" s="72">
        <v>11169</v>
      </c>
      <c r="H18" s="72">
        <v>11662</v>
      </c>
      <c r="I18" s="72">
        <v>11746</v>
      </c>
      <c r="J18" s="72">
        <v>12115</v>
      </c>
      <c r="K18" s="72">
        <v>11964</v>
      </c>
      <c r="L18" s="72">
        <v>11499</v>
      </c>
      <c r="M18" s="72">
        <v>11452</v>
      </c>
      <c r="N18" s="72">
        <v>11400</v>
      </c>
      <c r="O18" s="72">
        <v>11335</v>
      </c>
      <c r="P18" s="72">
        <v>11624</v>
      </c>
      <c r="Q18" s="72">
        <v>11797</v>
      </c>
      <c r="R18" s="72">
        <v>12140</v>
      </c>
      <c r="S18" s="72">
        <v>12548</v>
      </c>
      <c r="T18" s="72">
        <v>12796</v>
      </c>
      <c r="U18" s="72">
        <v>12714</v>
      </c>
      <c r="V18" s="72">
        <v>12038</v>
      </c>
      <c r="W18" s="72">
        <v>11483</v>
      </c>
      <c r="X18" s="72">
        <v>11060</v>
      </c>
      <c r="Y18" s="72">
        <v>10858</v>
      </c>
      <c r="Z18" s="72">
        <v>11084</v>
      </c>
      <c r="AA18" s="72">
        <v>11331</v>
      </c>
      <c r="AB18" s="72">
        <v>11418</v>
      </c>
      <c r="AC18" s="72">
        <v>11903</v>
      </c>
      <c r="AD18" s="72">
        <v>12157</v>
      </c>
      <c r="AE18" s="72">
        <v>11730</v>
      </c>
      <c r="AF18" s="72">
        <v>11225</v>
      </c>
      <c r="AG18" s="72">
        <v>10587</v>
      </c>
      <c r="AH18" s="72">
        <v>10109</v>
      </c>
      <c r="AI18" s="72">
        <v>10508</v>
      </c>
      <c r="AJ18" s="72">
        <v>11139</v>
      </c>
      <c r="AK18" s="72">
        <v>11793</v>
      </c>
      <c r="AL18" s="72">
        <v>12495</v>
      </c>
      <c r="AM18" s="72">
        <v>12616</v>
      </c>
      <c r="AN18" s="72">
        <v>12445</v>
      </c>
      <c r="AO18" s="72">
        <v>12354</v>
      </c>
      <c r="AP18" s="72">
        <v>12077</v>
      </c>
      <c r="AQ18" s="72">
        <v>11919</v>
      </c>
      <c r="AR18" s="72">
        <v>12701</v>
      </c>
      <c r="AS18" s="72">
        <v>12506</v>
      </c>
      <c r="AT18" s="72">
        <v>12403</v>
      </c>
      <c r="AU18" s="72">
        <v>12513</v>
      </c>
      <c r="AV18" s="72">
        <v>11881</v>
      </c>
      <c r="AW18" s="72">
        <v>11150</v>
      </c>
      <c r="AX18" s="72">
        <v>10028</v>
      </c>
      <c r="AY18" s="72">
        <v>8857</v>
      </c>
      <c r="AZ18" s="72">
        <v>8211</v>
      </c>
      <c r="BA18" s="72">
        <v>8475</v>
      </c>
      <c r="BB18" s="72">
        <v>8435</v>
      </c>
      <c r="BC18" s="72">
        <v>8277</v>
      </c>
      <c r="BD18" s="72">
        <v>7714</v>
      </c>
      <c r="BE18" s="72">
        <v>6903</v>
      </c>
      <c r="BF18" s="72">
        <v>7242</v>
      </c>
      <c r="BG18" s="72">
        <v>7618</v>
      </c>
      <c r="BH18" s="72">
        <v>8268</v>
      </c>
      <c r="BI18" s="72">
        <v>8559</v>
      </c>
      <c r="BJ18" s="72">
        <v>8163</v>
      </c>
      <c r="BK18" s="72">
        <v>7559</v>
      </c>
      <c r="BL18" s="72">
        <v>6957</v>
      </c>
      <c r="BM18" s="72">
        <v>6651</v>
      </c>
      <c r="BN18" s="72">
        <v>6498</v>
      </c>
      <c r="BO18" s="72">
        <v>6617</v>
      </c>
      <c r="BP18" s="72">
        <v>7489</v>
      </c>
      <c r="BQ18" s="72">
        <v>8140</v>
      </c>
      <c r="BR18" s="72">
        <v>8838</v>
      </c>
      <c r="BS18" s="72">
        <v>9396</v>
      </c>
      <c r="BT18" s="72">
        <v>9393</v>
      </c>
      <c r="BU18" s="72">
        <v>9837</v>
      </c>
      <c r="BV18" s="72">
        <v>10255</v>
      </c>
      <c r="BW18" s="72">
        <v>10961</v>
      </c>
      <c r="BX18" s="72">
        <v>11347</v>
      </c>
      <c r="BY18" s="72">
        <v>11686</v>
      </c>
      <c r="BZ18" s="72">
        <v>11776</v>
      </c>
      <c r="CA18" s="72">
        <v>11448</v>
      </c>
      <c r="CB18" s="72">
        <v>11194</v>
      </c>
      <c r="CC18" s="72">
        <v>11623</v>
      </c>
      <c r="CD18" s="91">
        <v>12470</v>
      </c>
      <c r="CE18" s="91">
        <v>13457</v>
      </c>
      <c r="CF18" s="91">
        <v>15070</v>
      </c>
      <c r="CG18" s="91">
        <v>13984</v>
      </c>
      <c r="CH18" s="91">
        <v>11581</v>
      </c>
    </row>
    <row r="19" spans="1:256" s="91" customFormat="1">
      <c r="A19" s="111" t="s">
        <v>216</v>
      </c>
      <c r="B19" s="111" t="s">
        <v>23</v>
      </c>
      <c r="C19" s="72">
        <v>17276</v>
      </c>
      <c r="D19" s="72">
        <v>17434</v>
      </c>
      <c r="E19" s="72">
        <v>17938</v>
      </c>
      <c r="F19" s="72">
        <v>18623</v>
      </c>
      <c r="G19" s="72">
        <v>19613</v>
      </c>
      <c r="H19" s="72">
        <v>20119</v>
      </c>
      <c r="I19" s="72">
        <v>20673</v>
      </c>
      <c r="J19" s="72">
        <v>20688</v>
      </c>
      <c r="K19" s="72">
        <v>20306</v>
      </c>
      <c r="L19" s="72">
        <v>19782</v>
      </c>
      <c r="M19" s="72">
        <v>19009</v>
      </c>
      <c r="N19" s="72">
        <v>18276</v>
      </c>
      <c r="O19" s="72">
        <v>17224</v>
      </c>
      <c r="P19" s="72">
        <v>16964</v>
      </c>
      <c r="Q19" s="72">
        <v>16854</v>
      </c>
      <c r="R19" s="72">
        <v>17254</v>
      </c>
      <c r="S19" s="72">
        <v>17987</v>
      </c>
      <c r="T19" s="72">
        <v>18637</v>
      </c>
      <c r="U19" s="72">
        <v>18769</v>
      </c>
      <c r="V19" s="72">
        <v>17878</v>
      </c>
      <c r="W19" s="72">
        <v>17102</v>
      </c>
      <c r="X19" s="72">
        <v>16439</v>
      </c>
      <c r="Y19" s="72">
        <v>16496</v>
      </c>
      <c r="Z19" s="72">
        <v>16896</v>
      </c>
      <c r="AA19" s="72">
        <v>17374</v>
      </c>
      <c r="AB19" s="72">
        <v>17530</v>
      </c>
      <c r="AC19" s="72">
        <v>17865</v>
      </c>
      <c r="AD19" s="72">
        <v>18210</v>
      </c>
      <c r="AE19" s="72">
        <v>18873</v>
      </c>
      <c r="AF19" s="72">
        <v>18528</v>
      </c>
      <c r="AG19" s="72">
        <v>17844</v>
      </c>
      <c r="AH19" s="72">
        <v>17360</v>
      </c>
      <c r="AI19" s="72">
        <v>17663</v>
      </c>
      <c r="AJ19" s="72">
        <v>18040</v>
      </c>
      <c r="AK19" s="72">
        <v>18977</v>
      </c>
      <c r="AL19" s="72">
        <v>18982</v>
      </c>
      <c r="AM19" s="72">
        <v>18362</v>
      </c>
      <c r="AN19" s="72">
        <v>17932</v>
      </c>
      <c r="AO19" s="72">
        <v>17632</v>
      </c>
      <c r="AP19" s="72">
        <v>18349</v>
      </c>
      <c r="AQ19" s="72">
        <v>19031</v>
      </c>
      <c r="AR19" s="72">
        <v>20364</v>
      </c>
      <c r="AS19" s="72">
        <v>21508</v>
      </c>
      <c r="AT19" s="72">
        <v>21746</v>
      </c>
      <c r="AU19" s="72">
        <v>21820</v>
      </c>
      <c r="AV19" s="72">
        <v>21208</v>
      </c>
      <c r="AW19" s="72">
        <v>20235</v>
      </c>
      <c r="AX19" s="72">
        <v>18945</v>
      </c>
      <c r="AY19" s="72">
        <v>17485</v>
      </c>
      <c r="AZ19" s="72">
        <v>16254</v>
      </c>
      <c r="BA19" s="72">
        <v>15214</v>
      </c>
      <c r="BB19" s="72">
        <v>14449</v>
      </c>
      <c r="BC19" s="72">
        <v>13072</v>
      </c>
      <c r="BD19" s="72">
        <v>12601</v>
      </c>
      <c r="BE19" s="72">
        <v>11251</v>
      </c>
      <c r="BF19" s="72">
        <v>11219</v>
      </c>
      <c r="BG19" s="72">
        <v>11839</v>
      </c>
      <c r="BH19" s="72">
        <v>11675</v>
      </c>
      <c r="BI19" s="72">
        <v>11393</v>
      </c>
      <c r="BJ19" s="72">
        <v>10751</v>
      </c>
      <c r="BK19" s="72">
        <v>9846</v>
      </c>
      <c r="BL19" s="72">
        <v>9615</v>
      </c>
      <c r="BM19" s="72">
        <v>9474</v>
      </c>
      <c r="BN19" s="72">
        <v>9694</v>
      </c>
      <c r="BO19" s="72">
        <v>9957</v>
      </c>
      <c r="BP19" s="72">
        <v>10413</v>
      </c>
      <c r="BQ19" s="72">
        <v>10737</v>
      </c>
      <c r="BR19" s="72">
        <v>10770</v>
      </c>
      <c r="BS19" s="72">
        <v>10934</v>
      </c>
      <c r="BT19" s="72">
        <v>10931</v>
      </c>
      <c r="BU19" s="72">
        <v>11403</v>
      </c>
      <c r="BV19" s="72">
        <v>11984</v>
      </c>
      <c r="BW19" s="72">
        <v>12872</v>
      </c>
      <c r="BX19" s="72">
        <v>13390</v>
      </c>
      <c r="BY19" s="72">
        <v>13933</v>
      </c>
      <c r="BZ19" s="72">
        <v>14170</v>
      </c>
      <c r="CA19" s="72">
        <v>14142</v>
      </c>
      <c r="CB19" s="72">
        <v>14175</v>
      </c>
      <c r="CC19" s="72">
        <v>15087</v>
      </c>
      <c r="CD19" s="91">
        <v>15368</v>
      </c>
      <c r="CE19" s="91">
        <v>16336</v>
      </c>
      <c r="CF19" s="91">
        <v>17900</v>
      </c>
      <c r="CG19" s="91">
        <v>16591</v>
      </c>
      <c r="CH19" s="91">
        <v>14626</v>
      </c>
    </row>
    <row r="20" spans="1:256" s="91" customFormat="1">
      <c r="A20" s="113" t="s">
        <v>217</v>
      </c>
      <c r="B20" s="113" t="s">
        <v>26</v>
      </c>
      <c r="C20" s="72">
        <v>11391</v>
      </c>
      <c r="D20" s="72">
        <v>11310</v>
      </c>
      <c r="E20" s="72">
        <v>11199</v>
      </c>
      <c r="F20" s="72">
        <v>11430</v>
      </c>
      <c r="G20" s="72">
        <v>12091</v>
      </c>
      <c r="H20" s="72">
        <v>12633</v>
      </c>
      <c r="I20" s="72">
        <v>13249</v>
      </c>
      <c r="J20" s="72">
        <v>13579</v>
      </c>
      <c r="K20" s="72">
        <v>13953</v>
      </c>
      <c r="L20" s="72">
        <v>13756</v>
      </c>
      <c r="M20" s="72">
        <v>13669</v>
      </c>
      <c r="N20" s="72">
        <v>13370</v>
      </c>
      <c r="O20" s="72">
        <v>12780</v>
      </c>
      <c r="P20" s="72">
        <v>12846</v>
      </c>
      <c r="Q20" s="72">
        <v>13076</v>
      </c>
      <c r="R20" s="72">
        <v>13530</v>
      </c>
      <c r="S20" s="72">
        <v>13869</v>
      </c>
      <c r="T20" s="72">
        <v>14069</v>
      </c>
      <c r="U20" s="72">
        <v>13831</v>
      </c>
      <c r="V20" s="72">
        <v>13014</v>
      </c>
      <c r="W20" s="72">
        <v>12531</v>
      </c>
      <c r="X20" s="72">
        <v>12122</v>
      </c>
      <c r="Y20" s="72">
        <v>12209</v>
      </c>
      <c r="Z20" s="72">
        <v>12416</v>
      </c>
      <c r="AA20" s="72">
        <v>12534</v>
      </c>
      <c r="AB20" s="72">
        <v>12684</v>
      </c>
      <c r="AC20" s="72">
        <v>12672</v>
      </c>
      <c r="AD20" s="72">
        <v>12960</v>
      </c>
      <c r="AE20" s="72">
        <v>13422</v>
      </c>
      <c r="AF20" s="72">
        <v>13328</v>
      </c>
      <c r="AG20" s="72">
        <v>13044</v>
      </c>
      <c r="AH20" s="72">
        <v>13059</v>
      </c>
      <c r="AI20" s="72">
        <v>13220</v>
      </c>
      <c r="AJ20" s="72">
        <v>13371</v>
      </c>
      <c r="AK20" s="72">
        <v>13741</v>
      </c>
      <c r="AL20" s="72">
        <v>13431</v>
      </c>
      <c r="AM20" s="72">
        <v>12761</v>
      </c>
      <c r="AN20" s="72">
        <v>12556</v>
      </c>
      <c r="AO20" s="72">
        <v>12462</v>
      </c>
      <c r="AP20" s="72">
        <v>12552</v>
      </c>
      <c r="AQ20" s="72">
        <v>13049</v>
      </c>
      <c r="AR20" s="72">
        <v>13573</v>
      </c>
      <c r="AS20" s="72">
        <v>14113</v>
      </c>
      <c r="AT20" s="72">
        <v>14246</v>
      </c>
      <c r="AU20" s="72">
        <v>14497</v>
      </c>
      <c r="AV20" s="72">
        <v>14095</v>
      </c>
      <c r="AW20" s="72">
        <v>13331</v>
      </c>
      <c r="AX20" s="72">
        <v>12218</v>
      </c>
      <c r="AY20" s="72">
        <v>10467</v>
      </c>
      <c r="AZ20" s="72">
        <v>9254</v>
      </c>
      <c r="BA20" s="72">
        <v>9017</v>
      </c>
      <c r="BB20" s="72">
        <v>8818</v>
      </c>
      <c r="BC20" s="72">
        <v>8955</v>
      </c>
      <c r="BD20" s="72">
        <v>8944</v>
      </c>
      <c r="BE20" s="72">
        <v>8128</v>
      </c>
      <c r="BF20" s="72">
        <v>8138</v>
      </c>
      <c r="BG20" s="72">
        <v>8271</v>
      </c>
      <c r="BH20" s="72">
        <v>8335</v>
      </c>
      <c r="BI20" s="72">
        <v>8238</v>
      </c>
      <c r="BJ20" s="72">
        <v>8091</v>
      </c>
      <c r="BK20" s="72">
        <v>7503</v>
      </c>
      <c r="BL20" s="72">
        <v>7384</v>
      </c>
      <c r="BM20" s="72">
        <v>7177</v>
      </c>
      <c r="BN20" s="72">
        <v>7194</v>
      </c>
      <c r="BO20" s="72">
        <v>7649</v>
      </c>
      <c r="BP20" s="72">
        <v>8100</v>
      </c>
      <c r="BQ20" s="72">
        <v>8224</v>
      </c>
      <c r="BR20" s="72">
        <v>8165</v>
      </c>
      <c r="BS20" s="72">
        <v>8020</v>
      </c>
      <c r="BT20" s="72">
        <v>7789</v>
      </c>
      <c r="BU20" s="72">
        <v>8272</v>
      </c>
      <c r="BV20" s="72">
        <v>8587</v>
      </c>
      <c r="BW20" s="72">
        <v>9311</v>
      </c>
      <c r="BX20" s="72">
        <v>9637</v>
      </c>
      <c r="BY20" s="72">
        <v>10159</v>
      </c>
      <c r="BZ20" s="72">
        <v>10346</v>
      </c>
      <c r="CA20" s="72">
        <v>10412</v>
      </c>
      <c r="CB20" s="72">
        <v>10453</v>
      </c>
      <c r="CC20" s="72">
        <v>11011</v>
      </c>
      <c r="CD20" s="91">
        <v>11313</v>
      </c>
      <c r="CE20" s="91">
        <v>11646</v>
      </c>
      <c r="CF20" s="91">
        <v>12356</v>
      </c>
      <c r="CG20" s="91">
        <v>11198</v>
      </c>
      <c r="CH20" s="91">
        <v>9570</v>
      </c>
    </row>
    <row r="21" spans="1:256" s="91" customFormat="1" ht="15" thickBot="1">
      <c r="A21" s="114" t="s">
        <v>208</v>
      </c>
      <c r="B21" s="114" t="s">
        <v>66</v>
      </c>
      <c r="C21" s="101">
        <v>4702</v>
      </c>
      <c r="D21" s="101">
        <v>4768</v>
      </c>
      <c r="E21" s="101">
        <v>5048</v>
      </c>
      <c r="F21" s="101">
        <v>5296</v>
      </c>
      <c r="G21" s="101">
        <v>5440</v>
      </c>
      <c r="H21" s="101">
        <v>5568</v>
      </c>
      <c r="I21" s="101">
        <v>5658</v>
      </c>
      <c r="J21" s="101">
        <v>5724</v>
      </c>
      <c r="K21" s="101">
        <v>5906</v>
      </c>
      <c r="L21" s="101">
        <v>5851</v>
      </c>
      <c r="M21" s="101">
        <v>5673</v>
      </c>
      <c r="N21" s="101">
        <v>5453</v>
      </c>
      <c r="O21" s="101">
        <v>5215</v>
      </c>
      <c r="P21" s="101">
        <v>5043</v>
      </c>
      <c r="Q21" s="101">
        <v>5034</v>
      </c>
      <c r="R21" s="101">
        <v>5173</v>
      </c>
      <c r="S21" s="101">
        <v>5494</v>
      </c>
      <c r="T21" s="101">
        <v>5868</v>
      </c>
      <c r="U21" s="101">
        <v>6216</v>
      </c>
      <c r="V21" s="101">
        <v>6255</v>
      </c>
      <c r="W21" s="101">
        <v>6153</v>
      </c>
      <c r="X21" s="101">
        <v>5902</v>
      </c>
      <c r="Y21" s="101">
        <v>5949</v>
      </c>
      <c r="Z21" s="101">
        <v>6034</v>
      </c>
      <c r="AA21" s="101">
        <v>6235</v>
      </c>
      <c r="AB21" s="101">
        <v>6472</v>
      </c>
      <c r="AC21" s="101">
        <v>6487</v>
      </c>
      <c r="AD21" s="101">
        <v>6621</v>
      </c>
      <c r="AE21" s="101">
        <v>6502</v>
      </c>
      <c r="AF21" s="101">
        <v>6330</v>
      </c>
      <c r="AG21" s="101">
        <v>6264</v>
      </c>
      <c r="AH21" s="101">
        <v>5876</v>
      </c>
      <c r="AI21" s="101">
        <v>6039</v>
      </c>
      <c r="AJ21" s="101">
        <v>6184</v>
      </c>
      <c r="AK21" s="101">
        <v>5973</v>
      </c>
      <c r="AL21" s="101">
        <v>6092</v>
      </c>
      <c r="AM21" s="101">
        <v>5792</v>
      </c>
      <c r="AN21" s="101">
        <v>5374</v>
      </c>
      <c r="AO21" s="101">
        <v>5254</v>
      </c>
      <c r="AP21" s="101">
        <v>5138</v>
      </c>
      <c r="AQ21" s="101">
        <v>5089</v>
      </c>
      <c r="AR21" s="101">
        <v>5316</v>
      </c>
      <c r="AS21" s="101">
        <v>5472</v>
      </c>
      <c r="AT21" s="101">
        <v>5399</v>
      </c>
      <c r="AU21" s="101">
        <v>5420</v>
      </c>
      <c r="AV21" s="101">
        <v>5127</v>
      </c>
      <c r="AW21" s="101">
        <v>4554</v>
      </c>
      <c r="AX21" s="101">
        <v>3906</v>
      </c>
      <c r="AY21" s="101">
        <v>3259</v>
      </c>
      <c r="AZ21" s="101">
        <v>2978</v>
      </c>
      <c r="BA21" s="101">
        <v>3090</v>
      </c>
      <c r="BB21" s="101">
        <v>3204</v>
      </c>
      <c r="BC21" s="101">
        <v>3298</v>
      </c>
      <c r="BD21" s="101">
        <v>3566</v>
      </c>
      <c r="BE21" s="101">
        <v>3497</v>
      </c>
      <c r="BF21" s="101">
        <v>3649</v>
      </c>
      <c r="BG21" s="101">
        <v>3594</v>
      </c>
      <c r="BH21" s="101">
        <v>3358</v>
      </c>
      <c r="BI21" s="101">
        <v>3226</v>
      </c>
      <c r="BJ21" s="101">
        <v>3037</v>
      </c>
      <c r="BK21" s="101">
        <v>2949</v>
      </c>
      <c r="BL21" s="101">
        <v>2919</v>
      </c>
      <c r="BM21" s="101">
        <v>2928</v>
      </c>
      <c r="BN21" s="101">
        <v>3041</v>
      </c>
      <c r="BO21" s="101">
        <v>3106</v>
      </c>
      <c r="BP21" s="101">
        <v>3178</v>
      </c>
      <c r="BQ21" s="101">
        <v>3203</v>
      </c>
      <c r="BR21" s="101">
        <v>3074</v>
      </c>
      <c r="BS21" s="101">
        <v>3109</v>
      </c>
      <c r="BT21" s="101">
        <v>3061</v>
      </c>
      <c r="BU21" s="101">
        <v>3073</v>
      </c>
      <c r="BV21" s="101">
        <v>3133</v>
      </c>
      <c r="BW21" s="101">
        <v>3285</v>
      </c>
      <c r="BX21" s="101">
        <v>3347</v>
      </c>
      <c r="BY21" s="101">
        <v>3464</v>
      </c>
      <c r="BZ21" s="101">
        <v>3669</v>
      </c>
      <c r="CA21" s="101">
        <v>3776</v>
      </c>
      <c r="CB21" s="101">
        <v>3920</v>
      </c>
      <c r="CC21" s="101">
        <v>4156</v>
      </c>
      <c r="CD21" s="101">
        <v>4244</v>
      </c>
      <c r="CE21" s="101">
        <v>4291</v>
      </c>
      <c r="CF21" s="101">
        <v>4327</v>
      </c>
      <c r="CG21" s="101">
        <v>3943</v>
      </c>
      <c r="CH21" s="101">
        <v>3273</v>
      </c>
      <c r="CI21" s="101"/>
      <c r="CJ21" s="101"/>
      <c r="CK21" s="101"/>
      <c r="CL21" s="101"/>
      <c r="CM21" s="101"/>
      <c r="CN21" s="101"/>
      <c r="CO21" s="101"/>
      <c r="CP21" s="101"/>
      <c r="CQ21" s="101"/>
      <c r="CR21" s="101"/>
      <c r="CS21" s="101"/>
      <c r="CT21" s="101"/>
      <c r="CU21" s="101"/>
      <c r="CV21" s="101"/>
      <c r="CW21" s="101"/>
      <c r="CX21" s="101"/>
      <c r="CY21" s="101"/>
      <c r="CZ21" s="101"/>
      <c r="DA21" s="101"/>
      <c r="DB21" s="101"/>
      <c r="DC21" s="101"/>
      <c r="DD21" s="101"/>
      <c r="DE21" s="101"/>
      <c r="DF21" s="101"/>
      <c r="DG21" s="101"/>
      <c r="DH21" s="101"/>
      <c r="DI21" s="101"/>
      <c r="DJ21" s="101"/>
      <c r="DK21" s="101"/>
      <c r="DL21" s="101"/>
      <c r="DM21" s="101"/>
      <c r="DN21" s="101"/>
      <c r="DO21" s="101"/>
      <c r="DP21" s="101"/>
      <c r="DQ21" s="101"/>
      <c r="DR21" s="101"/>
      <c r="DS21" s="101"/>
      <c r="DT21" s="101"/>
      <c r="DU21" s="101"/>
      <c r="DV21" s="101"/>
      <c r="DW21" s="101"/>
      <c r="DX21" s="101"/>
      <c r="DY21" s="101"/>
      <c r="DZ21" s="101"/>
      <c r="EA21" s="101"/>
      <c r="EB21" s="101"/>
      <c r="EC21" s="101"/>
      <c r="ED21" s="101"/>
      <c r="EE21" s="101"/>
      <c r="EF21" s="101"/>
      <c r="EG21" s="101"/>
      <c r="EH21" s="101"/>
      <c r="EI21" s="101"/>
      <c r="EJ21" s="101"/>
      <c r="EK21" s="101"/>
      <c r="EL21" s="101"/>
      <c r="EM21" s="101"/>
      <c r="EN21" s="101"/>
      <c r="EO21" s="101"/>
      <c r="EP21" s="101"/>
      <c r="EQ21" s="101"/>
      <c r="ER21" s="101"/>
      <c r="ES21" s="101"/>
      <c r="ET21" s="101"/>
      <c r="EU21" s="101"/>
      <c r="EV21" s="101"/>
      <c r="EW21" s="101"/>
      <c r="EX21" s="101"/>
      <c r="EY21" s="101"/>
      <c r="EZ21" s="101"/>
      <c r="FA21" s="101"/>
      <c r="FB21" s="101"/>
      <c r="FC21" s="101"/>
      <c r="FD21" s="101"/>
      <c r="FE21" s="101"/>
      <c r="FF21" s="101"/>
      <c r="FG21" s="101"/>
      <c r="FH21" s="101"/>
      <c r="FI21" s="101"/>
      <c r="FJ21" s="101"/>
      <c r="FK21" s="101"/>
      <c r="FL21" s="101"/>
      <c r="FM21" s="101"/>
      <c r="FN21" s="101"/>
      <c r="FO21" s="101"/>
      <c r="FP21" s="101"/>
      <c r="FQ21" s="101"/>
      <c r="FR21" s="101"/>
      <c r="FS21" s="101"/>
      <c r="FT21" s="101"/>
      <c r="FU21" s="101"/>
      <c r="FV21" s="101"/>
      <c r="FW21" s="101"/>
      <c r="FX21" s="101"/>
      <c r="FY21" s="101"/>
      <c r="FZ21" s="101"/>
      <c r="GA21" s="101"/>
      <c r="GB21" s="101"/>
      <c r="GC21" s="101"/>
      <c r="GD21" s="101"/>
      <c r="GE21" s="101"/>
      <c r="GF21" s="101"/>
      <c r="GG21" s="101"/>
      <c r="GH21" s="101"/>
      <c r="GI21" s="101"/>
      <c r="GJ21" s="101"/>
      <c r="GK21" s="101"/>
      <c r="GL21" s="101"/>
      <c r="GM21" s="101"/>
      <c r="GN21" s="101"/>
      <c r="GO21" s="101"/>
      <c r="GP21" s="101"/>
      <c r="GQ21" s="101"/>
      <c r="GR21" s="101"/>
      <c r="GS21" s="101"/>
      <c r="GT21" s="101"/>
      <c r="GU21" s="101"/>
      <c r="GV21" s="101"/>
      <c r="GW21" s="101"/>
      <c r="GX21" s="101"/>
      <c r="GY21" s="101"/>
      <c r="GZ21" s="101"/>
      <c r="HA21" s="101"/>
      <c r="HB21" s="101"/>
      <c r="HC21" s="101"/>
      <c r="HD21" s="101"/>
      <c r="HE21" s="101"/>
      <c r="HF21" s="101"/>
      <c r="HG21" s="101"/>
      <c r="HH21" s="101"/>
      <c r="HI21" s="101"/>
      <c r="HJ21" s="101"/>
      <c r="HK21" s="101"/>
      <c r="HL21" s="101"/>
      <c r="HM21" s="101"/>
      <c r="HN21" s="101"/>
      <c r="HO21" s="101"/>
      <c r="HP21" s="101"/>
      <c r="HQ21" s="101"/>
      <c r="HR21" s="101"/>
      <c r="HS21" s="101"/>
      <c r="HT21" s="101"/>
      <c r="HU21" s="101"/>
      <c r="HV21" s="101"/>
      <c r="HW21" s="101"/>
      <c r="HX21" s="101"/>
      <c r="HY21" s="101"/>
      <c r="HZ21" s="101"/>
      <c r="IA21" s="101"/>
      <c r="IB21" s="101"/>
      <c r="IC21" s="101"/>
      <c r="ID21" s="101"/>
      <c r="IE21" s="101"/>
      <c r="IF21" s="101"/>
      <c r="IG21" s="101"/>
      <c r="IH21" s="101"/>
      <c r="II21" s="101"/>
      <c r="IJ21" s="101"/>
      <c r="IK21" s="101"/>
      <c r="IL21" s="101"/>
      <c r="IM21" s="101"/>
      <c r="IN21" s="101"/>
      <c r="IO21" s="101"/>
      <c r="IP21" s="101"/>
      <c r="IQ21" s="101"/>
      <c r="IR21" s="101"/>
      <c r="IS21" s="101"/>
      <c r="IT21" s="101"/>
      <c r="IU21" s="101"/>
      <c r="IV21" s="101"/>
    </row>
    <row r="23" spans="1:256">
      <c r="A23" s="100" t="s">
        <v>218</v>
      </c>
    </row>
    <row r="24" spans="1:256">
      <c r="A24" s="100"/>
    </row>
    <row r="25" spans="1:256">
      <c r="A25" s="42" t="s">
        <v>75</v>
      </c>
    </row>
    <row r="26" spans="1:256">
      <c r="A26" s="102" t="s">
        <v>221</v>
      </c>
    </row>
    <row r="27" spans="1:256">
      <c r="A27" s="102"/>
    </row>
    <row r="28" spans="1:256">
      <c r="A28" s="85" t="s">
        <v>235</v>
      </c>
    </row>
    <row r="63" s="103" customFormat="1"/>
    <row r="64" s="103" customFormat="1"/>
    <row r="65" s="103" customFormat="1"/>
    <row r="66" s="103" customFormat="1"/>
    <row r="67" s="103" customFormat="1"/>
  </sheetData>
  <mergeCells count="1">
    <mergeCell ref="A3:B5"/>
  </mergeCells>
  <hyperlinks>
    <hyperlink ref="A1" location="Contents!A1" display="Contents"/>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Assumptions</vt:lpstr>
      <vt:lpstr>Regional Results</vt:lpstr>
      <vt:lpstr>SO Affordability</vt:lpstr>
      <vt:lpstr>NHF Shared Ownership</vt:lpstr>
      <vt:lpstr>Raw Data-Hometrack Assumptions</vt:lpstr>
      <vt:lpstr>HPSSA median NB</vt:lpstr>
      <vt:lpstr>HPSSA NB 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Sara_Mahmoud</dc:creator>
  <cp:lastModifiedBy>Sara_Mahmoud</cp:lastModifiedBy>
  <dcterms:created xsi:type="dcterms:W3CDTF">2015-11-20T15:52:42Z</dcterms:created>
  <dcterms:modified xsi:type="dcterms:W3CDTF">2017-03-27T11:33:06Z</dcterms:modified>
</cp:coreProperties>
</file>