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ians Computer\Hatchery\Monthlies\Hatchery Production Summary\"/>
    </mc:Choice>
  </mc:AlternateContent>
  <xr:revisionPtr revIDLastSave="0" documentId="8_{E4C490F3-FE8F-4FB9-82BC-98D8CA3A4989}" xr6:coauthVersionLast="36" xr6:coauthVersionMax="36" xr10:uidLastSave="{00000000-0000-0000-0000-000000000000}"/>
  <bookViews>
    <workbookView xWindow="0" yWindow="0" windowWidth="24720" windowHeight="12225" activeTab="9" xr2:uid="{6D5E18B7-FE4E-436D-8949-2808A50BB4C5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8" r:id="rId6"/>
    <sheet name="2021" sheetId="6" r:id="rId7"/>
    <sheet name="2022" sheetId="7" r:id="rId8"/>
    <sheet name="2023" sheetId="9" r:id="rId9"/>
    <sheet name="2024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0" l="1"/>
  <c r="H77" i="10"/>
  <c r="E77" i="10"/>
  <c r="H75" i="10"/>
  <c r="E75" i="10"/>
  <c r="G80" i="10" s="1"/>
  <c r="G65" i="10"/>
  <c r="L64" i="10"/>
  <c r="L63" i="10"/>
  <c r="I61" i="10"/>
  <c r="I63" i="10" s="1"/>
  <c r="F60" i="10"/>
  <c r="L57" i="10"/>
  <c r="L56" i="10"/>
  <c r="I50" i="10"/>
  <c r="H50" i="10"/>
  <c r="G50" i="10"/>
  <c r="F50" i="10"/>
  <c r="E50" i="10"/>
  <c r="D50" i="10"/>
  <c r="C50" i="10"/>
  <c r="B50" i="10"/>
  <c r="I49" i="10"/>
  <c r="H49" i="10"/>
  <c r="G49" i="10"/>
  <c r="F49" i="10"/>
  <c r="E49" i="10"/>
  <c r="D49" i="10"/>
  <c r="L49" i="10" s="1"/>
  <c r="C49" i="10"/>
  <c r="M48" i="10"/>
  <c r="L48" i="10"/>
  <c r="M47" i="10"/>
  <c r="L47" i="10"/>
  <c r="I46" i="10"/>
  <c r="H46" i="10"/>
  <c r="G46" i="10"/>
  <c r="G40" i="10" s="1"/>
  <c r="E46" i="10"/>
  <c r="C46" i="10"/>
  <c r="B46" i="10"/>
  <c r="H44" i="10"/>
  <c r="G44" i="10"/>
  <c r="D44" i="10"/>
  <c r="C44" i="10"/>
  <c r="B44" i="10"/>
  <c r="D41" i="10"/>
  <c r="B41" i="10"/>
  <c r="H40" i="10"/>
  <c r="H41" i="10" s="1"/>
  <c r="D40" i="10"/>
  <c r="C40" i="10"/>
  <c r="M40" i="10" s="1"/>
  <c r="B40" i="10"/>
  <c r="H39" i="10"/>
  <c r="G39" i="10"/>
  <c r="D39" i="10"/>
  <c r="C39" i="10"/>
  <c r="B39" i="10"/>
  <c r="O35" i="10"/>
  <c r="I34" i="10"/>
  <c r="H34" i="10"/>
  <c r="G34" i="10"/>
  <c r="F34" i="10"/>
  <c r="E34" i="10"/>
  <c r="D34" i="10"/>
  <c r="C34" i="10"/>
  <c r="B34" i="10"/>
  <c r="I33" i="10"/>
  <c r="H33" i="10"/>
  <c r="L33" i="10" s="1"/>
  <c r="G33" i="10"/>
  <c r="F33" i="10"/>
  <c r="E33" i="10"/>
  <c r="D33" i="10"/>
  <c r="C33" i="10"/>
  <c r="B33" i="10"/>
  <c r="M32" i="10"/>
  <c r="L32" i="10"/>
  <c r="M31" i="10"/>
  <c r="L31" i="10"/>
  <c r="I30" i="10"/>
  <c r="G30" i="10"/>
  <c r="F30" i="10"/>
  <c r="E30" i="10"/>
  <c r="E24" i="10" s="1"/>
  <c r="D30" i="10"/>
  <c r="C30" i="10"/>
  <c r="B30" i="10"/>
  <c r="P29" i="10"/>
  <c r="O29" i="10"/>
  <c r="H28" i="10"/>
  <c r="G28" i="10"/>
  <c r="E28" i="10"/>
  <c r="D28" i="10"/>
  <c r="B28" i="10"/>
  <c r="B25" i="10"/>
  <c r="H24" i="10"/>
  <c r="H25" i="10" s="1"/>
  <c r="G24" i="10"/>
  <c r="G25" i="10" s="1"/>
  <c r="D24" i="10"/>
  <c r="L24" i="10" s="1"/>
  <c r="L27" i="10" s="1"/>
  <c r="B24" i="10"/>
  <c r="H23" i="10"/>
  <c r="G23" i="10"/>
  <c r="E23" i="10"/>
  <c r="D23" i="10"/>
  <c r="B23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G82" i="10" s="1"/>
  <c r="M17" i="10"/>
  <c r="N35" i="10" s="1"/>
  <c r="L17" i="10"/>
  <c r="N16" i="10" s="1"/>
  <c r="M16" i="10"/>
  <c r="L16" i="10"/>
  <c r="I15" i="10"/>
  <c r="H15" i="10"/>
  <c r="G15" i="10"/>
  <c r="F15" i="10"/>
  <c r="F9" i="10" s="1"/>
  <c r="E15" i="10"/>
  <c r="D15" i="10"/>
  <c r="C15" i="10"/>
  <c r="B15" i="10"/>
  <c r="I13" i="10"/>
  <c r="H13" i="10"/>
  <c r="G13" i="10"/>
  <c r="D13" i="10"/>
  <c r="C13" i="10"/>
  <c r="B13" i="10"/>
  <c r="I10" i="10"/>
  <c r="G10" i="10"/>
  <c r="I9" i="10"/>
  <c r="H9" i="10"/>
  <c r="L9" i="10" s="1"/>
  <c r="G9" i="10"/>
  <c r="D9" i="10"/>
  <c r="D10" i="10" s="1"/>
  <c r="C9" i="10"/>
  <c r="C10" i="10" s="1"/>
  <c r="B9" i="10"/>
  <c r="B10" i="10" s="1"/>
  <c r="I8" i="10"/>
  <c r="H8" i="10"/>
  <c r="G8" i="10"/>
  <c r="F8" i="10"/>
  <c r="D8" i="10"/>
  <c r="C8" i="10"/>
  <c r="B8" i="10"/>
  <c r="H78" i="9"/>
  <c r="H77" i="9"/>
  <c r="H75" i="9"/>
  <c r="E75" i="9"/>
  <c r="G80" i="9" s="1"/>
  <c r="G65" i="9"/>
  <c r="L64" i="9"/>
  <c r="L63" i="9"/>
  <c r="I61" i="9"/>
  <c r="I63" i="9" s="1"/>
  <c r="F60" i="9"/>
  <c r="L57" i="9"/>
  <c r="G57" i="9"/>
  <c r="G56" i="9"/>
  <c r="L56" i="9" s="1"/>
  <c r="E56" i="9"/>
  <c r="E57" i="9" s="1"/>
  <c r="G55" i="9"/>
  <c r="E55" i="9"/>
  <c r="I50" i="9"/>
  <c r="H50" i="9"/>
  <c r="G50" i="9"/>
  <c r="F50" i="9"/>
  <c r="E50" i="9"/>
  <c r="D50" i="9"/>
  <c r="C50" i="9"/>
  <c r="B50" i="9"/>
  <c r="L49" i="9"/>
  <c r="I49" i="9"/>
  <c r="F49" i="9"/>
  <c r="E49" i="9"/>
  <c r="D49" i="9"/>
  <c r="C49" i="9"/>
  <c r="L48" i="9"/>
  <c r="L47" i="9"/>
  <c r="I46" i="9"/>
  <c r="I40" i="9" s="1"/>
  <c r="I41" i="9" s="1"/>
  <c r="H46" i="9"/>
  <c r="G46" i="9"/>
  <c r="E46" i="9"/>
  <c r="C46" i="9"/>
  <c r="B46" i="9"/>
  <c r="I44" i="9"/>
  <c r="H44" i="9"/>
  <c r="F44" i="9"/>
  <c r="E44" i="9"/>
  <c r="D44" i="9"/>
  <c r="C44" i="9"/>
  <c r="F41" i="9"/>
  <c r="H40" i="9"/>
  <c r="H41" i="9" s="1"/>
  <c r="F40" i="9"/>
  <c r="E40" i="9"/>
  <c r="E41" i="9" s="1"/>
  <c r="D40" i="9"/>
  <c r="D41" i="9" s="1"/>
  <c r="C40" i="9"/>
  <c r="C41" i="9" s="1"/>
  <c r="I39" i="9"/>
  <c r="H39" i="9"/>
  <c r="G39" i="9"/>
  <c r="F39" i="9"/>
  <c r="E39" i="9"/>
  <c r="D39" i="9"/>
  <c r="C39" i="9"/>
  <c r="I34" i="9"/>
  <c r="H34" i="9"/>
  <c r="G34" i="9"/>
  <c r="F34" i="9"/>
  <c r="E34" i="9"/>
  <c r="D34" i="9"/>
  <c r="C34" i="9"/>
  <c r="B34" i="9"/>
  <c r="I33" i="9"/>
  <c r="H33" i="9"/>
  <c r="G33" i="9"/>
  <c r="F33" i="9"/>
  <c r="E33" i="9"/>
  <c r="D33" i="9"/>
  <c r="C33" i="9"/>
  <c r="L33" i="9" s="1"/>
  <c r="B33" i="9"/>
  <c r="L32" i="9"/>
  <c r="N16" i="9" s="1"/>
  <c r="L31" i="9"/>
  <c r="I30" i="9"/>
  <c r="G30" i="9"/>
  <c r="F30" i="9"/>
  <c r="E30" i="9"/>
  <c r="D30" i="9"/>
  <c r="C30" i="9"/>
  <c r="B30" i="9"/>
  <c r="B24" i="9" s="1"/>
  <c r="P29" i="9"/>
  <c r="O29" i="9"/>
  <c r="I28" i="9"/>
  <c r="H28" i="9"/>
  <c r="G28" i="9"/>
  <c r="F28" i="9"/>
  <c r="E28" i="9"/>
  <c r="D28" i="9"/>
  <c r="C28" i="9"/>
  <c r="B28" i="9"/>
  <c r="F25" i="9"/>
  <c r="I24" i="9"/>
  <c r="I25" i="9" s="1"/>
  <c r="H24" i="9"/>
  <c r="H25" i="9" s="1"/>
  <c r="G24" i="9"/>
  <c r="G25" i="9" s="1"/>
  <c r="F24" i="9"/>
  <c r="E24" i="9"/>
  <c r="E25" i="9" s="1"/>
  <c r="D24" i="9"/>
  <c r="D25" i="9" s="1"/>
  <c r="C24" i="9"/>
  <c r="C25" i="9" s="1"/>
  <c r="I23" i="9"/>
  <c r="H23" i="9"/>
  <c r="G23" i="9"/>
  <c r="F23" i="9"/>
  <c r="E23" i="9"/>
  <c r="D23" i="9"/>
  <c r="C23" i="9"/>
  <c r="B23" i="9"/>
  <c r="I19" i="9"/>
  <c r="H19" i="9"/>
  <c r="G19" i="9"/>
  <c r="F19" i="9"/>
  <c r="E19" i="9"/>
  <c r="D19" i="9"/>
  <c r="C19" i="9"/>
  <c r="B19" i="9"/>
  <c r="E77" i="9" s="1"/>
  <c r="I18" i="9"/>
  <c r="H18" i="9"/>
  <c r="G18" i="9"/>
  <c r="F18" i="9"/>
  <c r="E18" i="9"/>
  <c r="D18" i="9"/>
  <c r="C18" i="9"/>
  <c r="B18" i="9"/>
  <c r="G82" i="9" s="1"/>
  <c r="L17" i="9"/>
  <c r="N34" i="9" s="1"/>
  <c r="L16" i="9"/>
  <c r="O34" i="9" s="1"/>
  <c r="I15" i="9"/>
  <c r="H15" i="9"/>
  <c r="G15" i="9"/>
  <c r="F15" i="9"/>
  <c r="E15" i="9"/>
  <c r="E9" i="9" s="1"/>
  <c r="E10" i="9" s="1"/>
  <c r="D15" i="9"/>
  <c r="C15" i="9"/>
  <c r="B15" i="9"/>
  <c r="I13" i="9"/>
  <c r="H13" i="9"/>
  <c r="G13" i="9"/>
  <c r="F13" i="9"/>
  <c r="E13" i="9"/>
  <c r="D13" i="9"/>
  <c r="C13" i="9"/>
  <c r="B13" i="9"/>
  <c r="G10" i="9"/>
  <c r="I9" i="9"/>
  <c r="I10" i="9" s="1"/>
  <c r="H9" i="9"/>
  <c r="H10" i="9" s="1"/>
  <c r="G9" i="9"/>
  <c r="F9" i="9"/>
  <c r="F10" i="9" s="1"/>
  <c r="D9" i="9"/>
  <c r="D10" i="9" s="1"/>
  <c r="C9" i="9"/>
  <c r="C10" i="9" s="1"/>
  <c r="B9" i="9"/>
  <c r="B10" i="9" s="1"/>
  <c r="I8" i="9"/>
  <c r="H8" i="9"/>
  <c r="G8" i="9"/>
  <c r="F8" i="9"/>
  <c r="E8" i="9"/>
  <c r="D8" i="9"/>
  <c r="C8" i="9"/>
  <c r="B8" i="9"/>
  <c r="H78" i="7"/>
  <c r="H77" i="7"/>
  <c r="H76" i="7"/>
  <c r="E75" i="7"/>
  <c r="G80" i="7" s="1"/>
  <c r="G65" i="7"/>
  <c r="I61" i="7"/>
  <c r="I63" i="7" s="1"/>
  <c r="F60" i="7"/>
  <c r="E57" i="7"/>
  <c r="G56" i="7"/>
  <c r="G57" i="7" s="1"/>
  <c r="G55" i="7"/>
  <c r="E55" i="7"/>
  <c r="I50" i="7"/>
  <c r="H50" i="7"/>
  <c r="G50" i="7"/>
  <c r="F50" i="7"/>
  <c r="E50" i="7"/>
  <c r="D50" i="7"/>
  <c r="C50" i="7"/>
  <c r="B50" i="7"/>
  <c r="I49" i="7"/>
  <c r="F49" i="7"/>
  <c r="E49" i="7"/>
  <c r="D49" i="7"/>
  <c r="L49" i="7" s="1"/>
  <c r="C49" i="7"/>
  <c r="L48" i="7"/>
  <c r="I46" i="7"/>
  <c r="H46" i="7"/>
  <c r="G46" i="7"/>
  <c r="E46" i="7"/>
  <c r="C46" i="7"/>
  <c r="B46" i="7"/>
  <c r="I44" i="7"/>
  <c r="F44" i="7"/>
  <c r="E44" i="7"/>
  <c r="D44" i="7"/>
  <c r="C44" i="7"/>
  <c r="I41" i="7"/>
  <c r="C41" i="7"/>
  <c r="I40" i="7"/>
  <c r="F40" i="7"/>
  <c r="F41" i="7" s="1"/>
  <c r="E40" i="7"/>
  <c r="E41" i="7" s="1"/>
  <c r="D40" i="7"/>
  <c r="D41" i="7" s="1"/>
  <c r="C40" i="7"/>
  <c r="L40" i="7" s="1"/>
  <c r="M43" i="7" s="1"/>
  <c r="I39" i="7"/>
  <c r="F39" i="7"/>
  <c r="E39" i="7"/>
  <c r="D39" i="7"/>
  <c r="C39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L33" i="7" s="1"/>
  <c r="B33" i="7"/>
  <c r="L32" i="7"/>
  <c r="I30" i="7"/>
  <c r="G30" i="7"/>
  <c r="G24" i="7" s="1"/>
  <c r="G25" i="7" s="1"/>
  <c r="F30" i="7"/>
  <c r="E30" i="7"/>
  <c r="D30" i="7"/>
  <c r="C30" i="7"/>
  <c r="B30" i="7"/>
  <c r="I28" i="7"/>
  <c r="H28" i="7"/>
  <c r="G28" i="7"/>
  <c r="F28" i="7"/>
  <c r="E28" i="7"/>
  <c r="D28" i="7"/>
  <c r="C28" i="7"/>
  <c r="B28" i="7"/>
  <c r="I25" i="7"/>
  <c r="I24" i="7"/>
  <c r="H24" i="7"/>
  <c r="H25" i="7" s="1"/>
  <c r="F24" i="7"/>
  <c r="F25" i="7" s="1"/>
  <c r="E24" i="7"/>
  <c r="E25" i="7" s="1"/>
  <c r="D24" i="7"/>
  <c r="D25" i="7" s="1"/>
  <c r="C24" i="7"/>
  <c r="C25" i="7" s="1"/>
  <c r="B24" i="7"/>
  <c r="L24" i="7" s="1"/>
  <c r="M27" i="7" s="1"/>
  <c r="I23" i="7"/>
  <c r="H23" i="7"/>
  <c r="G23" i="7"/>
  <c r="F23" i="7"/>
  <c r="E23" i="7"/>
  <c r="D23" i="7"/>
  <c r="C23" i="7"/>
  <c r="B23" i="7"/>
  <c r="I19" i="7"/>
  <c r="H19" i="7"/>
  <c r="G19" i="7"/>
  <c r="F19" i="7"/>
  <c r="E19" i="7"/>
  <c r="D19" i="7"/>
  <c r="C19" i="7"/>
  <c r="B19" i="7"/>
  <c r="E77" i="7" s="1"/>
  <c r="I18" i="7"/>
  <c r="H18" i="7"/>
  <c r="G18" i="7"/>
  <c r="F18" i="7"/>
  <c r="E18" i="7"/>
  <c r="D18" i="7"/>
  <c r="C18" i="7"/>
  <c r="B18" i="7"/>
  <c r="G82" i="7" s="1"/>
  <c r="L17" i="7"/>
  <c r="N34" i="7" s="1"/>
  <c r="I15" i="7"/>
  <c r="H15" i="7"/>
  <c r="G15" i="7"/>
  <c r="F15" i="7"/>
  <c r="E15" i="7"/>
  <c r="D15" i="7"/>
  <c r="D9" i="7" s="1"/>
  <c r="D10" i="7" s="1"/>
  <c r="C15" i="7"/>
  <c r="B15" i="7"/>
  <c r="I13" i="7"/>
  <c r="H13" i="7"/>
  <c r="G13" i="7"/>
  <c r="F13" i="7"/>
  <c r="E13" i="7"/>
  <c r="D13" i="7"/>
  <c r="C13" i="7"/>
  <c r="B13" i="7"/>
  <c r="F10" i="7"/>
  <c r="I9" i="7"/>
  <c r="I10" i="7" s="1"/>
  <c r="H9" i="7"/>
  <c r="H10" i="7" s="1"/>
  <c r="G9" i="7"/>
  <c r="G10" i="7" s="1"/>
  <c r="F9" i="7"/>
  <c r="E9" i="7"/>
  <c r="E10" i="7" s="1"/>
  <c r="C9" i="7"/>
  <c r="C10" i="7" s="1"/>
  <c r="B9" i="7"/>
  <c r="B10" i="7" s="1"/>
  <c r="I8" i="7"/>
  <c r="H8" i="7"/>
  <c r="G8" i="7"/>
  <c r="F8" i="7"/>
  <c r="E8" i="7"/>
  <c r="D8" i="7"/>
  <c r="C8" i="7"/>
  <c r="B8" i="7"/>
  <c r="H78" i="6"/>
  <c r="H77" i="6"/>
  <c r="H76" i="6"/>
  <c r="E75" i="6"/>
  <c r="G80" i="6" s="1"/>
  <c r="G65" i="6"/>
  <c r="I61" i="6"/>
  <c r="I63" i="6" s="1"/>
  <c r="K60" i="6"/>
  <c r="G60" i="6"/>
  <c r="F60" i="6"/>
  <c r="K59" i="6"/>
  <c r="E57" i="6"/>
  <c r="G56" i="6"/>
  <c r="G57" i="6" s="1"/>
  <c r="G55" i="6"/>
  <c r="E55" i="6"/>
  <c r="I50" i="6"/>
  <c r="H50" i="6"/>
  <c r="G50" i="6"/>
  <c r="F50" i="6"/>
  <c r="E50" i="6"/>
  <c r="D50" i="6"/>
  <c r="C50" i="6"/>
  <c r="B50" i="6"/>
  <c r="I49" i="6"/>
  <c r="H49" i="6"/>
  <c r="G49" i="6"/>
  <c r="F49" i="6"/>
  <c r="E49" i="6"/>
  <c r="D49" i="6"/>
  <c r="C49" i="6"/>
  <c r="B49" i="6"/>
  <c r="L49" i="6" s="1"/>
  <c r="L48" i="6"/>
  <c r="I46" i="6"/>
  <c r="H46" i="6"/>
  <c r="G46" i="6"/>
  <c r="E46" i="6"/>
  <c r="C46" i="6"/>
  <c r="C40" i="6" s="1"/>
  <c r="B46" i="6"/>
  <c r="H44" i="6"/>
  <c r="G44" i="6"/>
  <c r="F44" i="6"/>
  <c r="E44" i="6"/>
  <c r="D44" i="6"/>
  <c r="C44" i="6"/>
  <c r="H41" i="6"/>
  <c r="G41" i="6"/>
  <c r="H40" i="6"/>
  <c r="G40" i="6"/>
  <c r="F40" i="6"/>
  <c r="F41" i="6" s="1"/>
  <c r="E40" i="6"/>
  <c r="E41" i="6" s="1"/>
  <c r="D40" i="6"/>
  <c r="D41" i="6" s="1"/>
  <c r="H39" i="6"/>
  <c r="G39" i="6"/>
  <c r="F39" i="6"/>
  <c r="E39" i="6"/>
  <c r="D39" i="6"/>
  <c r="C39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L33" i="6" s="1"/>
  <c r="L32" i="6"/>
  <c r="I30" i="6"/>
  <c r="G30" i="6"/>
  <c r="F30" i="6"/>
  <c r="E30" i="6"/>
  <c r="D30" i="6"/>
  <c r="D24" i="6" s="1"/>
  <c r="C30" i="6"/>
  <c r="B30" i="6"/>
  <c r="I28" i="6"/>
  <c r="H28" i="6"/>
  <c r="G28" i="6"/>
  <c r="F28" i="6"/>
  <c r="E28" i="6"/>
  <c r="D28" i="6"/>
  <c r="C28" i="6"/>
  <c r="I24" i="6"/>
  <c r="I25" i="6" s="1"/>
  <c r="H24" i="6"/>
  <c r="H25" i="6" s="1"/>
  <c r="G24" i="6"/>
  <c r="G25" i="6" s="1"/>
  <c r="F24" i="6"/>
  <c r="F25" i="6" s="1"/>
  <c r="E24" i="6"/>
  <c r="E25" i="6" s="1"/>
  <c r="C24" i="6"/>
  <c r="C25" i="6" s="1"/>
  <c r="I23" i="6"/>
  <c r="H23" i="6"/>
  <c r="G23" i="6"/>
  <c r="F23" i="6"/>
  <c r="E23" i="6"/>
  <c r="D23" i="6"/>
  <c r="C23" i="6"/>
  <c r="I19" i="6"/>
  <c r="H19" i="6"/>
  <c r="G19" i="6"/>
  <c r="F19" i="6"/>
  <c r="E19" i="6"/>
  <c r="D19" i="6"/>
  <c r="C19" i="6"/>
  <c r="B19" i="6"/>
  <c r="E77" i="6" s="1"/>
  <c r="I18" i="6"/>
  <c r="H18" i="6"/>
  <c r="G18" i="6"/>
  <c r="F18" i="6"/>
  <c r="E18" i="6"/>
  <c r="D18" i="6"/>
  <c r="C18" i="6"/>
  <c r="B18" i="6"/>
  <c r="G82" i="6" s="1"/>
  <c r="L17" i="6"/>
  <c r="N34" i="6" s="1"/>
  <c r="I15" i="6"/>
  <c r="H15" i="6"/>
  <c r="G15" i="6"/>
  <c r="F15" i="6"/>
  <c r="E15" i="6"/>
  <c r="D15" i="6"/>
  <c r="C15" i="6"/>
  <c r="C9" i="6" s="1"/>
  <c r="C10" i="6" s="1"/>
  <c r="B15" i="6"/>
  <c r="B9" i="6" s="1"/>
  <c r="I13" i="6"/>
  <c r="H13" i="6"/>
  <c r="G13" i="6"/>
  <c r="F13" i="6"/>
  <c r="E13" i="6"/>
  <c r="D13" i="6"/>
  <c r="C13" i="6"/>
  <c r="B13" i="6"/>
  <c r="G10" i="6"/>
  <c r="D10" i="6"/>
  <c r="I9" i="6"/>
  <c r="I10" i="6" s="1"/>
  <c r="H9" i="6"/>
  <c r="H10" i="6" s="1"/>
  <c r="G9" i="6"/>
  <c r="F9" i="6"/>
  <c r="F10" i="6" s="1"/>
  <c r="E9" i="6"/>
  <c r="E10" i="6" s="1"/>
  <c r="D9" i="6"/>
  <c r="I8" i="6"/>
  <c r="H8" i="6"/>
  <c r="G8" i="6"/>
  <c r="F8" i="6"/>
  <c r="E8" i="6"/>
  <c r="D8" i="6"/>
  <c r="C8" i="6"/>
  <c r="B8" i="6"/>
  <c r="H78" i="8"/>
  <c r="H77" i="8"/>
  <c r="H76" i="8"/>
  <c r="E75" i="8"/>
  <c r="G80" i="8" s="1"/>
  <c r="G65" i="8"/>
  <c r="K61" i="8"/>
  <c r="I60" i="8"/>
  <c r="I61" i="8" s="1"/>
  <c r="G60" i="8"/>
  <c r="F60" i="8"/>
  <c r="I59" i="8"/>
  <c r="E57" i="8"/>
  <c r="G56" i="8"/>
  <c r="G55" i="8"/>
  <c r="E55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L49" i="8" s="1"/>
  <c r="L48" i="8"/>
  <c r="L47" i="8"/>
  <c r="I46" i="8"/>
  <c r="H46" i="8"/>
  <c r="G46" i="8"/>
  <c r="E46" i="8"/>
  <c r="C46" i="8"/>
  <c r="B46" i="8"/>
  <c r="I44" i="8"/>
  <c r="H44" i="8"/>
  <c r="G44" i="8"/>
  <c r="F44" i="8"/>
  <c r="E44" i="8"/>
  <c r="C44" i="8"/>
  <c r="B41" i="8"/>
  <c r="I40" i="8"/>
  <c r="I41" i="8" s="1"/>
  <c r="H40" i="8"/>
  <c r="H41" i="8" s="1"/>
  <c r="G40" i="8"/>
  <c r="G41" i="8" s="1"/>
  <c r="F40" i="8"/>
  <c r="F41" i="8" s="1"/>
  <c r="E40" i="8"/>
  <c r="E41" i="8" s="1"/>
  <c r="C40" i="8"/>
  <c r="C41" i="8" s="1"/>
  <c r="I39" i="8"/>
  <c r="H39" i="8"/>
  <c r="G39" i="8"/>
  <c r="F39" i="8"/>
  <c r="E39" i="8"/>
  <c r="C39" i="8"/>
  <c r="B39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L33" i="8" s="1"/>
  <c r="L32" i="8"/>
  <c r="I30" i="8"/>
  <c r="G30" i="8"/>
  <c r="F30" i="8"/>
  <c r="E30" i="8"/>
  <c r="D30" i="8"/>
  <c r="C30" i="8"/>
  <c r="B30" i="8"/>
  <c r="I28" i="8"/>
  <c r="H28" i="8"/>
  <c r="G28" i="8"/>
  <c r="F28" i="8"/>
  <c r="E28" i="8"/>
  <c r="D28" i="8"/>
  <c r="C28" i="8"/>
  <c r="M27" i="8"/>
  <c r="L24" i="8"/>
  <c r="I24" i="8"/>
  <c r="I25" i="8" s="1"/>
  <c r="H24" i="8"/>
  <c r="H25" i="8" s="1"/>
  <c r="G24" i="8"/>
  <c r="G25" i="8" s="1"/>
  <c r="F24" i="8"/>
  <c r="F25" i="8" s="1"/>
  <c r="E24" i="8"/>
  <c r="E25" i="8" s="1"/>
  <c r="D24" i="8"/>
  <c r="D25" i="8" s="1"/>
  <c r="C24" i="8"/>
  <c r="C25" i="8" s="1"/>
  <c r="I23" i="8"/>
  <c r="H23" i="8"/>
  <c r="G23" i="8"/>
  <c r="F23" i="8"/>
  <c r="E23" i="8"/>
  <c r="D23" i="8"/>
  <c r="C23" i="8"/>
  <c r="I19" i="8"/>
  <c r="H19" i="8"/>
  <c r="G19" i="8"/>
  <c r="F19" i="8"/>
  <c r="E19" i="8"/>
  <c r="D19" i="8"/>
  <c r="C19" i="8"/>
  <c r="B19" i="8"/>
  <c r="E77" i="8" s="1"/>
  <c r="I18" i="8"/>
  <c r="H18" i="8"/>
  <c r="G18" i="8"/>
  <c r="F18" i="8"/>
  <c r="E18" i="8"/>
  <c r="D18" i="8"/>
  <c r="C18" i="8"/>
  <c r="B18" i="8"/>
  <c r="G82" i="8" s="1"/>
  <c r="L17" i="8"/>
  <c r="L16" i="8"/>
  <c r="N34" i="8" s="1"/>
  <c r="I15" i="8"/>
  <c r="H15" i="8"/>
  <c r="G15" i="8"/>
  <c r="F15" i="8"/>
  <c r="E15" i="8"/>
  <c r="D15" i="8"/>
  <c r="D9" i="8" s="1"/>
  <c r="D10" i="8" s="1"/>
  <c r="C15" i="8"/>
  <c r="B15" i="8"/>
  <c r="I13" i="8"/>
  <c r="H13" i="8"/>
  <c r="G13" i="8"/>
  <c r="F13" i="8"/>
  <c r="E13" i="8"/>
  <c r="D13" i="8"/>
  <c r="C13" i="8"/>
  <c r="B13" i="8"/>
  <c r="E10" i="8"/>
  <c r="C10" i="8"/>
  <c r="I9" i="8"/>
  <c r="I10" i="8" s="1"/>
  <c r="H9" i="8"/>
  <c r="H10" i="8" s="1"/>
  <c r="G9" i="8"/>
  <c r="G10" i="8" s="1"/>
  <c r="F9" i="8"/>
  <c r="F10" i="8" s="1"/>
  <c r="E9" i="8"/>
  <c r="C9" i="8"/>
  <c r="B9" i="8"/>
  <c r="B10" i="8" s="1"/>
  <c r="I8" i="8"/>
  <c r="H8" i="8"/>
  <c r="G8" i="8"/>
  <c r="F8" i="8"/>
  <c r="E8" i="8"/>
  <c r="D8" i="8"/>
  <c r="C8" i="8"/>
  <c r="B8" i="8"/>
  <c r="L10" i="5"/>
  <c r="H78" i="5"/>
  <c r="E75" i="5"/>
  <c r="G80" i="5" s="1"/>
  <c r="G65" i="5"/>
  <c r="F65" i="5"/>
  <c r="E65" i="5"/>
  <c r="I61" i="5"/>
  <c r="I63" i="5" s="1"/>
  <c r="K60" i="5"/>
  <c r="F60" i="5"/>
  <c r="E60" i="5"/>
  <c r="K59" i="5"/>
  <c r="K58" i="5"/>
  <c r="M57" i="5"/>
  <c r="K57" i="5"/>
  <c r="N57" i="5" s="1"/>
  <c r="K56" i="5"/>
  <c r="F56" i="5"/>
  <c r="F57" i="5" s="1"/>
  <c r="H77" i="5" s="1"/>
  <c r="E56" i="5"/>
  <c r="E57" i="5" s="1"/>
  <c r="K55" i="5"/>
  <c r="N54" i="5" s="1"/>
  <c r="F55" i="5"/>
  <c r="E55" i="5"/>
  <c r="M54" i="5"/>
  <c r="K54" i="5"/>
  <c r="K61" i="5" s="1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L49" i="5" s="1"/>
  <c r="L48" i="5"/>
  <c r="L47" i="5"/>
  <c r="I46" i="5"/>
  <c r="H46" i="5"/>
  <c r="H40" i="5" s="1"/>
  <c r="H41" i="5" s="1"/>
  <c r="G46" i="5"/>
  <c r="E46" i="5"/>
  <c r="C46" i="5"/>
  <c r="B46" i="5"/>
  <c r="I44" i="5"/>
  <c r="H44" i="5"/>
  <c r="G44" i="5"/>
  <c r="F44" i="5"/>
  <c r="E44" i="5"/>
  <c r="D44" i="5"/>
  <c r="C44" i="5"/>
  <c r="B44" i="5"/>
  <c r="F41" i="5"/>
  <c r="I40" i="5"/>
  <c r="G40" i="5"/>
  <c r="G41" i="5" s="1"/>
  <c r="F40" i="5"/>
  <c r="E40" i="5"/>
  <c r="E41" i="5" s="1"/>
  <c r="D40" i="5"/>
  <c r="D41" i="5" s="1"/>
  <c r="C40" i="5"/>
  <c r="C41" i="5" s="1"/>
  <c r="B40" i="5"/>
  <c r="B41" i="5" s="1"/>
  <c r="I39" i="5"/>
  <c r="H39" i="5"/>
  <c r="G39" i="5"/>
  <c r="F39" i="5"/>
  <c r="E39" i="5"/>
  <c r="D39" i="5"/>
  <c r="C39" i="5"/>
  <c r="B39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L33" i="5" s="1"/>
  <c r="L32" i="5"/>
  <c r="I30" i="5"/>
  <c r="G30" i="5"/>
  <c r="F30" i="5"/>
  <c r="E30" i="5"/>
  <c r="D30" i="5"/>
  <c r="C30" i="5"/>
  <c r="B30" i="5"/>
  <c r="B24" i="5" s="1"/>
  <c r="H28" i="5"/>
  <c r="G28" i="5"/>
  <c r="F28" i="5"/>
  <c r="E28" i="5"/>
  <c r="D28" i="5"/>
  <c r="C28" i="5"/>
  <c r="H24" i="5"/>
  <c r="H25" i="5" s="1"/>
  <c r="G24" i="5"/>
  <c r="G25" i="5" s="1"/>
  <c r="F24" i="5"/>
  <c r="F25" i="5" s="1"/>
  <c r="E24" i="5"/>
  <c r="E25" i="5" s="1"/>
  <c r="D24" i="5"/>
  <c r="D25" i="5" s="1"/>
  <c r="C24" i="5"/>
  <c r="C25" i="5" s="1"/>
  <c r="H23" i="5"/>
  <c r="G23" i="5"/>
  <c r="F23" i="5"/>
  <c r="E23" i="5"/>
  <c r="D23" i="5"/>
  <c r="C23" i="5"/>
  <c r="B23" i="5"/>
  <c r="I19" i="5"/>
  <c r="H19" i="5"/>
  <c r="G19" i="5"/>
  <c r="F19" i="5"/>
  <c r="E19" i="5"/>
  <c r="D19" i="5"/>
  <c r="C19" i="5"/>
  <c r="B19" i="5"/>
  <c r="E77" i="5" s="1"/>
  <c r="I18" i="5"/>
  <c r="H18" i="5"/>
  <c r="G18" i="5"/>
  <c r="F18" i="5"/>
  <c r="E18" i="5"/>
  <c r="D18" i="5"/>
  <c r="C18" i="5"/>
  <c r="B18" i="5"/>
  <c r="N34" i="5"/>
  <c r="N37" i="5" s="1"/>
  <c r="L16" i="5"/>
  <c r="I15" i="5"/>
  <c r="H15" i="5"/>
  <c r="G15" i="5"/>
  <c r="F15" i="5"/>
  <c r="E15" i="5"/>
  <c r="D15" i="5"/>
  <c r="C15" i="5"/>
  <c r="C9" i="5" s="1"/>
  <c r="C10" i="5" s="1"/>
  <c r="B15" i="5"/>
  <c r="I13" i="5"/>
  <c r="H13" i="5"/>
  <c r="G13" i="5"/>
  <c r="F13" i="5"/>
  <c r="E13" i="5"/>
  <c r="D13" i="5"/>
  <c r="C13" i="5"/>
  <c r="B13" i="5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B9" i="5"/>
  <c r="B10" i="5" s="1"/>
  <c r="I8" i="5"/>
  <c r="H8" i="5"/>
  <c r="G8" i="5"/>
  <c r="F8" i="5"/>
  <c r="E8" i="5"/>
  <c r="D8" i="5"/>
  <c r="C8" i="5"/>
  <c r="B8" i="5"/>
  <c r="H78" i="4"/>
  <c r="G65" i="4"/>
  <c r="F65" i="4"/>
  <c r="E65" i="4"/>
  <c r="I61" i="4"/>
  <c r="I63" i="4" s="1"/>
  <c r="K60" i="4"/>
  <c r="G60" i="4"/>
  <c r="K59" i="4"/>
  <c r="K58" i="4"/>
  <c r="M57" i="4"/>
  <c r="K57" i="4"/>
  <c r="N57" i="4" s="1"/>
  <c r="G57" i="4"/>
  <c r="K56" i="4"/>
  <c r="G56" i="4"/>
  <c r="F56" i="4"/>
  <c r="F60" i="4" s="1"/>
  <c r="E56" i="4"/>
  <c r="E60" i="4" s="1"/>
  <c r="K55" i="4"/>
  <c r="N54" i="4" s="1"/>
  <c r="G55" i="4"/>
  <c r="F55" i="4"/>
  <c r="E55" i="4"/>
  <c r="M54" i="4"/>
  <c r="K54" i="4"/>
  <c r="K61" i="4" s="1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L49" i="4" s="1"/>
  <c r="L48" i="4"/>
  <c r="N34" i="4" s="1"/>
  <c r="N37" i="4" s="1"/>
  <c r="L47" i="4"/>
  <c r="I46" i="4"/>
  <c r="H46" i="4"/>
  <c r="G46" i="4"/>
  <c r="G40" i="4" s="1"/>
  <c r="G41" i="4" s="1"/>
  <c r="E46" i="4"/>
  <c r="C46" i="4"/>
  <c r="B46" i="4"/>
  <c r="I44" i="4"/>
  <c r="H44" i="4"/>
  <c r="G44" i="4"/>
  <c r="F44" i="4"/>
  <c r="E44" i="4"/>
  <c r="D44" i="4"/>
  <c r="C44" i="4"/>
  <c r="B44" i="4"/>
  <c r="D41" i="4"/>
  <c r="I40" i="4"/>
  <c r="H40" i="4"/>
  <c r="F40" i="4"/>
  <c r="F41" i="4" s="1"/>
  <c r="E40" i="4"/>
  <c r="E41" i="4" s="1"/>
  <c r="D40" i="4"/>
  <c r="C40" i="4"/>
  <c r="C41" i="4" s="1"/>
  <c r="B40" i="4"/>
  <c r="B41" i="4" s="1"/>
  <c r="L41" i="4" s="1"/>
  <c r="I39" i="4"/>
  <c r="H39" i="4"/>
  <c r="G39" i="4"/>
  <c r="F39" i="4"/>
  <c r="E39" i="4"/>
  <c r="D39" i="4"/>
  <c r="C39" i="4"/>
  <c r="B39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L33" i="4" s="1"/>
  <c r="L32" i="4"/>
  <c r="I30" i="4"/>
  <c r="G30" i="4"/>
  <c r="F30" i="4"/>
  <c r="F24" i="4" s="1"/>
  <c r="F25" i="4" s="1"/>
  <c r="E30" i="4"/>
  <c r="E24" i="4" s="1"/>
  <c r="E25" i="4" s="1"/>
  <c r="D30" i="4"/>
  <c r="C30" i="4"/>
  <c r="B30" i="4"/>
  <c r="H28" i="4"/>
  <c r="G28" i="4"/>
  <c r="F28" i="4"/>
  <c r="E28" i="4"/>
  <c r="D28" i="4"/>
  <c r="C28" i="4"/>
  <c r="H24" i="4"/>
  <c r="H25" i="4" s="1"/>
  <c r="G24" i="4"/>
  <c r="G25" i="4" s="1"/>
  <c r="D24" i="4"/>
  <c r="D25" i="4" s="1"/>
  <c r="C24" i="4"/>
  <c r="E75" i="4" s="1"/>
  <c r="B24" i="4"/>
  <c r="B28" i="4" s="1"/>
  <c r="H23" i="4"/>
  <c r="G23" i="4"/>
  <c r="F23" i="4"/>
  <c r="E23" i="4"/>
  <c r="D23" i="4"/>
  <c r="C23" i="4"/>
  <c r="B23" i="4"/>
  <c r="I19" i="4"/>
  <c r="H19" i="4"/>
  <c r="G19" i="4"/>
  <c r="F19" i="4"/>
  <c r="E19" i="4"/>
  <c r="D19" i="4"/>
  <c r="C19" i="4"/>
  <c r="B19" i="4"/>
  <c r="E77" i="4" s="1"/>
  <c r="I18" i="4"/>
  <c r="H18" i="4"/>
  <c r="G18" i="4"/>
  <c r="F18" i="4"/>
  <c r="E18" i="4"/>
  <c r="D18" i="4"/>
  <c r="C18" i="4"/>
  <c r="G82" i="4" s="1"/>
  <c r="B18" i="4"/>
  <c r="L18" i="4" s="1"/>
  <c r="L17" i="4"/>
  <c r="L16" i="4"/>
  <c r="I15" i="4"/>
  <c r="I9" i="4" s="1"/>
  <c r="I10" i="4" s="1"/>
  <c r="H15" i="4"/>
  <c r="G15" i="4"/>
  <c r="F15" i="4"/>
  <c r="F9" i="4" s="1"/>
  <c r="F10" i="4" s="1"/>
  <c r="E15" i="4"/>
  <c r="E9" i="4" s="1"/>
  <c r="E10" i="4" s="1"/>
  <c r="D15" i="4"/>
  <c r="D9" i="4" s="1"/>
  <c r="D10" i="4" s="1"/>
  <c r="C15" i="4"/>
  <c r="B15" i="4"/>
  <c r="I13" i="4"/>
  <c r="H13" i="4"/>
  <c r="G13" i="4"/>
  <c r="F13" i="4"/>
  <c r="E13" i="4"/>
  <c r="D13" i="4"/>
  <c r="C13" i="4"/>
  <c r="B13" i="4"/>
  <c r="C10" i="4"/>
  <c r="H9" i="4"/>
  <c r="H10" i="4" s="1"/>
  <c r="G9" i="4"/>
  <c r="G10" i="4" s="1"/>
  <c r="C9" i="4"/>
  <c r="B9" i="4"/>
  <c r="I8" i="4"/>
  <c r="H8" i="4"/>
  <c r="G8" i="4"/>
  <c r="F8" i="4"/>
  <c r="E8" i="4"/>
  <c r="D8" i="4"/>
  <c r="C8" i="4"/>
  <c r="B8" i="4"/>
  <c r="G78" i="3"/>
  <c r="C78" i="3"/>
  <c r="I76" i="3"/>
  <c r="G76" i="3"/>
  <c r="C76" i="3"/>
  <c r="G81" i="3" s="1"/>
  <c r="I75" i="3"/>
  <c r="I77" i="3" s="1"/>
  <c r="F69" i="3"/>
  <c r="F68" i="3"/>
  <c r="E68" i="3"/>
  <c r="F67" i="3"/>
  <c r="F66" i="3"/>
  <c r="G62" i="3"/>
  <c r="G66" i="3" s="1"/>
  <c r="E62" i="3"/>
  <c r="E69" i="3" s="1"/>
  <c r="G60" i="3"/>
  <c r="G67" i="3" s="1"/>
  <c r="E60" i="3"/>
  <c r="E67" i="3" s="1"/>
  <c r="I50" i="3"/>
  <c r="H50" i="3"/>
  <c r="G50" i="3"/>
  <c r="E50" i="3"/>
  <c r="C50" i="3"/>
  <c r="B50" i="3"/>
  <c r="I49" i="3"/>
  <c r="H49" i="3"/>
  <c r="G49" i="3"/>
  <c r="E49" i="3"/>
  <c r="C49" i="3"/>
  <c r="B49" i="3"/>
  <c r="F45" i="3"/>
  <c r="F50" i="3" s="1"/>
  <c r="D45" i="3"/>
  <c r="K45" i="3" s="1"/>
  <c r="C45" i="3"/>
  <c r="K44" i="3"/>
  <c r="F43" i="3"/>
  <c r="D43" i="3"/>
  <c r="C43" i="3"/>
  <c r="I33" i="3"/>
  <c r="C33" i="3"/>
  <c r="B33" i="3"/>
  <c r="I32" i="3"/>
  <c r="C32" i="3"/>
  <c r="B32" i="3"/>
  <c r="K28" i="3"/>
  <c r="G28" i="3"/>
  <c r="G33" i="3" s="1"/>
  <c r="F28" i="3"/>
  <c r="F33" i="3" s="1"/>
  <c r="E28" i="3"/>
  <c r="D28" i="3"/>
  <c r="H33" i="3" s="1"/>
  <c r="C28" i="3"/>
  <c r="K27" i="3"/>
  <c r="G26" i="3"/>
  <c r="G32" i="3" s="1"/>
  <c r="F26" i="3"/>
  <c r="E26" i="3"/>
  <c r="E33" i="3" s="1"/>
  <c r="D26" i="3"/>
  <c r="D33" i="3" s="1"/>
  <c r="C26" i="3"/>
  <c r="G16" i="3"/>
  <c r="G15" i="3"/>
  <c r="C15" i="3"/>
  <c r="I11" i="3"/>
  <c r="H11" i="3"/>
  <c r="H16" i="3" s="1"/>
  <c r="G11" i="3"/>
  <c r="F11" i="3"/>
  <c r="F16" i="3" s="1"/>
  <c r="E11" i="3"/>
  <c r="D11" i="3"/>
  <c r="D16" i="3" s="1"/>
  <c r="C11" i="3"/>
  <c r="B11" i="3"/>
  <c r="B16" i="3" s="1"/>
  <c r="K10" i="3"/>
  <c r="I9" i="3"/>
  <c r="I16" i="3" s="1"/>
  <c r="H9" i="3"/>
  <c r="G9" i="3"/>
  <c r="F9" i="3"/>
  <c r="E9" i="3"/>
  <c r="E16" i="3" s="1"/>
  <c r="D9" i="3"/>
  <c r="C9" i="3"/>
  <c r="C16" i="3" s="1"/>
  <c r="B9" i="3"/>
  <c r="H77" i="2"/>
  <c r="H76" i="2"/>
  <c r="H75" i="2"/>
  <c r="G65" i="2"/>
  <c r="E65" i="2"/>
  <c r="F63" i="2"/>
  <c r="F65" i="2" s="1"/>
  <c r="I61" i="2"/>
  <c r="I60" i="2"/>
  <c r="I62" i="2" s="1"/>
  <c r="G60" i="2"/>
  <c r="K59" i="2"/>
  <c r="K58" i="2"/>
  <c r="K57" i="2"/>
  <c r="G57" i="2"/>
  <c r="E57" i="2"/>
  <c r="K56" i="2"/>
  <c r="E56" i="2"/>
  <c r="K55" i="2"/>
  <c r="G55" i="2"/>
  <c r="E55" i="2"/>
  <c r="K54" i="2"/>
  <c r="K60" i="2" s="1"/>
  <c r="L61" i="2" s="1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L49" i="2" s="1"/>
  <c r="L48" i="2"/>
  <c r="L47" i="2"/>
  <c r="I46" i="2"/>
  <c r="H46" i="2"/>
  <c r="G46" i="2"/>
  <c r="E46" i="2"/>
  <c r="C46" i="2"/>
  <c r="B46" i="2"/>
  <c r="H44" i="2"/>
  <c r="G44" i="2"/>
  <c r="F44" i="2"/>
  <c r="E44" i="2"/>
  <c r="D44" i="2"/>
  <c r="C44" i="2"/>
  <c r="M40" i="2"/>
  <c r="H40" i="2"/>
  <c r="H41" i="2" s="1"/>
  <c r="G40" i="2"/>
  <c r="G41" i="2" s="1"/>
  <c r="F40" i="2"/>
  <c r="F41" i="2" s="1"/>
  <c r="M41" i="2" s="1"/>
  <c r="E40" i="2"/>
  <c r="E41" i="2" s="1"/>
  <c r="D40" i="2"/>
  <c r="D41" i="2" s="1"/>
  <c r="C40" i="2"/>
  <c r="L40" i="2" s="1"/>
  <c r="H39" i="2"/>
  <c r="G39" i="2"/>
  <c r="F39" i="2"/>
  <c r="E39" i="2"/>
  <c r="D39" i="2"/>
  <c r="C39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L33" i="2" s="1"/>
  <c r="L32" i="2"/>
  <c r="I30" i="2"/>
  <c r="I28" i="2"/>
  <c r="G28" i="2"/>
  <c r="F28" i="2"/>
  <c r="E28" i="2"/>
  <c r="D28" i="2"/>
  <c r="C28" i="2"/>
  <c r="I24" i="2"/>
  <c r="I25" i="2" s="1"/>
  <c r="G24" i="2"/>
  <c r="G25" i="2" s="1"/>
  <c r="F24" i="2"/>
  <c r="F25" i="2" s="1"/>
  <c r="E24" i="2"/>
  <c r="E25" i="2" s="1"/>
  <c r="D24" i="2"/>
  <c r="D25" i="2" s="1"/>
  <c r="C24" i="2"/>
  <c r="C25" i="2" s="1"/>
  <c r="B24" i="2"/>
  <c r="E75" i="2" s="1"/>
  <c r="G80" i="2" s="1"/>
  <c r="I23" i="2"/>
  <c r="G23" i="2"/>
  <c r="F23" i="2"/>
  <c r="E23" i="2"/>
  <c r="D23" i="2"/>
  <c r="C23" i="2"/>
  <c r="B23" i="2"/>
  <c r="I19" i="2"/>
  <c r="H19" i="2"/>
  <c r="G19" i="2"/>
  <c r="F19" i="2"/>
  <c r="E19" i="2"/>
  <c r="D19" i="2"/>
  <c r="E77" i="2" s="1"/>
  <c r="I18" i="2"/>
  <c r="H18" i="2"/>
  <c r="G18" i="2"/>
  <c r="F18" i="2"/>
  <c r="E18" i="2"/>
  <c r="D18" i="2"/>
  <c r="C18" i="2"/>
  <c r="B18" i="2"/>
  <c r="G82" i="2" s="1"/>
  <c r="L17" i="2"/>
  <c r="N34" i="2" s="1"/>
  <c r="L16" i="2"/>
  <c r="I15" i="2"/>
  <c r="I9" i="2" s="1"/>
  <c r="I10" i="2" s="1"/>
  <c r="H15" i="2"/>
  <c r="H9" i="2" s="1"/>
  <c r="H10" i="2" s="1"/>
  <c r="G15" i="2"/>
  <c r="G9" i="2" s="1"/>
  <c r="G10" i="2" s="1"/>
  <c r="F15" i="2"/>
  <c r="E15" i="2"/>
  <c r="D15" i="2"/>
  <c r="C15" i="2"/>
  <c r="B15" i="2"/>
  <c r="I13" i="2"/>
  <c r="H13" i="2"/>
  <c r="G13" i="2"/>
  <c r="F13" i="2"/>
  <c r="E13" i="2"/>
  <c r="D13" i="2"/>
  <c r="C13" i="2"/>
  <c r="B13" i="2"/>
  <c r="C10" i="2"/>
  <c r="F9" i="2"/>
  <c r="F10" i="2" s="1"/>
  <c r="E9" i="2"/>
  <c r="E10" i="2" s="1"/>
  <c r="D9" i="2"/>
  <c r="D10" i="2" s="1"/>
  <c r="C9" i="2"/>
  <c r="B9" i="2"/>
  <c r="B10" i="2" s="1"/>
  <c r="I8" i="2"/>
  <c r="H8" i="2"/>
  <c r="G8" i="2"/>
  <c r="F8" i="2"/>
  <c r="E8" i="2"/>
  <c r="D8" i="2"/>
  <c r="C8" i="2"/>
  <c r="B8" i="2"/>
  <c r="N33" i="1"/>
  <c r="H77" i="1"/>
  <c r="H76" i="1"/>
  <c r="H75" i="1"/>
  <c r="E75" i="1"/>
  <c r="G80" i="1" s="1"/>
  <c r="E65" i="1"/>
  <c r="I64" i="1"/>
  <c r="I63" i="1"/>
  <c r="I65" i="1" s="1"/>
  <c r="G63" i="1"/>
  <c r="G65" i="1" s="1"/>
  <c r="F63" i="1"/>
  <c r="F65" i="1" s="1"/>
  <c r="K60" i="1"/>
  <c r="F60" i="1"/>
  <c r="K59" i="1"/>
  <c r="K58" i="1"/>
  <c r="K57" i="1"/>
  <c r="G57" i="1"/>
  <c r="F57" i="1"/>
  <c r="K56" i="1"/>
  <c r="K55" i="1"/>
  <c r="G55" i="1"/>
  <c r="F55" i="1"/>
  <c r="K54" i="1"/>
  <c r="K63" i="1" s="1"/>
  <c r="L63" i="1" s="1"/>
  <c r="I50" i="1"/>
  <c r="H50" i="1"/>
  <c r="G50" i="1"/>
  <c r="F50" i="1"/>
  <c r="E50" i="1"/>
  <c r="D50" i="1"/>
  <c r="C50" i="1"/>
  <c r="B50" i="1"/>
  <c r="I49" i="1"/>
  <c r="C49" i="1"/>
  <c r="L48" i="1"/>
  <c r="H47" i="1"/>
  <c r="H49" i="1" s="1"/>
  <c r="G47" i="1"/>
  <c r="G49" i="1" s="1"/>
  <c r="F47" i="1"/>
  <c r="F49" i="1" s="1"/>
  <c r="E47" i="1"/>
  <c r="E44" i="1" s="1"/>
  <c r="D47" i="1"/>
  <c r="D49" i="1" s="1"/>
  <c r="C47" i="1"/>
  <c r="C44" i="1" s="1"/>
  <c r="B47" i="1"/>
  <c r="B49" i="1" s="1"/>
  <c r="I46" i="1"/>
  <c r="H46" i="1"/>
  <c r="G46" i="1"/>
  <c r="E46" i="1"/>
  <c r="C46" i="1"/>
  <c r="B46" i="1"/>
  <c r="I44" i="1"/>
  <c r="G44" i="1"/>
  <c r="I41" i="1"/>
  <c r="G41" i="1"/>
  <c r="E41" i="1"/>
  <c r="C41" i="1"/>
  <c r="L41" i="1" s="1"/>
  <c r="B41" i="1"/>
  <c r="L40" i="1"/>
  <c r="I40" i="1"/>
  <c r="I39" i="1"/>
  <c r="G39" i="1"/>
  <c r="E39" i="1"/>
  <c r="C39" i="1"/>
  <c r="B39" i="1"/>
  <c r="I34" i="1"/>
  <c r="H34" i="1"/>
  <c r="G34" i="1"/>
  <c r="F34" i="1"/>
  <c r="E34" i="1"/>
  <c r="D34" i="1"/>
  <c r="C34" i="1"/>
  <c r="B34" i="1"/>
  <c r="I33" i="1"/>
  <c r="H33" i="1"/>
  <c r="G33" i="1"/>
  <c r="F33" i="1"/>
  <c r="L32" i="1"/>
  <c r="I31" i="1"/>
  <c r="H31" i="1"/>
  <c r="G31" i="1"/>
  <c r="F31" i="1"/>
  <c r="E31" i="1"/>
  <c r="E33" i="1" s="1"/>
  <c r="D31" i="1"/>
  <c r="D33" i="1" s="1"/>
  <c r="C31" i="1"/>
  <c r="C33" i="1" s="1"/>
  <c r="B31" i="1"/>
  <c r="B33" i="1" s="1"/>
  <c r="I30" i="1"/>
  <c r="H30" i="1"/>
  <c r="G30" i="1"/>
  <c r="F30" i="1"/>
  <c r="E30" i="1"/>
  <c r="D30" i="1"/>
  <c r="C30" i="1"/>
  <c r="B30" i="1"/>
  <c r="I28" i="1"/>
  <c r="H28" i="1"/>
  <c r="G28" i="1"/>
  <c r="F28" i="1"/>
  <c r="E28" i="1"/>
  <c r="D28" i="1"/>
  <c r="C28" i="1"/>
  <c r="L25" i="1"/>
  <c r="I25" i="1"/>
  <c r="H25" i="1"/>
  <c r="G25" i="1"/>
  <c r="F25" i="1"/>
  <c r="E25" i="1"/>
  <c r="D25" i="1"/>
  <c r="C25" i="1"/>
  <c r="I23" i="1"/>
  <c r="H23" i="1"/>
  <c r="G23" i="1"/>
  <c r="F23" i="1"/>
  <c r="E23" i="1"/>
  <c r="D23" i="1"/>
  <c r="C23" i="1"/>
  <c r="I19" i="1"/>
  <c r="H19" i="1"/>
  <c r="G19" i="1"/>
  <c r="F19" i="1"/>
  <c r="E19" i="1"/>
  <c r="D19" i="1"/>
  <c r="C19" i="1"/>
  <c r="B19" i="1"/>
  <c r="E77" i="1" s="1"/>
  <c r="L17" i="1"/>
  <c r="N34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B15" i="1"/>
  <c r="B16" i="1" s="1"/>
  <c r="I10" i="1"/>
  <c r="H10" i="1"/>
  <c r="G10" i="1"/>
  <c r="F10" i="1"/>
  <c r="E10" i="1"/>
  <c r="D10" i="1"/>
  <c r="E76" i="1" s="1"/>
  <c r="G81" i="1" s="1"/>
  <c r="C10" i="1"/>
  <c r="B10" i="1"/>
  <c r="L10" i="1" s="1"/>
  <c r="I8" i="1"/>
  <c r="H8" i="1"/>
  <c r="G8" i="1"/>
  <c r="F8" i="1"/>
  <c r="E8" i="1"/>
  <c r="D8" i="1"/>
  <c r="C8" i="1"/>
  <c r="B8" i="1"/>
  <c r="O34" i="10" l="1"/>
  <c r="L13" i="10"/>
  <c r="L41" i="10"/>
  <c r="F10" i="10"/>
  <c r="M10" i="10" s="1"/>
  <c r="P35" i="10" s="1"/>
  <c r="Q35" i="10" s="1"/>
  <c r="M9" i="10"/>
  <c r="L40" i="10"/>
  <c r="L43" i="10" s="1"/>
  <c r="G41" i="10"/>
  <c r="M24" i="10"/>
  <c r="E25" i="10"/>
  <c r="M25" i="10" s="1"/>
  <c r="H10" i="10"/>
  <c r="L10" i="10" s="1"/>
  <c r="D25" i="10"/>
  <c r="L25" i="10" s="1"/>
  <c r="C41" i="10"/>
  <c r="M41" i="10" s="1"/>
  <c r="L18" i="10"/>
  <c r="N34" i="10"/>
  <c r="L10" i="9"/>
  <c r="P34" i="9" s="1"/>
  <c r="Q34" i="9" s="1"/>
  <c r="E76" i="9"/>
  <c r="G81" i="9" s="1"/>
  <c r="N37" i="9"/>
  <c r="B25" i="9"/>
  <c r="L25" i="9" s="1"/>
  <c r="L24" i="9"/>
  <c r="M27" i="9" s="1"/>
  <c r="L41" i="9"/>
  <c r="L9" i="9"/>
  <c r="L18" i="9"/>
  <c r="L40" i="9"/>
  <c r="M43" i="9" s="1"/>
  <c r="L41" i="7"/>
  <c r="L10" i="7"/>
  <c r="P34" i="7" s="1"/>
  <c r="E76" i="7"/>
  <c r="G81" i="7" s="1"/>
  <c r="B25" i="7"/>
  <c r="L25" i="7" s="1"/>
  <c r="L9" i="7"/>
  <c r="L62" i="7"/>
  <c r="L18" i="7"/>
  <c r="D25" i="6"/>
  <c r="L24" i="6"/>
  <c r="M27" i="6" s="1"/>
  <c r="B10" i="6"/>
  <c r="L9" i="6"/>
  <c r="L25" i="6"/>
  <c r="C41" i="6"/>
  <c r="L41" i="6" s="1"/>
  <c r="L40" i="6"/>
  <c r="M43" i="6" s="1"/>
  <c r="L18" i="6"/>
  <c r="L62" i="6"/>
  <c r="I63" i="8"/>
  <c r="L62" i="8"/>
  <c r="L41" i="8"/>
  <c r="E76" i="8"/>
  <c r="G81" i="8" s="1"/>
  <c r="L25" i="8"/>
  <c r="L18" i="8"/>
  <c r="L40" i="8"/>
  <c r="M43" i="8" s="1"/>
  <c r="L9" i="8"/>
  <c r="G82" i="5"/>
  <c r="L24" i="5"/>
  <c r="B28" i="5"/>
  <c r="B25" i="5"/>
  <c r="L41" i="5"/>
  <c r="E76" i="5"/>
  <c r="G81" i="5" s="1"/>
  <c r="L25" i="5"/>
  <c r="L18" i="5"/>
  <c r="H76" i="5"/>
  <c r="L62" i="5"/>
  <c r="L40" i="5"/>
  <c r="L9" i="5"/>
  <c r="L9" i="4"/>
  <c r="L40" i="4"/>
  <c r="H76" i="4"/>
  <c r="G80" i="4" s="1"/>
  <c r="L62" i="4"/>
  <c r="B10" i="4"/>
  <c r="E76" i="4" s="1"/>
  <c r="G81" i="4" s="1"/>
  <c r="E57" i="4"/>
  <c r="L24" i="4"/>
  <c r="F57" i="4"/>
  <c r="H77" i="4" s="1"/>
  <c r="B25" i="4"/>
  <c r="C25" i="4"/>
  <c r="L25" i="4" s="1"/>
  <c r="H15" i="3"/>
  <c r="D32" i="3"/>
  <c r="D49" i="3"/>
  <c r="D50" i="3"/>
  <c r="C77" i="3"/>
  <c r="G82" i="3" s="1"/>
  <c r="K11" i="3"/>
  <c r="I15" i="3"/>
  <c r="E32" i="3"/>
  <c r="G77" i="3"/>
  <c r="B15" i="3"/>
  <c r="F32" i="3"/>
  <c r="F49" i="3"/>
  <c r="E66" i="3"/>
  <c r="D15" i="3"/>
  <c r="H32" i="3"/>
  <c r="E15" i="3"/>
  <c r="F15" i="3"/>
  <c r="L10" i="2"/>
  <c r="M48" i="2"/>
  <c r="L24" i="2"/>
  <c r="C41" i="2"/>
  <c r="L41" i="2" s="1"/>
  <c r="K41" i="2" s="1"/>
  <c r="B25" i="2"/>
  <c r="L25" i="2" s="1"/>
  <c r="B28" i="2"/>
  <c r="L18" i="2"/>
  <c r="L9" i="2"/>
  <c r="I18" i="1"/>
  <c r="I13" i="1"/>
  <c r="L33" i="1"/>
  <c r="L16" i="1"/>
  <c r="B13" i="1"/>
  <c r="B18" i="1"/>
  <c r="D13" i="1"/>
  <c r="D18" i="1"/>
  <c r="E18" i="1"/>
  <c r="E13" i="1"/>
  <c r="C13" i="1"/>
  <c r="C18" i="1"/>
  <c r="F18" i="1"/>
  <c r="F13" i="1"/>
  <c r="G18" i="1"/>
  <c r="G13" i="1"/>
  <c r="H18" i="1"/>
  <c r="H13" i="1"/>
  <c r="L31" i="1"/>
  <c r="E49" i="1"/>
  <c r="L49" i="1" s="1"/>
  <c r="B44" i="1"/>
  <c r="G60" i="1"/>
  <c r="L47" i="1"/>
  <c r="P34" i="10" l="1"/>
  <c r="E76" i="10"/>
  <c r="G81" i="10" s="1"/>
  <c r="N15" i="10"/>
  <c r="O16" i="10" s="1"/>
  <c r="Q34" i="10"/>
  <c r="N37" i="10"/>
  <c r="N15" i="9"/>
  <c r="O16" i="9" s="1"/>
  <c r="M13" i="9"/>
  <c r="O34" i="7"/>
  <c r="M13" i="7"/>
  <c r="M13" i="6"/>
  <c r="O34" i="6"/>
  <c r="L10" i="6"/>
  <c r="P34" i="6" s="1"/>
  <c r="E76" i="6"/>
  <c r="G81" i="6" s="1"/>
  <c r="M13" i="8"/>
  <c r="O34" i="8"/>
  <c r="N37" i="8" s="1"/>
  <c r="M32" i="2"/>
  <c r="M25" i="2"/>
  <c r="O34" i="2"/>
  <c r="M17" i="2"/>
  <c r="M10" i="2"/>
  <c r="E76" i="2"/>
  <c r="G81" i="2" s="1"/>
  <c r="P34" i="2"/>
  <c r="G82" i="1"/>
  <c r="L18" i="1"/>
  <c r="N37" i="1"/>
  <c r="Q34" i="7" l="1"/>
  <c r="N37" i="7"/>
  <c r="N37" i="6"/>
  <c r="Q34" i="6"/>
  <c r="N37" i="2"/>
  <c r="Q34" i="2"/>
</calcChain>
</file>

<file path=xl/sharedStrings.xml><?xml version="1.0" encoding="utf-8"?>
<sst xmlns="http://schemas.openxmlformats.org/spreadsheetml/2006/main" count="2037" uniqueCount="340">
  <si>
    <t xml:space="preserve">         DECORAH FISH HATCHERY</t>
  </si>
  <si>
    <t>TOTAL CATCHABLE PRODUCTION SUMMARY</t>
  </si>
  <si>
    <t>Stocking Year 2015</t>
  </si>
  <si>
    <t xml:space="preserve"> </t>
  </si>
  <si>
    <t>RACEWAY:</t>
  </si>
  <si>
    <t>A1</t>
  </si>
  <si>
    <t>A2</t>
  </si>
  <si>
    <t>A3</t>
  </si>
  <si>
    <t>A4</t>
  </si>
  <si>
    <t>A5</t>
  </si>
  <si>
    <t>A6</t>
  </si>
  <si>
    <t>A7</t>
  </si>
  <si>
    <t>A8</t>
  </si>
  <si>
    <t>SPECIES:</t>
  </si>
  <si>
    <t>RAINBOW</t>
  </si>
  <si>
    <t>LOT:</t>
  </si>
  <si>
    <t>LENGTH:</t>
  </si>
  <si>
    <t>NUMBER:</t>
  </si>
  <si>
    <t>WEIGHT:</t>
  </si>
  <si>
    <t>#/POUND:</t>
  </si>
  <si>
    <t>TIME:</t>
  </si>
  <si>
    <t>6/16-7/1/15</t>
  </si>
  <si>
    <t>9/8-9/17/15</t>
  </si>
  <si>
    <t>5/22-6/4/15</t>
  </si>
  <si>
    <t>10-22-10-29-15</t>
  </si>
  <si>
    <t>7/1-7/10/15</t>
  </si>
  <si>
    <t>10-12-10-21-15</t>
  </si>
  <si>
    <t>6/2-6/16/15</t>
  </si>
  <si>
    <t>9/18-9/28/15</t>
  </si>
  <si>
    <t>HARVEST %</t>
  </si>
  <si>
    <t>lbs. Moved</t>
  </si>
  <si>
    <t># Moved</t>
  </si>
  <si>
    <t>Projected #:</t>
  </si>
  <si>
    <t>Surplus Inven</t>
  </si>
  <si>
    <t>MORTALITY:</t>
  </si>
  <si>
    <t>B1</t>
  </si>
  <si>
    <t>B2</t>
  </si>
  <si>
    <t>B3</t>
  </si>
  <si>
    <t>B4 1.93</t>
  </si>
  <si>
    <t>B5</t>
  </si>
  <si>
    <t>B6</t>
  </si>
  <si>
    <t>B7</t>
  </si>
  <si>
    <t>B8</t>
  </si>
  <si>
    <t>Ennis-RAINBOW</t>
  </si>
  <si>
    <t>TROUTLODGE</t>
  </si>
  <si>
    <t>MT</t>
  </si>
  <si>
    <t>7/16-8/4/15</t>
  </si>
  <si>
    <t>8/11-8/18/15</t>
  </si>
  <si>
    <t>2/7-4/10/15</t>
  </si>
  <si>
    <t>5/4-5/20/15</t>
  </si>
  <si>
    <t>8/19-9/8/15</t>
  </si>
  <si>
    <t>1/17-2/7/15</t>
  </si>
  <si>
    <t>11-25-</t>
  </si>
  <si>
    <t>SIZE: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</si>
  <si>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</si>
  <si>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C1</t>
  </si>
  <si>
    <t>C2</t>
  </si>
  <si>
    <t>C3</t>
  </si>
  <si>
    <t>C4</t>
  </si>
  <si>
    <t>C5</t>
  </si>
  <si>
    <t>C6</t>
  </si>
  <si>
    <t>C7</t>
  </si>
  <si>
    <t xml:space="preserve">C8 </t>
  </si>
  <si>
    <t>% Harvest</t>
  </si>
  <si>
    <t>7/8-7/16/15</t>
  </si>
  <si>
    <t>8/4-8/10/15</t>
  </si>
  <si>
    <t>4/13-5/4/15</t>
  </si>
  <si>
    <t>9-30-10-7-15</t>
  </si>
  <si>
    <t>10-29-11-19-15</t>
  </si>
  <si>
    <t xml:space="preserve">Brook Trout </t>
  </si>
  <si>
    <t>POND:</t>
  </si>
  <si>
    <t>P2</t>
  </si>
  <si>
    <t>P3</t>
  </si>
  <si>
    <t>Stocked</t>
  </si>
  <si>
    <t>F/LB.</t>
  </si>
  <si>
    <t>Pounds</t>
  </si>
  <si>
    <t>BROOK</t>
  </si>
  <si>
    <t>April</t>
  </si>
  <si>
    <t>May</t>
  </si>
  <si>
    <t>June P III</t>
  </si>
  <si>
    <t>June P II</t>
  </si>
  <si>
    <t>July</t>
  </si>
  <si>
    <t>August</t>
  </si>
  <si>
    <t>September</t>
  </si>
  <si>
    <t>LBS. MOVED:</t>
  </si>
  <si>
    <t>Transfer to MFH</t>
  </si>
  <si>
    <t># MOVED:</t>
  </si>
  <si>
    <t>Transfer to BSFH</t>
  </si>
  <si>
    <t>SURPLUS INVEN:</t>
  </si>
  <si>
    <t>RAINBOW TROUT TOTALS</t>
  </si>
  <si>
    <t>BROOK TROUT TOTALS</t>
  </si>
  <si>
    <t xml:space="preserve">      PRODUCTION SUMMARY</t>
  </si>
  <si>
    <t>TOTAL NUMBER OF CATCHABLES STOCKED:</t>
  </si>
  <si>
    <t>TOTAL POUNDS OF FISH ON STOCKED:</t>
  </si>
  <si>
    <t>INVENTORY SURPLUS</t>
  </si>
  <si>
    <t>Stocking Year 2016</t>
  </si>
  <si>
    <t>6/20-6/23/16</t>
  </si>
  <si>
    <t>4/6-4/25/16</t>
  </si>
  <si>
    <t>9/6-9/26/2016</t>
  </si>
  <si>
    <t>8/11-9/2/16</t>
  </si>
  <si>
    <t>11/5-11/14/16</t>
  </si>
  <si>
    <t>10/3-10/6/16</t>
  </si>
  <si>
    <t>4/26-5/13/06</t>
  </si>
  <si>
    <t>B4</t>
  </si>
  <si>
    <t>BROODS</t>
  </si>
  <si>
    <t>6/24-6/30/16</t>
  </si>
  <si>
    <t>10/6-10/14/16</t>
  </si>
  <si>
    <t>10/26-11/4/16</t>
  </si>
  <si>
    <t>5/17-5/31/16</t>
  </si>
  <si>
    <t>5/31-6/17/16</t>
  </si>
  <si>
    <t>1/9-4/6/16</t>
  </si>
  <si>
    <t>Projected #</t>
  </si>
  <si>
    <t># Harvested</t>
  </si>
  <si>
    <t>Weight</t>
  </si>
  <si>
    <t>f/lb.</t>
  </si>
  <si>
    <t>135 for B3</t>
  </si>
  <si>
    <t>BROOKS</t>
  </si>
  <si>
    <t>Rainbow</t>
  </si>
  <si>
    <t xml:space="preserve">Brook </t>
  </si>
  <si>
    <t>10/14-10/20/16</t>
  </si>
  <si>
    <t>10/21-10/26/16</t>
  </si>
  <si>
    <t>1/9-2/6/16</t>
  </si>
  <si>
    <t>6/30-7/14/16</t>
  </si>
  <si>
    <t>7/25-8/11/16</t>
  </si>
  <si>
    <t>RAINBOW - Genoa</t>
  </si>
  <si>
    <t xml:space="preserve">June </t>
  </si>
  <si>
    <t>6/17-6/20/16</t>
  </si>
  <si>
    <t>Totals</t>
  </si>
  <si>
    <t>MONTHLY PRODUCTION SUMMARY</t>
  </si>
  <si>
    <t>FLOW:</t>
  </si>
  <si>
    <t>FLOW INDEX:</t>
  </si>
  <si>
    <t>DENS. INDEX:</t>
  </si>
  <si>
    <t>D.O. HEAD</t>
  </si>
  <si>
    <t>D.O. TAIL</t>
  </si>
  <si>
    <t>C8</t>
  </si>
  <si>
    <t>P1</t>
  </si>
  <si>
    <t>CATCHABLES</t>
  </si>
  <si>
    <t>10 FINGERLINGS</t>
  </si>
  <si>
    <t>TOTAL NUMBER OF FISH ON STATION:</t>
  </si>
  <si>
    <t>TOTAL POUNDS OF FISH ON STATION:</t>
  </si>
  <si>
    <t>Stocking Year 2018</t>
  </si>
  <si>
    <t>1/13-2/3/18</t>
  </si>
  <si>
    <t>6/18-7/3/18</t>
  </si>
  <si>
    <t>8/16-8/22/18</t>
  </si>
  <si>
    <t>5/16-5/30/18</t>
  </si>
  <si>
    <t>10/26-10/29/18</t>
  </si>
  <si>
    <t>7/16-7/30/18</t>
  </si>
  <si>
    <t>10/30-1/</t>
  </si>
  <si>
    <t>Moved to A2</t>
  </si>
  <si>
    <t>11/29-12/10/18</t>
  </si>
  <si>
    <t>5/30-6/15/18</t>
  </si>
  <si>
    <t>10/12-10/18/18</t>
  </si>
  <si>
    <t>2/10-4/13/18</t>
  </si>
  <si>
    <t>8/31-8/10/18</t>
  </si>
  <si>
    <t>4/25-5/16/18</t>
  </si>
  <si>
    <t>C2 Fall</t>
  </si>
  <si>
    <t xml:space="preserve">RBT - Eagle Lk      </t>
  </si>
  <si>
    <t>RBT-Hot Crk</t>
  </si>
  <si>
    <t>11/16-11/21/18</t>
  </si>
  <si>
    <t>4/16-4/24/18</t>
  </si>
  <si>
    <t>7/27-8/15/19</t>
  </si>
  <si>
    <t>9/24-10/12/18</t>
  </si>
  <si>
    <t>8/10-9/12/18</t>
  </si>
  <si>
    <t>10/18-10/25/18</t>
  </si>
  <si>
    <t>8/23-8/30/18</t>
  </si>
  <si>
    <t xml:space="preserve">Pond Totals </t>
  </si>
  <si>
    <t>B6-2</t>
  </si>
  <si>
    <t>Number</t>
  </si>
  <si>
    <t>RBT from Genoa</t>
  </si>
  <si>
    <t>Pond 1</t>
  </si>
  <si>
    <t>Pond 3</t>
  </si>
  <si>
    <t>7/5/18-7/12/18</t>
  </si>
  <si>
    <t>Stocking Year 2019</t>
  </si>
  <si>
    <t>RBT- Ennis</t>
  </si>
  <si>
    <t>RBT-Hot Creek</t>
  </si>
  <si>
    <t>RBT-Eagle Lk</t>
  </si>
  <si>
    <t>RBT-Shasta</t>
  </si>
  <si>
    <t>6/26-7/19/19</t>
  </si>
  <si>
    <t>9/17-9/25/19</t>
  </si>
  <si>
    <t>10/28-10/30/19</t>
  </si>
  <si>
    <t>8/24-</t>
  </si>
  <si>
    <t>4/1-4/15/19</t>
  </si>
  <si>
    <t>10/7-10/15</t>
  </si>
  <si>
    <t>4/15-5/2/19</t>
  </si>
  <si>
    <t>9/25-10/4/19</t>
  </si>
  <si>
    <t>10/31-11/26</t>
  </si>
  <si>
    <t>9/9-9/16/19</t>
  </si>
  <si>
    <t>10/17-10/25</t>
  </si>
  <si>
    <t>8/8-</t>
  </si>
  <si>
    <t>6/10-6/26/19</t>
  </si>
  <si>
    <t>5/2-5/14/19</t>
  </si>
  <si>
    <t>A8 Bottom</t>
  </si>
  <si>
    <t>8/30-9/6/19</t>
  </si>
  <si>
    <t>7/18- 8/8/19</t>
  </si>
  <si>
    <t>2/1-2/16/19</t>
  </si>
  <si>
    <t>11/26-</t>
  </si>
  <si>
    <t>5/14-5/28/19</t>
  </si>
  <si>
    <t>5/28-6/10/19</t>
  </si>
  <si>
    <t>Pond 2</t>
  </si>
  <si>
    <t>April -June</t>
  </si>
  <si>
    <t>June-August</t>
  </si>
  <si>
    <t>Stocking Year 2020</t>
  </si>
  <si>
    <t>RBT-Ennis Ir-Ar</t>
  </si>
  <si>
    <t>6/8-6/25/20</t>
  </si>
  <si>
    <t>8/10-8/25/20</t>
  </si>
  <si>
    <t>7/1-7/2/20</t>
  </si>
  <si>
    <t>4/3-4/17/20</t>
  </si>
  <si>
    <t>4/20-5/5/20</t>
  </si>
  <si>
    <t>10/12-10/26</t>
  </si>
  <si>
    <t>9/11-9/28</t>
  </si>
  <si>
    <t>9/29-10/8</t>
  </si>
  <si>
    <t>RBT- Arlee</t>
  </si>
  <si>
    <t>2/8-4/4/3/20</t>
  </si>
  <si>
    <t>7/8-7/28/20</t>
  </si>
  <si>
    <t>8/27-9/10/21</t>
  </si>
  <si>
    <t>7/28-8/10/20</t>
  </si>
  <si>
    <t>6/25-7/8/20</t>
  </si>
  <si>
    <t>8/12-8/13/20</t>
  </si>
  <si>
    <t>Projected</t>
  </si>
  <si>
    <t>Actual</t>
  </si>
  <si>
    <t>Harvest</t>
  </si>
  <si>
    <t>C7 from PIII</t>
  </si>
  <si>
    <t>A2 from PIII</t>
  </si>
  <si>
    <t>TRANS MFH</t>
  </si>
  <si>
    <t>5/5-5/20/20</t>
  </si>
  <si>
    <t>11/19-1/20/20</t>
  </si>
  <si>
    <t>5/20-6/8/20</t>
  </si>
  <si>
    <t>RBT - SHASTA</t>
  </si>
  <si>
    <t>Broods</t>
  </si>
  <si>
    <t>RBT - Shasta</t>
  </si>
  <si>
    <t>November ponds</t>
  </si>
  <si>
    <t>Fish in PIII moved to C7</t>
  </si>
  <si>
    <t>Fish in PIII moved to A2</t>
  </si>
  <si>
    <t>Stocking Year 2021</t>
  </si>
  <si>
    <t>Ennis - Arlee</t>
  </si>
  <si>
    <t>Ennis Ir-Ar</t>
  </si>
  <si>
    <t>MFH - Shasta</t>
  </si>
  <si>
    <t>Wt.</t>
  </si>
  <si>
    <t>4/5-4/16/21</t>
  </si>
  <si>
    <t>5/20-6/7/21</t>
  </si>
  <si>
    <t>7/19-8/3/21</t>
  </si>
  <si>
    <t>6/30-7/19/21</t>
  </si>
  <si>
    <t>8/12-8/26/21</t>
  </si>
  <si>
    <t>8/30-9/2/21</t>
  </si>
  <si>
    <t>4/16-4/29/21</t>
  </si>
  <si>
    <t>6/8-6/21/21</t>
  </si>
  <si>
    <t>WT.</t>
  </si>
  <si>
    <t>3/16-4/2/21</t>
  </si>
  <si>
    <t>5/7-5/20/21</t>
  </si>
  <si>
    <t>9/24-10/7/21</t>
  </si>
  <si>
    <t>6/21-6/30/21</t>
  </si>
  <si>
    <t>9/15-9/23/21</t>
  </si>
  <si>
    <t>8/3-8/12/21</t>
  </si>
  <si>
    <t>9/3-9/14/21</t>
  </si>
  <si>
    <t xml:space="preserve">Total </t>
  </si>
  <si>
    <t>Average</t>
  </si>
  <si>
    <t>F/lb.</t>
  </si>
  <si>
    <t>C6 Bottom</t>
  </si>
  <si>
    <t>C7 Bottom</t>
  </si>
  <si>
    <t>1/13 - 1/29/21</t>
  </si>
  <si>
    <t>4/20-5/6/21</t>
  </si>
  <si>
    <t>1/13 - 1/19/21</t>
  </si>
  <si>
    <t>1/13 21</t>
  </si>
  <si>
    <t>10/27-11/2/21</t>
  </si>
  <si>
    <t>10/8-10/20/21</t>
  </si>
  <si>
    <t>10/21-11/15/21</t>
  </si>
  <si>
    <t>October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</si>
  <si>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</si>
  <si>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Stocking Year 2022</t>
  </si>
  <si>
    <t>4/1 - 4/12/22</t>
  </si>
  <si>
    <t>6/13 - 6/23/22</t>
  </si>
  <si>
    <t>10/28 - 1/14/23</t>
  </si>
  <si>
    <t>7/14 - 8/2/22</t>
  </si>
  <si>
    <t>8/2 - 8/16/22</t>
  </si>
  <si>
    <t>10/26-10/28/22</t>
  </si>
  <si>
    <t>5/9 - 5/24/22</t>
  </si>
  <si>
    <t>11/8 - 4/13/22</t>
  </si>
  <si>
    <t>8/4 - 8/17/22</t>
  </si>
  <si>
    <t>4/28 5/9/22</t>
  </si>
  <si>
    <t>8/24 - 8/26/22</t>
  </si>
  <si>
    <t>10/110/25/22</t>
  </si>
  <si>
    <t>8/19 - 8/23/22</t>
  </si>
  <si>
    <t>9/19-9/27</t>
  </si>
  <si>
    <t>9/27-10/10/22</t>
  </si>
  <si>
    <t>5/25-6/7/22</t>
  </si>
  <si>
    <t xml:space="preserve"> C4</t>
  </si>
  <si>
    <t>4/12 - 4/27/22</t>
  </si>
  <si>
    <t>9/7 - 9/16/22</t>
  </si>
  <si>
    <t>6/8- 6/22/22</t>
  </si>
  <si>
    <t>6/25 - 7/13/22</t>
  </si>
  <si>
    <t>8/30 - 9/7/22</t>
  </si>
  <si>
    <t>A3 Bottom</t>
  </si>
  <si>
    <t>Held for 2023</t>
  </si>
  <si>
    <t>Jan Urbans</t>
  </si>
  <si>
    <t>Stocking Year 2023</t>
  </si>
  <si>
    <t>1-14 - 4-11-23</t>
  </si>
  <si>
    <t>5/2  - 5/10/203</t>
  </si>
  <si>
    <t>7/25 - 8/10/23</t>
  </si>
  <si>
    <t>7/19 - 8/20/23</t>
  </si>
  <si>
    <t>5/17 - 6/1/23</t>
  </si>
  <si>
    <t>8/10 - 8/18/23</t>
  </si>
  <si>
    <t xml:space="preserve">5/18 - 5/24/23 </t>
  </si>
  <si>
    <t>5/8 - 5/16/23</t>
  </si>
  <si>
    <t>Fall Urbans</t>
  </si>
  <si>
    <t>10/3/23-10/24/23</t>
  </si>
  <si>
    <t>6/13 - 6/23/23</t>
  </si>
  <si>
    <t>8/31-9/14/23</t>
  </si>
  <si>
    <t>11/8 - 11/17/23</t>
  </si>
  <si>
    <t>9/27 - 10/11/23</t>
  </si>
  <si>
    <t>10/25-11/9/23</t>
  </si>
  <si>
    <t>9/14/2023-9/27/23</t>
  </si>
  <si>
    <t>85% Harvest</t>
  </si>
  <si>
    <t>80% Harvest</t>
  </si>
  <si>
    <t>4/13 - 4/18/23</t>
  </si>
  <si>
    <t xml:space="preserve">8/18 -8/31/23 </t>
  </si>
  <si>
    <t>4/21 - 5/1/23</t>
  </si>
  <si>
    <t>6/1 - 6/9/23</t>
  </si>
  <si>
    <t xml:space="preserve">6/23 -7/10 </t>
  </si>
  <si>
    <t>7/10-7/24/23</t>
  </si>
  <si>
    <t>B1 Winter Urbans</t>
  </si>
  <si>
    <t>Held</t>
  </si>
  <si>
    <t>Stocking Year 2024</t>
  </si>
  <si>
    <t>Catchables</t>
  </si>
  <si>
    <t>Fingerlings</t>
  </si>
  <si>
    <t>5/16-6/6/24</t>
  </si>
  <si>
    <t>4/25-5/17/24</t>
  </si>
  <si>
    <t>4/3-4/25/24</t>
  </si>
  <si>
    <t>Moved to C6</t>
  </si>
  <si>
    <t>7/10-7/24/24</t>
  </si>
  <si>
    <t>1/22-4/8/24</t>
  </si>
  <si>
    <t>6/6-6/21/24</t>
  </si>
  <si>
    <t>8/26-9/16/24</t>
  </si>
  <si>
    <t>7/25-8/7/24</t>
  </si>
  <si>
    <t xml:space="preserve"> C5</t>
  </si>
  <si>
    <t>Shasta</t>
  </si>
  <si>
    <t>Fingerling Production Reduction</t>
  </si>
  <si>
    <t>6/25-7/9/24</t>
  </si>
  <si>
    <t>9/16-10/2/24</t>
  </si>
  <si>
    <t>8/13-8/26/24</t>
  </si>
  <si>
    <t>10/2-10/22/24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</si>
</sst>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rgb="FFFF0000"/>
      <name val="Arial Black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sz val="10"/>
      <name val="Arial"/>
      <family val="2"/>
    </font>
    <font>
      <b/>
      <sz val="12"/>
      <name val="Arial Black"/>
      <family val="2"/>
    </font>
    <font>
      <b/>
      <sz val="12"/>
      <color rgb="FF0000FF"/>
      <name val="Arial Black"/>
      <family val="2"/>
    </font>
    <font>
      <b/>
      <sz val="10"/>
      <name val="Arial Black"/>
      <family val="2"/>
    </font>
    <font>
      <b/>
      <sz val="12"/>
      <color rgb="FFFF000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rgb="FF0000FF"/>
      <name val="Arial"/>
      <family val="2"/>
    </font>
    <font>
      <b/>
      <sz val="12"/>
      <color rgb="FF3333FF"/>
      <name val="Arial Black"/>
      <family val="2"/>
    </font>
    <font>
      <sz val="12"/>
      <name val="Arial Black"/>
      <family val="2"/>
    </font>
    <font>
      <b/>
      <sz val="14"/>
      <color indexed="12"/>
      <name val="Arial"/>
      <family val="2"/>
    </font>
    <font>
      <sz val="12"/>
      <color rgb="FF0000FF"/>
      <name val="Arial Black"/>
      <family val="2"/>
    </font>
    <font>
      <sz val="12"/>
      <color rgb="FFFF0000"/>
      <name val="Arial Black"/>
      <family val="2"/>
    </font>
    <font>
      <sz val="1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5" fontId="3" fillId="0" borderId="0" xfId="0" applyNumberFormat="1" applyFont="1" applyAlignment="1">
      <alignment horizontal="center"/>
    </xf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2" fillId="0" borderId="1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9" fontId="7" fillId="0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/>
    <xf numFmtId="3" fontId="9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2" fontId="5" fillId="0" borderId="4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14" fontId="5" fillId="0" borderId="4" xfId="0" applyNumberFormat="1" applyFont="1" applyFill="1" applyBorder="1" applyAlignment="1">
      <alignment horizontal="center"/>
    </xf>
    <xf numFmtId="9" fontId="11" fillId="0" borderId="3" xfId="0" applyNumberFormat="1" applyFont="1" applyFill="1" applyBorder="1" applyAlignment="1">
      <alignment horizontal="center"/>
    </xf>
    <xf numFmtId="9" fontId="12" fillId="0" borderId="3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3" fontId="2" fillId="0" borderId="0" xfId="0" applyNumberFormat="1" applyFont="1"/>
    <xf numFmtId="2" fontId="13" fillId="0" borderId="0" xfId="0" applyNumberFormat="1" applyFont="1"/>
    <xf numFmtId="14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4" fontId="5" fillId="0" borderId="2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3" fontId="2" fillId="0" borderId="5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0" fontId="2" fillId="0" borderId="5" xfId="0" applyFont="1" applyBorder="1"/>
    <xf numFmtId="4" fontId="2" fillId="0" borderId="0" xfId="0" applyNumberFormat="1" applyFont="1" applyAlignment="1">
      <alignment horizontal="right"/>
    </xf>
    <xf numFmtId="3" fontId="5" fillId="0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5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0" borderId="9" xfId="0" applyFont="1" applyBorder="1"/>
    <xf numFmtId="3" fontId="2" fillId="0" borderId="4" xfId="0" applyNumberFormat="1" applyFont="1" applyBorder="1" applyAlignment="1">
      <alignment horizontal="center"/>
    </xf>
    <xf numFmtId="0" fontId="2" fillId="0" borderId="10" xfId="0" applyFont="1" applyBorder="1"/>
    <xf numFmtId="3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center"/>
    </xf>
    <xf numFmtId="1" fontId="0" fillId="0" borderId="8" xfId="0" applyNumberFormat="1" applyBorder="1"/>
    <xf numFmtId="0" fontId="0" fillId="0" borderId="0" xfId="0" applyBorder="1"/>
    <xf numFmtId="0" fontId="0" fillId="0" borderId="11" xfId="0" applyBorder="1"/>
    <xf numFmtId="0" fontId="2" fillId="0" borderId="7" xfId="0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Fill="1" applyBorder="1"/>
    <xf numFmtId="2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9" fontId="18" fillId="0" borderId="3" xfId="0" applyNumberFormat="1" applyFont="1" applyFill="1" applyBorder="1" applyAlignment="1">
      <alignment horizontal="center"/>
    </xf>
    <xf numFmtId="9" fontId="0" fillId="0" borderId="0" xfId="0" applyNumberFormat="1"/>
    <xf numFmtId="3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9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11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right"/>
    </xf>
    <xf numFmtId="14" fontId="20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169" fontId="5" fillId="0" borderId="4" xfId="0" applyNumberFormat="1" applyFont="1" applyFill="1" applyBorder="1" applyAlignment="1">
      <alignment horizontal="center"/>
    </xf>
    <xf numFmtId="169" fontId="5" fillId="0" borderId="2" xfId="0" applyNumberFormat="1" applyFont="1" applyFill="1" applyBorder="1" applyAlignment="1">
      <alignment horizontal="center"/>
    </xf>
    <xf numFmtId="0" fontId="0" fillId="0" borderId="3" xfId="0" applyBorder="1"/>
    <xf numFmtId="0" fontId="5" fillId="0" borderId="1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6" fontId="5" fillId="0" borderId="3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9" fontId="5" fillId="0" borderId="2" xfId="0" quotePrefix="1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4" fontId="2" fillId="0" borderId="12" xfId="0" applyNumberFormat="1" applyFont="1" applyBorder="1"/>
    <xf numFmtId="3" fontId="21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0" fontId="5" fillId="0" borderId="1" xfId="0" applyFont="1" applyFill="1" applyBorder="1" applyAlignment="1" applyProtection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3" fontId="13" fillId="0" borderId="0" xfId="0" applyNumberFormat="1" applyFont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3" fontId="13" fillId="0" borderId="13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/>
    </xf>
    <xf numFmtId="9" fontId="7" fillId="2" borderId="3" xfId="0" applyNumberFormat="1" applyFont="1" applyFill="1" applyBorder="1" applyAlignment="1">
      <alignment horizontal="center"/>
    </xf>
    <xf numFmtId="0" fontId="2" fillId="0" borderId="11" xfId="0" applyFont="1" applyBorder="1" applyAlignment="1">
      <alignment wrapText="1"/>
    </xf>
    <xf numFmtId="0" fontId="23" fillId="0" borderId="11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17" fillId="0" borderId="0" xfId="0" applyNumberFormat="1" applyFont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3" fontId="22" fillId="0" borderId="0" xfId="0" applyNumberFormat="1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9" fontId="7" fillId="0" borderId="10" xfId="0" applyNumberFormat="1" applyFont="1" applyFill="1" applyBorder="1" applyAlignment="1">
      <alignment horizontal="center"/>
    </xf>
    <xf numFmtId="9" fontId="7" fillId="0" borderId="12" xfId="0" applyNumberFormat="1" applyFont="1" applyFill="1" applyBorder="1" applyAlignment="1">
      <alignment horizontal="center"/>
    </xf>
    <xf numFmtId="9" fontId="2" fillId="0" borderId="0" xfId="0" applyNumberFormat="1" applyFont="1"/>
    <xf numFmtId="2" fontId="5" fillId="2" borderId="2" xfId="0" applyNumberFormat="1" applyFont="1" applyFill="1" applyBorder="1" applyAlignment="1">
      <alignment horizontal="center"/>
    </xf>
    <xf numFmtId="9" fontId="11" fillId="2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3" fillId="0" borderId="0" xfId="0" applyFont="1" applyBorder="1" applyAlignment="1">
      <alignment horizontal="center" vertical="center"/>
    </xf>
    <xf numFmtId="0" fontId="10" fillId="0" borderId="0" xfId="0" applyFont="1"/>
    <xf numFmtId="9" fontId="11" fillId="0" borderId="1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3" fontId="5" fillId="0" borderId="9" xfId="0" applyNumberFormat="1" applyFont="1" applyFill="1" applyBorder="1" applyAlignment="1">
      <alignment horizontal="center"/>
    </xf>
    <xf numFmtId="9" fontId="11" fillId="0" borderId="1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9" fontId="7" fillId="0" borderId="11" xfId="0" applyNumberFormat="1" applyFont="1" applyFill="1" applyBorder="1" applyAlignment="1">
      <alignment horizontal="center"/>
    </xf>
    <xf numFmtId="14" fontId="14" fillId="2" borderId="4" xfId="0" applyNumberFormat="1" applyFont="1" applyFill="1" applyBorder="1" applyAlignment="1">
      <alignment horizontal="center"/>
    </xf>
    <xf numFmtId="9" fontId="14" fillId="2" borderId="12" xfId="0" applyNumberFormat="1" applyFont="1" applyFill="1" applyBorder="1" applyAlignment="1">
      <alignment horizontal="center"/>
    </xf>
    <xf numFmtId="9" fontId="0" fillId="0" borderId="0" xfId="1" applyFont="1"/>
    <xf numFmtId="0" fontId="10" fillId="0" borderId="5" xfId="0" applyFont="1" applyBorder="1" applyAlignment="1">
      <alignment horizontal="center"/>
    </xf>
    <xf numFmtId="9" fontId="10" fillId="0" borderId="5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/>
    </xf>
    <xf numFmtId="9" fontId="11" fillId="4" borderId="3" xfId="0" applyNumberFormat="1" applyFont="1" applyFill="1" applyBorder="1" applyAlignment="1">
      <alignment horizontal="center"/>
    </xf>
    <xf numFmtId="0" fontId="0" fillId="4" borderId="0" xfId="0" applyFill="1"/>
    <xf numFmtId="0" fontId="5" fillId="4" borderId="0" xfId="0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17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4" fontId="9" fillId="5" borderId="2" xfId="0" applyNumberFormat="1" applyFont="1" applyFill="1" applyBorder="1" applyAlignment="1">
      <alignment horizontal="center"/>
    </xf>
    <xf numFmtId="14" fontId="5" fillId="5" borderId="2" xfId="0" applyNumberFormat="1" applyFont="1" applyFill="1" applyBorder="1" applyAlignment="1">
      <alignment horizontal="center"/>
    </xf>
    <xf numFmtId="9" fontId="11" fillId="5" borderId="3" xfId="0" applyNumberFormat="1" applyFont="1" applyFill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14" fontId="5" fillId="5" borderId="0" xfId="0" applyNumberFormat="1" applyFont="1" applyFill="1" applyBorder="1" applyAlignment="1">
      <alignment horizontal="center"/>
    </xf>
    <xf numFmtId="9" fontId="12" fillId="5" borderId="3" xfId="0" applyNumberFormat="1" applyFont="1" applyFill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0" fontId="2" fillId="5" borderId="0" xfId="0" applyFont="1" applyFill="1"/>
    <xf numFmtId="9" fontId="7" fillId="5" borderId="3" xfId="0" applyNumberFormat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/Decorah's%20Production%20Summary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6/Decorah's%20Production%20Summary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Decorah's%20Production%20Summary%2020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/Decorah's%20Production%20Summary%2020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0/Decorah's%20Production%20Summary%202020%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/Decorah's%20Production%20Summary%202021%20comple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/Decorah's%20Production%20Summary%20202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Decorah's%20Production%20Summary%20202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4/Decorah's%20Production%20Summary%20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</sheetData>
      <sheetData sheetId="1" refreshError="1"/>
      <sheetData sheetId="2">
        <row r="19">
          <cell r="B19">
            <v>8</v>
          </cell>
          <cell r="C19">
            <v>5</v>
          </cell>
          <cell r="D19">
            <v>10</v>
          </cell>
          <cell r="E19">
            <v>1</v>
          </cell>
          <cell r="F19">
            <v>11</v>
          </cell>
          <cell r="G19">
            <v>12</v>
          </cell>
          <cell r="H19">
            <v>5</v>
          </cell>
          <cell r="I19">
            <v>16</v>
          </cell>
        </row>
        <row r="36">
          <cell r="B36">
            <v>2</v>
          </cell>
          <cell r="C36">
            <v>6</v>
          </cell>
          <cell r="D36">
            <v>2</v>
          </cell>
          <cell r="E36">
            <v>15</v>
          </cell>
          <cell r="F36">
            <v>0</v>
          </cell>
          <cell r="G36">
            <v>10</v>
          </cell>
          <cell r="I36">
            <v>26</v>
          </cell>
        </row>
        <row r="53">
          <cell r="E53">
            <v>10</v>
          </cell>
          <cell r="G5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ne (2)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</sheetData>
      <sheetData sheetId="1" refreshError="1"/>
      <sheetData sheetId="2">
        <row r="19">
          <cell r="D19">
            <v>10</v>
          </cell>
          <cell r="E19">
            <v>1</v>
          </cell>
          <cell r="F19">
            <v>11</v>
          </cell>
          <cell r="G19">
            <v>12</v>
          </cell>
          <cell r="H19">
            <v>5</v>
          </cell>
          <cell r="I19">
            <v>16</v>
          </cell>
        </row>
        <row r="36">
          <cell r="B36">
            <v>2</v>
          </cell>
          <cell r="C36">
            <v>6</v>
          </cell>
          <cell r="D36">
            <v>2</v>
          </cell>
          <cell r="E36">
            <v>15</v>
          </cell>
          <cell r="F36">
            <v>0</v>
          </cell>
          <cell r="G36">
            <v>10</v>
          </cell>
          <cell r="I36">
            <v>26</v>
          </cell>
        </row>
        <row r="53">
          <cell r="E53">
            <v>10</v>
          </cell>
          <cell r="G53">
            <v>1</v>
          </cell>
        </row>
      </sheetData>
      <sheetData sheetId="3"/>
      <sheetData sheetId="4">
        <row r="19">
          <cell r="D19">
            <v>40</v>
          </cell>
          <cell r="E19">
            <v>90</v>
          </cell>
          <cell r="F19">
            <v>102</v>
          </cell>
          <cell r="G19">
            <v>34</v>
          </cell>
          <cell r="H19">
            <v>33</v>
          </cell>
          <cell r="I19">
            <v>12</v>
          </cell>
        </row>
        <row r="36">
          <cell r="B36">
            <v>20</v>
          </cell>
          <cell r="C36">
            <v>69</v>
          </cell>
          <cell r="D36">
            <v>34</v>
          </cell>
          <cell r="E36">
            <v>17</v>
          </cell>
          <cell r="F36">
            <v>22</v>
          </cell>
          <cell r="G36">
            <v>17</v>
          </cell>
          <cell r="H36">
            <v>7</v>
          </cell>
        </row>
        <row r="53">
          <cell r="C53">
            <v>40</v>
          </cell>
          <cell r="D53">
            <v>169</v>
          </cell>
          <cell r="E53">
            <v>19</v>
          </cell>
          <cell r="F53">
            <v>464</v>
          </cell>
        </row>
      </sheetData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 refreshError="1"/>
      <sheetData sheetId="1" refreshError="1"/>
      <sheetData sheetId="2">
        <row r="19">
          <cell r="B19">
            <v>8</v>
          </cell>
          <cell r="C19">
            <v>5</v>
          </cell>
          <cell r="D19">
            <v>10</v>
          </cell>
          <cell r="E19">
            <v>1</v>
          </cell>
          <cell r="F19">
            <v>11</v>
          </cell>
          <cell r="G19">
            <v>12</v>
          </cell>
          <cell r="H19">
            <v>5</v>
          </cell>
          <cell r="I19">
            <v>16</v>
          </cell>
        </row>
        <row r="36">
          <cell r="B36">
            <v>2</v>
          </cell>
          <cell r="C36">
            <v>6</v>
          </cell>
          <cell r="D36">
            <v>2</v>
          </cell>
          <cell r="E36">
            <v>15</v>
          </cell>
          <cell r="F36">
            <v>0</v>
          </cell>
          <cell r="G36">
            <v>10</v>
          </cell>
          <cell r="I36">
            <v>26</v>
          </cell>
        </row>
        <row r="53">
          <cell r="E53">
            <v>10</v>
          </cell>
          <cell r="G53">
            <v>1</v>
          </cell>
        </row>
      </sheetData>
      <sheetData sheetId="3"/>
      <sheetData sheetId="4">
        <row r="19">
          <cell r="B19">
            <v>21</v>
          </cell>
          <cell r="C19">
            <v>15</v>
          </cell>
          <cell r="D19">
            <v>40</v>
          </cell>
          <cell r="E19">
            <v>90</v>
          </cell>
          <cell r="F19">
            <v>102</v>
          </cell>
          <cell r="G19">
            <v>34</v>
          </cell>
          <cell r="H19">
            <v>33</v>
          </cell>
          <cell r="I19">
            <v>12</v>
          </cell>
        </row>
        <row r="36">
          <cell r="B36">
            <v>20</v>
          </cell>
          <cell r="C36">
            <v>69</v>
          </cell>
          <cell r="D36">
            <v>34</v>
          </cell>
          <cell r="E36">
            <v>17</v>
          </cell>
          <cell r="F36">
            <v>22</v>
          </cell>
          <cell r="G36">
            <v>17</v>
          </cell>
          <cell r="H36">
            <v>7</v>
          </cell>
        </row>
        <row r="53">
          <cell r="C53">
            <v>40</v>
          </cell>
          <cell r="D53">
            <v>169</v>
          </cell>
          <cell r="E53">
            <v>19</v>
          </cell>
          <cell r="F53">
            <v>464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Stocking Totals (1)"/>
      <sheetName val="Stocking Totals (2)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Total Catchable #'s (2)"/>
      <sheetName val="Stocking Totals (1)"/>
      <sheetName val="Stocking Totals (2)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October"/>
      <sheetName val="November"/>
      <sheetName val="December"/>
      <sheetName val="Total Catchable #'s"/>
      <sheetName val="Total Catchable #'s (2)"/>
      <sheetName val="Stocking Totals (1)"/>
      <sheetName val="Stocking Totals (2)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EAB2-BF26-4489-919D-D388D95A80FF}">
  <dimension ref="A1:P84"/>
  <sheetViews>
    <sheetView topLeftCell="A16" workbookViewId="0">
      <selection activeCell="R30" sqref="R30"/>
    </sheetView>
  </sheetViews>
  <sheetFormatPr defaultRowHeight="15" x14ac:dyDescent="0.25"/>
  <cols>
    <col min="1" max="1" width="13.5703125" bestFit="1" customWidth="1"/>
    <col min="2" max="2" width="11.28515625" customWidth="1"/>
    <col min="3" max="3" width="11.42578125" customWidth="1"/>
    <col min="4" max="4" width="12.7109375" customWidth="1"/>
    <col min="5" max="5" width="10.7109375" customWidth="1"/>
    <col min="6" max="6" width="11.7109375" customWidth="1"/>
    <col min="7" max="7" width="13.5703125" customWidth="1"/>
    <col min="8" max="8" width="11.42578125" customWidth="1"/>
    <col min="9" max="9" width="12.85546875" customWidth="1"/>
    <col min="10" max="10" width="11.7109375" customWidth="1"/>
    <col min="14" max="14" width="9.5703125" bestFit="1" customWidth="1"/>
  </cols>
  <sheetData>
    <row r="1" spans="1:16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</row>
    <row r="2" spans="1:16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</row>
    <row r="3" spans="1:16" ht="18" x14ac:dyDescent="0.25">
      <c r="A3" s="1"/>
      <c r="B3" s="1"/>
      <c r="C3" s="1"/>
      <c r="D3" s="1"/>
      <c r="E3" s="4" t="s">
        <v>2</v>
      </c>
      <c r="F3" s="1"/>
      <c r="G3" s="1"/>
      <c r="H3" s="5"/>
      <c r="J3" s="3"/>
      <c r="K3" s="1"/>
      <c r="L3" s="1"/>
      <c r="P3" s="1"/>
    </row>
    <row r="4" spans="1:16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</row>
    <row r="6" spans="1:16" ht="15.75" thickBot="1" x14ac:dyDescent="0.3">
      <c r="A6" s="1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  <c r="P6" s="1"/>
    </row>
    <row r="7" spans="1:16" x14ac:dyDescent="0.25">
      <c r="A7" s="9" t="s">
        <v>13</v>
      </c>
      <c r="B7" s="10" t="s">
        <v>14</v>
      </c>
      <c r="C7" s="10" t="s">
        <v>14</v>
      </c>
      <c r="D7" s="10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3" t="s">
        <v>15</v>
      </c>
      <c r="K7" s="8"/>
      <c r="L7" s="1"/>
      <c r="M7" s="1"/>
      <c r="N7" s="1"/>
      <c r="O7" s="1"/>
      <c r="P7" s="1"/>
    </row>
    <row r="8" spans="1:16" ht="15.75" x14ac:dyDescent="0.25">
      <c r="A8" s="1" t="s">
        <v>16</v>
      </c>
      <c r="B8" s="11">
        <f>((1/B11)/0.0004)^(1/3)</f>
        <v>11.305713312068885</v>
      </c>
      <c r="C8" s="11">
        <f t="shared" ref="C8:I8" si="0">((1/C11)/0.0004)^(1/3)</f>
        <v>11.198847622778755</v>
      </c>
      <c r="D8" s="11">
        <f t="shared" si="0"/>
        <v>11.157215834702827</v>
      </c>
      <c r="E8" s="11">
        <f t="shared" si="0"/>
        <v>11.219898137773402</v>
      </c>
      <c r="F8" s="11">
        <f t="shared" si="0"/>
        <v>10.900863460382645</v>
      </c>
      <c r="G8" s="11">
        <f t="shared" si="0"/>
        <v>10.977229266805823</v>
      </c>
      <c r="H8" s="11">
        <f t="shared" si="0"/>
        <v>10.957937084221749</v>
      </c>
      <c r="I8" s="11">
        <f t="shared" si="0"/>
        <v>11.075773399575761</v>
      </c>
      <c r="J8" s="3" t="s">
        <v>16</v>
      </c>
      <c r="K8" s="12"/>
      <c r="L8" s="1"/>
      <c r="M8" s="1"/>
      <c r="N8" s="1"/>
      <c r="O8" s="1"/>
      <c r="P8" s="1"/>
    </row>
    <row r="9" spans="1:16" ht="15.75" x14ac:dyDescent="0.25">
      <c r="A9" s="9" t="s">
        <v>17</v>
      </c>
      <c r="B9" s="13">
        <v>6526</v>
      </c>
      <c r="C9" s="13">
        <v>7635</v>
      </c>
      <c r="D9" s="13">
        <v>8563</v>
      </c>
      <c r="E9" s="13">
        <v>5993</v>
      </c>
      <c r="F9" s="13">
        <v>7621</v>
      </c>
      <c r="G9" s="13">
        <v>7291</v>
      </c>
      <c r="H9" s="13">
        <v>8689</v>
      </c>
      <c r="I9" s="13">
        <v>7212</v>
      </c>
      <c r="J9" s="3" t="s">
        <v>17</v>
      </c>
      <c r="L9" s="14"/>
      <c r="M9" s="8"/>
      <c r="N9" s="8"/>
      <c r="O9" s="8"/>
      <c r="P9" s="8"/>
    </row>
    <row r="10" spans="1:16" ht="15.75" x14ac:dyDescent="0.25">
      <c r="A10" s="1" t="s">
        <v>18</v>
      </c>
      <c r="B10" s="15">
        <f t="shared" ref="B10:I10" si="1">B9/B11</f>
        <v>3772.2543352601156</v>
      </c>
      <c r="C10" s="15">
        <f t="shared" si="1"/>
        <v>4289.3258426966295</v>
      </c>
      <c r="D10" s="15">
        <f t="shared" si="1"/>
        <v>4757.2222222222217</v>
      </c>
      <c r="E10" s="15">
        <f t="shared" si="1"/>
        <v>3385.8757062146892</v>
      </c>
      <c r="F10" s="15">
        <f t="shared" si="1"/>
        <v>3948.7046632124352</v>
      </c>
      <c r="G10" s="15">
        <f t="shared" si="1"/>
        <v>3857.6719576719579</v>
      </c>
      <c r="H10" s="15">
        <f t="shared" si="1"/>
        <v>4573.1578947368425</v>
      </c>
      <c r="I10" s="15">
        <f t="shared" si="1"/>
        <v>3919.565217391304</v>
      </c>
      <c r="J10" s="3" t="s">
        <v>18</v>
      </c>
      <c r="L10" s="14">
        <f>SUM(B10:I10)</f>
        <v>32503.777839406197</v>
      </c>
      <c r="M10" s="16"/>
      <c r="N10" s="16"/>
      <c r="O10" s="16"/>
      <c r="P10" s="16"/>
    </row>
    <row r="11" spans="1:16" ht="15.75" x14ac:dyDescent="0.25">
      <c r="A11" s="9" t="s">
        <v>19</v>
      </c>
      <c r="B11" s="11">
        <v>1.73</v>
      </c>
      <c r="C11" s="11">
        <v>1.78</v>
      </c>
      <c r="D11" s="11">
        <v>1.8</v>
      </c>
      <c r="E11" s="11">
        <v>1.77</v>
      </c>
      <c r="F11" s="11">
        <v>1.93</v>
      </c>
      <c r="G11" s="11">
        <v>1.89</v>
      </c>
      <c r="H11" s="11">
        <v>1.9</v>
      </c>
      <c r="I11" s="11">
        <v>1.84</v>
      </c>
      <c r="J11" s="3" t="s">
        <v>19</v>
      </c>
      <c r="L11" s="12"/>
      <c r="M11" s="8"/>
      <c r="N11" s="8"/>
      <c r="O11" s="8"/>
      <c r="P11" s="8"/>
    </row>
    <row r="12" spans="1:16" ht="15.75" x14ac:dyDescent="0.25">
      <c r="A12" s="1" t="s">
        <v>20</v>
      </c>
      <c r="B12" s="17" t="s">
        <v>21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26</v>
      </c>
      <c r="H12" s="17" t="s">
        <v>27</v>
      </c>
      <c r="I12" s="17" t="s">
        <v>28</v>
      </c>
      <c r="J12" s="3" t="s">
        <v>20</v>
      </c>
      <c r="L12" s="18"/>
      <c r="M12" s="8"/>
      <c r="N12" s="8"/>
      <c r="O12" s="8"/>
      <c r="P12" s="8"/>
    </row>
    <row r="13" spans="1:16" ht="20.25" thickBot="1" x14ac:dyDescent="0.45">
      <c r="A13" s="1" t="s">
        <v>29</v>
      </c>
      <c r="B13" s="19">
        <f t="shared" ref="B13:I13" si="2">B16/B17</f>
        <v>0.87833109017496636</v>
      </c>
      <c r="C13" s="19">
        <f t="shared" si="2"/>
        <v>0.84833333333333338</v>
      </c>
      <c r="D13" s="19">
        <f t="shared" si="2"/>
        <v>0.97472965281730217</v>
      </c>
      <c r="E13" s="19">
        <f t="shared" si="2"/>
        <v>0.71600955794504184</v>
      </c>
      <c r="F13" s="19">
        <f t="shared" si="2"/>
        <v>0.91819277108433739</v>
      </c>
      <c r="G13" s="19">
        <f t="shared" si="2"/>
        <v>0.85776470588235298</v>
      </c>
      <c r="H13" s="19">
        <f t="shared" si="2"/>
        <v>0.98907228229937394</v>
      </c>
      <c r="I13" s="19">
        <f t="shared" si="2"/>
        <v>0.84847058823529409</v>
      </c>
      <c r="J13" s="3" t="s">
        <v>20</v>
      </c>
      <c r="L13" s="20"/>
      <c r="M13" s="12"/>
      <c r="N13" s="12"/>
      <c r="O13" s="12"/>
      <c r="P13" s="12"/>
    </row>
    <row r="14" spans="1:16" ht="15.75" x14ac:dyDescent="0.25">
      <c r="A14" s="1" t="s">
        <v>30</v>
      </c>
      <c r="B14" s="21"/>
      <c r="C14" s="21"/>
      <c r="D14" s="21"/>
      <c r="E14" s="21"/>
      <c r="F14" s="21">
        <v>0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N14" s="12"/>
      <c r="O14" s="12"/>
      <c r="P14" s="12"/>
    </row>
    <row r="15" spans="1:16" ht="15.75" x14ac:dyDescent="0.25">
      <c r="A15" s="1" t="s">
        <v>31</v>
      </c>
      <c r="B15" s="21">
        <f t="shared" ref="B15:I15" si="3">(B11*B14)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3" t="s">
        <v>31</v>
      </c>
      <c r="L15" s="20"/>
      <c r="M15" s="12"/>
      <c r="N15" s="12"/>
      <c r="O15" s="12"/>
      <c r="P15" s="12"/>
    </row>
    <row r="16" spans="1:16" x14ac:dyDescent="0.25">
      <c r="A16" s="1" t="s">
        <v>17</v>
      </c>
      <c r="B16" s="22">
        <f t="shared" ref="B16:I16" si="4">B9+B15</f>
        <v>6526</v>
      </c>
      <c r="C16" s="22">
        <f t="shared" si="4"/>
        <v>7635</v>
      </c>
      <c r="D16" s="22">
        <f t="shared" si="4"/>
        <v>8563</v>
      </c>
      <c r="E16" s="22">
        <f t="shared" si="4"/>
        <v>5993</v>
      </c>
      <c r="F16" s="23">
        <f t="shared" si="4"/>
        <v>7621</v>
      </c>
      <c r="G16" s="23">
        <f t="shared" si="4"/>
        <v>7291</v>
      </c>
      <c r="H16" s="22">
        <f t="shared" si="4"/>
        <v>8689</v>
      </c>
      <c r="I16" s="22">
        <f t="shared" si="4"/>
        <v>7212</v>
      </c>
      <c r="J16" s="3" t="s">
        <v>17</v>
      </c>
      <c r="L16" s="24">
        <f>SUM(B16:I16)</f>
        <v>59530</v>
      </c>
    </row>
    <row r="17" spans="1:16" ht="15.75" x14ac:dyDescent="0.25">
      <c r="A17" s="1" t="s">
        <v>32</v>
      </c>
      <c r="B17" s="14">
        <v>7430</v>
      </c>
      <c r="C17" s="14">
        <v>9000</v>
      </c>
      <c r="D17" s="14">
        <v>8785</v>
      </c>
      <c r="E17" s="14">
        <v>8370</v>
      </c>
      <c r="F17" s="14">
        <v>8300</v>
      </c>
      <c r="G17" s="14">
        <v>8500</v>
      </c>
      <c r="H17" s="14">
        <v>8785</v>
      </c>
      <c r="I17" s="14">
        <v>8500</v>
      </c>
      <c r="J17" s="3" t="s">
        <v>18</v>
      </c>
      <c r="L17" s="14">
        <f>SUM(,B17:I17)</f>
        <v>67670</v>
      </c>
      <c r="M17" s="25"/>
      <c r="N17" s="25"/>
      <c r="O17" s="25"/>
      <c r="P17" s="25"/>
    </row>
    <row r="18" spans="1:16" ht="19.5" x14ac:dyDescent="0.4">
      <c r="A18" s="1" t="s">
        <v>33</v>
      </c>
      <c r="B18" s="26">
        <f>SUM(B16-B17)</f>
        <v>-904</v>
      </c>
      <c r="C18" s="26">
        <f t="shared" ref="C18:I18" si="5">SUM(C16-C17)</f>
        <v>-1365</v>
      </c>
      <c r="D18" s="26">
        <f t="shared" si="5"/>
        <v>-222</v>
      </c>
      <c r="E18" s="26">
        <f t="shared" si="5"/>
        <v>-2377</v>
      </c>
      <c r="F18" s="26">
        <f t="shared" si="5"/>
        <v>-679</v>
      </c>
      <c r="G18" s="26">
        <f t="shared" si="5"/>
        <v>-1209</v>
      </c>
      <c r="H18" s="26">
        <f t="shared" si="5"/>
        <v>-96</v>
      </c>
      <c r="I18" s="26">
        <f t="shared" si="5"/>
        <v>-1288</v>
      </c>
      <c r="J18" s="27"/>
      <c r="K18" s="28"/>
      <c r="L18" s="14">
        <f>SUM(B18:I18)</f>
        <v>-8140</v>
      </c>
      <c r="M18" s="29"/>
      <c r="N18" s="29"/>
      <c r="O18" s="29"/>
      <c r="P18" s="29"/>
    </row>
    <row r="19" spans="1:16" x14ac:dyDescent="0.25">
      <c r="A19" s="1" t="s">
        <v>34</v>
      </c>
      <c r="B19" s="22" t="e">
        <f>SUM([1]January!B19+#REF!+[1]March!B19+[1]April!B19+[1]May!B19+[1]June!B19+[1]July!B19+'[1]August '!B19+[1]September!B19+[1]October!B19+[1]November!B19+[1]December!B19)</f>
        <v>#REF!</v>
      </c>
      <c r="C19" s="22" t="e">
        <f>SUM([1]January!C19+#REF!+[1]March!C19+[1]April!C19+[1]May!C19+[1]June!C19+[1]July!C19+'[1]August '!C19+[1]September!C19+[1]October!C19+[1]November!C19+[1]December!C19)</f>
        <v>#REF!</v>
      </c>
      <c r="D19" s="22" t="e">
        <f>SUM([1]January!D19+#REF!+[1]March!D19+[1]April!D19+[1]May!D19+[1]June!D19+[1]July!D19+'[1]August '!D19+[1]September!D19+[1]October!D19+[1]November!D19+[1]December!D19)</f>
        <v>#REF!</v>
      </c>
      <c r="E19" s="22" t="e">
        <f>SUM([1]January!E19+#REF!+[1]March!E19+[1]April!E19+[1]May!E19+[1]June!E19+[1]July!E19+'[1]August '!E19+[1]September!E19+[1]October!E19+[1]November!E19+[1]December!E19)</f>
        <v>#REF!</v>
      </c>
      <c r="F19" s="23" t="e">
        <f>SUM([1]January!F19+#REF!+[1]March!F19+[1]April!F19+[1]May!F19+[1]June!F19+[1]July!F19+'[1]August '!F19+[1]September!F19+[1]October!F19+[1]November!F19+[1]December!F19)</f>
        <v>#REF!</v>
      </c>
      <c r="G19" s="23" t="e">
        <f>SUM([1]January!G19+#REF!+[1]March!G19+[1]April!G19+[1]May!G19+[1]June!G19+[1]July!G19+'[1]August '!G19+[1]September!G19+[1]October!G19+[1]November!G19+[1]December!G19)</f>
        <v>#REF!</v>
      </c>
      <c r="H19" s="22" t="e">
        <f>SUM([1]January!H19+#REF!+[1]March!H19+[1]April!H19+[1]May!H19+[1]June!H19+[1]July!H19+'[1]August '!H19+[1]September!H19+[1]October!H19+[1]November!H19+[1]December!H19)</f>
        <v>#REF!</v>
      </c>
      <c r="I19" s="22" t="e">
        <f>SUM([1]January!I19+#REF!+[1]March!I19+[1]April!I19+[1]May!I19+[1]June!I19+[1]July!I19+'[1]August '!I19+[1]September!I19+[1]October!I19+[1]November!I19+[1]December!I19)</f>
        <v>#REF!</v>
      </c>
      <c r="J19" s="3"/>
      <c r="L19" s="24"/>
    </row>
    <row r="20" spans="1:16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6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38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</row>
    <row r="22" spans="1:16" x14ac:dyDescent="0.25">
      <c r="A22" s="9" t="s">
        <v>13</v>
      </c>
      <c r="B22" s="10"/>
      <c r="C22" s="10" t="s">
        <v>14</v>
      </c>
      <c r="D22" s="10" t="s">
        <v>14</v>
      </c>
      <c r="E22" s="10" t="s">
        <v>43</v>
      </c>
      <c r="F22" s="10" t="s">
        <v>14</v>
      </c>
      <c r="G22" s="10" t="s">
        <v>14</v>
      </c>
      <c r="H22" s="10" t="s">
        <v>44</v>
      </c>
      <c r="I22" s="10" t="s">
        <v>14</v>
      </c>
      <c r="J22" s="3" t="s">
        <v>15</v>
      </c>
    </row>
    <row r="23" spans="1:16" ht="15.75" x14ac:dyDescent="0.25">
      <c r="A23" s="1" t="s">
        <v>16</v>
      </c>
      <c r="B23" s="11"/>
      <c r="C23" s="34">
        <f t="shared" ref="C23:I23" si="6">((1/C26)/0.0004)^(1/3)</f>
        <v>11.262478804436061</v>
      </c>
      <c r="D23" s="34">
        <f t="shared" si="6"/>
        <v>10.63225925707475</v>
      </c>
      <c r="E23" s="34">
        <f t="shared" si="6"/>
        <v>10.82657928943258</v>
      </c>
      <c r="F23" s="11">
        <f t="shared" si="6"/>
        <v>10.996658031710911</v>
      </c>
      <c r="G23" s="11">
        <f>((1/G26)/0.0004)^(1/3)</f>
        <v>10.754279441383932</v>
      </c>
      <c r="H23" s="11">
        <f>((1/H26)/0.0004)^(1/3)</f>
        <v>11.327581283990412</v>
      </c>
      <c r="I23" s="11">
        <f t="shared" si="6"/>
        <v>10.882101179818642</v>
      </c>
      <c r="J23" s="3" t="s">
        <v>16</v>
      </c>
    </row>
    <row r="24" spans="1:16" ht="15.75" x14ac:dyDescent="0.25">
      <c r="A24" s="9" t="s">
        <v>17</v>
      </c>
      <c r="B24" s="15"/>
      <c r="C24" s="15">
        <v>6394</v>
      </c>
      <c r="D24" s="15">
        <v>6952</v>
      </c>
      <c r="E24" s="15">
        <v>10079</v>
      </c>
      <c r="F24" s="15">
        <v>8017</v>
      </c>
      <c r="G24" s="15">
        <v>7152</v>
      </c>
      <c r="H24" s="15">
        <v>7758</v>
      </c>
      <c r="I24" s="15">
        <v>1500</v>
      </c>
      <c r="J24" s="3" t="s">
        <v>17</v>
      </c>
      <c r="L24" s="14"/>
    </row>
    <row r="25" spans="1:16" ht="15.75" x14ac:dyDescent="0.25">
      <c r="A25" s="1" t="s">
        <v>18</v>
      </c>
      <c r="B25" s="15" t="s">
        <v>45</v>
      </c>
      <c r="C25" s="35">
        <f t="shared" ref="C25:I25" si="7">C24/C26</f>
        <v>3653.7142857142858</v>
      </c>
      <c r="D25" s="35">
        <f t="shared" si="7"/>
        <v>3342.3076923076924</v>
      </c>
      <c r="E25" s="35">
        <f t="shared" si="7"/>
        <v>5116.243654822335</v>
      </c>
      <c r="F25" s="15">
        <f t="shared" si="7"/>
        <v>4264.3617021276596</v>
      </c>
      <c r="G25" s="15">
        <f t="shared" si="7"/>
        <v>3558.2089552238808</v>
      </c>
      <c r="H25" s="15">
        <f t="shared" si="7"/>
        <v>4510.4651162790697</v>
      </c>
      <c r="I25" s="15">
        <f t="shared" si="7"/>
        <v>773.19587628865986</v>
      </c>
      <c r="J25" s="3" t="s">
        <v>18</v>
      </c>
      <c r="L25" s="14">
        <f>SUM(B25:I25)</f>
        <v>25218.497282763579</v>
      </c>
    </row>
    <row r="26" spans="1:16" ht="15.75" x14ac:dyDescent="0.25">
      <c r="A26" s="9" t="s">
        <v>19</v>
      </c>
      <c r="B26" s="11"/>
      <c r="C26" s="11">
        <v>1.75</v>
      </c>
      <c r="D26" s="11">
        <v>2.08</v>
      </c>
      <c r="E26" s="34">
        <v>1.97</v>
      </c>
      <c r="F26" s="34">
        <v>1.88</v>
      </c>
      <c r="G26" s="11">
        <v>2.0099999999999998</v>
      </c>
      <c r="H26" s="11">
        <v>1.72</v>
      </c>
      <c r="I26" s="11">
        <v>1.94</v>
      </c>
      <c r="J26" s="3" t="s">
        <v>19</v>
      </c>
    </row>
    <row r="27" spans="1:16" ht="15.75" x14ac:dyDescent="0.25">
      <c r="A27" s="1" t="s">
        <v>20</v>
      </c>
      <c r="B27" s="17"/>
      <c r="C27" s="17" t="s">
        <v>46</v>
      </c>
      <c r="D27" s="17" t="s">
        <v>47</v>
      </c>
      <c r="E27" s="17" t="s">
        <v>48</v>
      </c>
      <c r="F27" s="36" t="s">
        <v>49</v>
      </c>
      <c r="G27" s="17" t="s">
        <v>50</v>
      </c>
      <c r="H27" s="17" t="s">
        <v>51</v>
      </c>
      <c r="I27" s="17" t="s">
        <v>52</v>
      </c>
      <c r="J27" s="3" t="s">
        <v>20</v>
      </c>
    </row>
    <row r="28" spans="1:16" ht="20.25" thickBot="1" x14ac:dyDescent="0.45">
      <c r="A28" s="1" t="s">
        <v>29</v>
      </c>
      <c r="B28" s="37"/>
      <c r="C28" s="19">
        <f t="shared" ref="C28:I28" si="8">C31/C32</f>
        <v>0.75223529411764711</v>
      </c>
      <c r="D28" s="19">
        <f t="shared" si="8"/>
        <v>0.92693333333333339</v>
      </c>
      <c r="E28" s="38">
        <f t="shared" si="8"/>
        <v>1.0079</v>
      </c>
      <c r="F28" s="19">
        <f t="shared" si="8"/>
        <v>0.98719369535771462</v>
      </c>
      <c r="G28" s="19">
        <f t="shared" si="8"/>
        <v>0.8414117647058823</v>
      </c>
      <c r="H28" s="19">
        <f t="shared" si="8"/>
        <v>0.91572237960339942</v>
      </c>
      <c r="I28" s="37">
        <f t="shared" si="8"/>
        <v>0.16666666666666666</v>
      </c>
      <c r="J28" s="3" t="s">
        <v>53</v>
      </c>
    </row>
    <row r="29" spans="1:16" x14ac:dyDescent="0.25">
      <c r="A29" s="9" t="s">
        <v>30</v>
      </c>
      <c r="B29" s="8"/>
      <c r="C29" s="8">
        <v>0</v>
      </c>
      <c r="D29" s="8"/>
      <c r="E29" s="8">
        <v>0</v>
      </c>
      <c r="F29" s="8"/>
      <c r="G29" s="8">
        <v>0</v>
      </c>
      <c r="H29" s="21"/>
      <c r="I29" s="8">
        <v>0</v>
      </c>
      <c r="J29" s="3" t="s">
        <v>30</v>
      </c>
    </row>
    <row r="30" spans="1:16" x14ac:dyDescent="0.25">
      <c r="A30" s="9" t="s">
        <v>31</v>
      </c>
      <c r="B30" s="21">
        <f t="shared" ref="B30:I30" si="9">(B26*B29)</f>
        <v>0</v>
      </c>
      <c r="C30" s="21">
        <f t="shared" si="9"/>
        <v>0</v>
      </c>
      <c r="D30" s="21">
        <f t="shared" si="9"/>
        <v>0</v>
      </c>
      <c r="E30" s="21">
        <f t="shared" si="9"/>
        <v>0</v>
      </c>
      <c r="F30" s="21">
        <f t="shared" si="9"/>
        <v>0</v>
      </c>
      <c r="G30" s="21">
        <f t="shared" si="9"/>
        <v>0</v>
      </c>
      <c r="H30" s="21">
        <f t="shared" si="9"/>
        <v>0</v>
      </c>
      <c r="I30" s="21">
        <f t="shared" si="9"/>
        <v>0</v>
      </c>
      <c r="J30" s="3" t="s">
        <v>31</v>
      </c>
    </row>
    <row r="31" spans="1:16" ht="15.75" x14ac:dyDescent="0.25">
      <c r="A31" s="9" t="s">
        <v>17</v>
      </c>
      <c r="B31" s="22">
        <f t="shared" ref="B31:I31" si="10">B24</f>
        <v>0</v>
      </c>
      <c r="C31" s="22">
        <f t="shared" si="10"/>
        <v>6394</v>
      </c>
      <c r="D31" s="22">
        <f t="shared" si="10"/>
        <v>6952</v>
      </c>
      <c r="E31" s="22">
        <f t="shared" si="10"/>
        <v>10079</v>
      </c>
      <c r="F31" s="22">
        <f t="shared" si="10"/>
        <v>8017</v>
      </c>
      <c r="G31" s="22">
        <f t="shared" si="10"/>
        <v>7152</v>
      </c>
      <c r="H31" s="22">
        <f t="shared" si="10"/>
        <v>7758</v>
      </c>
      <c r="I31" s="22">
        <f t="shared" si="10"/>
        <v>1500</v>
      </c>
      <c r="J31" s="3" t="s">
        <v>17</v>
      </c>
      <c r="L31" s="24">
        <f>SUM(B31:I31)</f>
        <v>47852</v>
      </c>
      <c r="M31" s="39"/>
      <c r="N31" s="39"/>
      <c r="O31" s="39"/>
      <c r="P31" s="39"/>
    </row>
    <row r="32" spans="1:16" ht="15.75" x14ac:dyDescent="0.25">
      <c r="A32" s="9" t="s">
        <v>32</v>
      </c>
      <c r="B32" s="14"/>
      <c r="C32" s="14">
        <v>8500</v>
      </c>
      <c r="D32" s="14">
        <v>7500</v>
      </c>
      <c r="E32" s="14">
        <v>10000</v>
      </c>
      <c r="F32" s="14">
        <v>8121</v>
      </c>
      <c r="G32" s="14">
        <v>8500</v>
      </c>
      <c r="H32" s="14">
        <v>8472</v>
      </c>
      <c r="I32" s="14">
        <v>9000</v>
      </c>
      <c r="J32" s="3" t="s">
        <v>18</v>
      </c>
      <c r="L32" s="14">
        <f>SUM(C32:I32)</f>
        <v>60093</v>
      </c>
    </row>
    <row r="33" spans="1:16" ht="19.5" x14ac:dyDescent="0.4">
      <c r="A33" s="9" t="s">
        <v>33</v>
      </c>
      <c r="B33" s="40">
        <f t="shared" ref="B33:I33" si="11">B31-B32</f>
        <v>0</v>
      </c>
      <c r="C33" s="41">
        <f t="shared" si="11"/>
        <v>-2106</v>
      </c>
      <c r="D33" s="41">
        <f t="shared" si="11"/>
        <v>-548</v>
      </c>
      <c r="E33" s="42">
        <f t="shared" si="11"/>
        <v>79</v>
      </c>
      <c r="F33" s="41">
        <f t="shared" si="11"/>
        <v>-104</v>
      </c>
      <c r="G33" s="41">
        <f t="shared" si="11"/>
        <v>-1348</v>
      </c>
      <c r="H33" s="41">
        <f t="shared" si="11"/>
        <v>-714</v>
      </c>
      <c r="I33" s="40">
        <f t="shared" si="11"/>
        <v>-7500</v>
      </c>
      <c r="J33" s="27"/>
      <c r="K33" s="28"/>
      <c r="L33" s="43">
        <f>SUM(A33:H33)</f>
        <v>-4741</v>
      </c>
      <c r="M33" s="28"/>
      <c r="N33" s="44">
        <f>SUM(L16,L31,L47)</f>
        <v>142399</v>
      </c>
      <c r="O33" s="45"/>
      <c r="P33" s="28"/>
    </row>
    <row r="34" spans="1:16" x14ac:dyDescent="0.25">
      <c r="A34" s="1" t="s">
        <v>34</v>
      </c>
      <c r="B34" s="22" t="e">
        <f>SUM([1]January!B36+#REF!+[1]March!B36+[1]April!B36+[1]May!B36+[1]June!B36+[1]July!B36+'[1]August '!B36+[1]September!B36+[1]October!B36+[1]November!B36+[1]December!B36)</f>
        <v>#REF!</v>
      </c>
      <c r="C34" s="22" t="e">
        <f>SUM([1]January!C36+#REF!+[1]March!C36+[1]April!C36+[1]May!C36+[1]June!C36+[1]July!C36+'[1]August '!C36+[1]September!C36+[1]October!C36+[1]November!C36+[1]December!C36)</f>
        <v>#REF!</v>
      </c>
      <c r="D34" s="22" t="e">
        <f>SUM([1]January!D36+#REF!+[1]March!D36+[1]April!D36+[1]May!D36+[1]June!D36+[1]July!D36+'[1]August '!D36+[1]September!D36+[1]October!D36+[1]November!D36+[1]December!D36)</f>
        <v>#REF!</v>
      </c>
      <c r="E34" s="22" t="e">
        <f>SUM([1]January!E36+#REF!+[1]March!E36+[1]April!E36+[1]May!E36+[1]June!E36+[1]July!E36+'[1]August '!E36+[1]September!E36+[1]October!E36+[1]November!E36+[1]December!E36)</f>
        <v>#REF!</v>
      </c>
      <c r="F34" s="22" t="e">
        <f>SUM([1]January!F36+#REF!+[1]March!F36+[1]April!F36+[1]May!F36+[1]June!F36+[1]July!F36+'[1]August '!F36+[1]September!F36+[1]October!F36+[1]November!F36+[1]December!F36)</f>
        <v>#REF!</v>
      </c>
      <c r="G34" s="22" t="e">
        <f>SUM([1]January!G36+#REF!+[1]March!G36+[1]April!G36+[1]May!G36+[1]June!G36+[1]July!G36+'[1]August '!G36+[1]September!G36+[1]October!G36+[1]November!G36+[1]December!G36)</f>
        <v>#REF!</v>
      </c>
      <c r="H34" s="22" t="e">
        <f>SUM([1]January!H36+#REF!+[1]March!H36+[1]April!H36+[1]May!H36+[1]June!H36+[1]July!H36+'[1]August '!H36+[1]September!H36+[1]October!H36+[1]November!H36+[1]December!H36)</f>
        <v>#REF!</v>
      </c>
      <c r="I34" s="22" t="e">
        <f>SUM([1]January!I36+#REF!+[1]March!I36+[1]April!I36+[1]May!I36+[1]June!I36+[1]July!I36+'[1]August '!I36+[1]September!I36+[1]October!I36+[1]November!I36+[1]December!I36)</f>
        <v>#REF!</v>
      </c>
      <c r="J34" s="3"/>
      <c r="N34" s="46">
        <f>SUM(L17,L32,L48)</f>
        <v>170649</v>
      </c>
      <c r="O34" s="1"/>
    </row>
    <row r="35" spans="1:16" x14ac:dyDescent="0.25">
      <c r="B35" s="31"/>
      <c r="C35" s="31"/>
      <c r="D35" s="30"/>
      <c r="E35" s="6"/>
      <c r="F35" s="31"/>
      <c r="G35" s="31"/>
      <c r="H35" s="31"/>
      <c r="I35" s="31"/>
      <c r="J35" s="31"/>
    </row>
    <row r="36" spans="1:16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</row>
    <row r="37" spans="1:16" ht="16.5" thickBot="1" x14ac:dyDescent="0.35">
      <c r="A37" s="1" t="s">
        <v>4</v>
      </c>
      <c r="B37" s="6" t="s">
        <v>55</v>
      </c>
      <c r="C37" s="6" t="s">
        <v>56</v>
      </c>
      <c r="D37" s="6" t="s">
        <v>57</v>
      </c>
      <c r="E37" s="6" t="s">
        <v>58</v>
      </c>
      <c r="F37" s="6" t="s">
        <v>59</v>
      </c>
      <c r="G37" s="6" t="s">
        <v>60</v>
      </c>
      <c r="H37" s="6" t="s">
        <v>61</v>
      </c>
      <c r="I37" s="6" t="s">
        <v>62</v>
      </c>
      <c r="J37" s="3" t="s">
        <v>4</v>
      </c>
      <c r="L37" s="1"/>
      <c r="M37" s="1"/>
      <c r="N37" s="47">
        <f>N33/N34</f>
        <v>0.83445551980966781</v>
      </c>
      <c r="O37" s="1" t="s">
        <v>63</v>
      </c>
      <c r="P37" s="1"/>
    </row>
    <row r="38" spans="1:16" x14ac:dyDescent="0.25">
      <c r="A38" s="9" t="s">
        <v>13</v>
      </c>
      <c r="B38" s="10" t="s">
        <v>14</v>
      </c>
      <c r="C38" s="10" t="s">
        <v>14</v>
      </c>
      <c r="D38" s="10"/>
      <c r="E38" s="10" t="s">
        <v>43</v>
      </c>
      <c r="F38" s="10"/>
      <c r="G38" s="10" t="s">
        <v>14</v>
      </c>
      <c r="H38" s="10"/>
      <c r="I38" s="10" t="s">
        <v>14</v>
      </c>
      <c r="J38" s="3" t="s">
        <v>15</v>
      </c>
      <c r="L38" s="1"/>
      <c r="M38" s="1"/>
      <c r="N38" s="1"/>
      <c r="O38" s="1"/>
      <c r="P38" s="1"/>
    </row>
    <row r="39" spans="1:16" ht="15.75" x14ac:dyDescent="0.25">
      <c r="A39" s="1" t="s">
        <v>16</v>
      </c>
      <c r="B39" s="11">
        <f t="shared" ref="B39:I39" si="12">((1/B42)/0.0004)^(1/3)</f>
        <v>10.82657928943258</v>
      </c>
      <c r="C39" s="11">
        <f t="shared" si="12"/>
        <v>10.977229266805823</v>
      </c>
      <c r="D39" s="11"/>
      <c r="E39" s="11">
        <f t="shared" si="12"/>
        <v>10.900863460382645</v>
      </c>
      <c r="F39" s="11"/>
      <c r="G39" s="11">
        <f t="shared" si="12"/>
        <v>11.241107825565228</v>
      </c>
      <c r="H39" s="11"/>
      <c r="I39" s="11">
        <f t="shared" si="12"/>
        <v>11.116196288530926</v>
      </c>
      <c r="J39" s="3" t="s">
        <v>16</v>
      </c>
      <c r="L39" s="1"/>
      <c r="M39" s="1"/>
      <c r="N39" s="1"/>
      <c r="O39" s="1"/>
      <c r="P39" s="1"/>
    </row>
    <row r="40" spans="1:16" ht="15.75" x14ac:dyDescent="0.25">
      <c r="A40" s="1" t="s">
        <v>17</v>
      </c>
      <c r="B40" s="15">
        <v>6108</v>
      </c>
      <c r="C40" s="15">
        <v>6118</v>
      </c>
      <c r="D40" s="15"/>
      <c r="E40" s="15">
        <v>9028</v>
      </c>
      <c r="F40" s="15"/>
      <c r="G40" s="15">
        <v>6747</v>
      </c>
      <c r="H40" s="15"/>
      <c r="I40" s="15">
        <f>I47+I46</f>
        <v>7427.32</v>
      </c>
      <c r="J40" s="3" t="s">
        <v>17</v>
      </c>
      <c r="L40" s="14">
        <f>SUM(B40:I40)</f>
        <v>35428.32</v>
      </c>
      <c r="M40" s="1"/>
      <c r="N40" s="1"/>
      <c r="O40" s="1"/>
      <c r="P40" s="1"/>
    </row>
    <row r="41" spans="1:16" ht="15.75" x14ac:dyDescent="0.25">
      <c r="A41" s="1" t="s">
        <v>18</v>
      </c>
      <c r="B41" s="15">
        <f t="shared" ref="B41:G41" si="13">B40/B42</f>
        <v>3100.5076142131979</v>
      </c>
      <c r="C41" s="15">
        <f t="shared" si="13"/>
        <v>3237.0370370370374</v>
      </c>
      <c r="D41" s="15" t="s">
        <v>45</v>
      </c>
      <c r="E41" s="15">
        <f t="shared" si="13"/>
        <v>4677.7202072538857</v>
      </c>
      <c r="F41" s="15" t="s">
        <v>45</v>
      </c>
      <c r="G41" s="15">
        <f t="shared" si="13"/>
        <v>3833.5227272727275</v>
      </c>
      <c r="H41" s="15" t="s">
        <v>45</v>
      </c>
      <c r="I41" s="15">
        <f>I40/I42</f>
        <v>4080.9450549450548</v>
      </c>
      <c r="J41" s="3" t="s">
        <v>18</v>
      </c>
      <c r="L41" s="14">
        <f>SUM(B41:I41)</f>
        <v>18929.732640721904</v>
      </c>
      <c r="M41" s="1"/>
      <c r="N41" s="46"/>
      <c r="O41" s="1"/>
      <c r="P41" s="1"/>
    </row>
    <row r="42" spans="1:16" ht="15.75" x14ac:dyDescent="0.25">
      <c r="A42" s="1" t="s">
        <v>19</v>
      </c>
      <c r="B42" s="11">
        <v>1.97</v>
      </c>
      <c r="C42" s="11">
        <v>1.89</v>
      </c>
      <c r="D42" s="11"/>
      <c r="E42" s="11">
        <v>1.93</v>
      </c>
      <c r="F42" s="11"/>
      <c r="G42" s="11">
        <v>1.76</v>
      </c>
      <c r="H42" s="11"/>
      <c r="I42" s="11">
        <v>1.82</v>
      </c>
      <c r="J42" s="3" t="s">
        <v>19</v>
      </c>
      <c r="K42" s="1"/>
      <c r="L42" s="1"/>
      <c r="M42" s="1"/>
      <c r="N42" s="1"/>
      <c r="O42" s="1"/>
      <c r="P42" s="1"/>
    </row>
    <row r="43" spans="1:16" ht="15.75" x14ac:dyDescent="0.25">
      <c r="A43" s="1" t="s">
        <v>20</v>
      </c>
      <c r="B43" s="17" t="s">
        <v>64</v>
      </c>
      <c r="C43" s="17" t="s">
        <v>65</v>
      </c>
      <c r="D43" s="17"/>
      <c r="E43" s="17" t="s">
        <v>66</v>
      </c>
      <c r="F43" s="48"/>
      <c r="G43" s="17" t="s">
        <v>67</v>
      </c>
      <c r="H43" s="17"/>
      <c r="I43" s="17" t="s">
        <v>68</v>
      </c>
      <c r="J43" s="3" t="s">
        <v>20</v>
      </c>
      <c r="K43" s="1"/>
      <c r="L43" s="1"/>
      <c r="M43" s="1"/>
      <c r="N43" s="1"/>
      <c r="O43" s="1"/>
      <c r="P43" s="1"/>
    </row>
    <row r="44" spans="1:16" ht="20.25" thickBot="1" x14ac:dyDescent="0.45">
      <c r="A44" s="1" t="s">
        <v>29</v>
      </c>
      <c r="B44" s="19">
        <f t="shared" ref="B44:G44" si="14">B47/B48</f>
        <v>0.78884153428903525</v>
      </c>
      <c r="C44" s="19">
        <f t="shared" si="14"/>
        <v>0.79013302337595248</v>
      </c>
      <c r="D44" s="37"/>
      <c r="E44" s="19">
        <f t="shared" si="14"/>
        <v>0.91191919191919191</v>
      </c>
      <c r="F44" s="37"/>
      <c r="G44" s="19">
        <f t="shared" si="14"/>
        <v>0.79376470588235293</v>
      </c>
      <c r="H44" s="37"/>
      <c r="I44" s="19">
        <f>I40/I48</f>
        <v>0.82525777777777776</v>
      </c>
      <c r="J44" s="3" t="s">
        <v>53</v>
      </c>
      <c r="K44" s="1"/>
      <c r="L44" s="1"/>
      <c r="M44" s="1"/>
      <c r="N44" s="1"/>
      <c r="O44" s="1"/>
      <c r="P44" s="1"/>
    </row>
    <row r="45" spans="1:16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/>
      <c r="G45" s="21">
        <v>0</v>
      </c>
      <c r="H45" s="21"/>
      <c r="I45" s="21">
        <v>226</v>
      </c>
      <c r="J45" s="3" t="s">
        <v>30</v>
      </c>
      <c r="K45" s="1"/>
      <c r="L45" s="1"/>
      <c r="M45" s="1"/>
      <c r="N45" s="1" t="s">
        <v>3</v>
      </c>
      <c r="O45" s="1"/>
      <c r="P45" s="1"/>
    </row>
    <row r="46" spans="1:16" x14ac:dyDescent="0.25">
      <c r="A46" s="1" t="s">
        <v>31</v>
      </c>
      <c r="B46" s="21">
        <f t="shared" ref="B46:I46" si="15">(B42*B45)</f>
        <v>0</v>
      </c>
      <c r="C46" s="21">
        <f t="shared" si="15"/>
        <v>0</v>
      </c>
      <c r="D46" s="21">
        <v>0</v>
      </c>
      <c r="E46" s="21">
        <f t="shared" si="15"/>
        <v>0</v>
      </c>
      <c r="F46" s="21"/>
      <c r="G46" s="21">
        <f t="shared" si="15"/>
        <v>0</v>
      </c>
      <c r="H46" s="21">
        <f t="shared" si="15"/>
        <v>0</v>
      </c>
      <c r="I46" s="21">
        <f t="shared" si="15"/>
        <v>411.32</v>
      </c>
      <c r="J46" s="3" t="s">
        <v>31</v>
      </c>
      <c r="K46" s="1"/>
      <c r="L46" s="1"/>
      <c r="M46" s="1"/>
      <c r="N46" s="1"/>
      <c r="O46" s="1"/>
      <c r="P46" s="1"/>
    </row>
    <row r="47" spans="1:16" x14ac:dyDescent="0.25">
      <c r="A47" s="1" t="s">
        <v>17</v>
      </c>
      <c r="B47" s="22">
        <f t="shared" ref="B47:H47" si="16">B40</f>
        <v>6108</v>
      </c>
      <c r="C47" s="22">
        <f t="shared" si="16"/>
        <v>6118</v>
      </c>
      <c r="D47" s="22">
        <f t="shared" si="16"/>
        <v>0</v>
      </c>
      <c r="E47" s="22">
        <f t="shared" si="16"/>
        <v>9028</v>
      </c>
      <c r="F47" s="22">
        <f t="shared" si="16"/>
        <v>0</v>
      </c>
      <c r="G47" s="22">
        <f t="shared" si="16"/>
        <v>6747</v>
      </c>
      <c r="H47" s="22">
        <f t="shared" si="16"/>
        <v>0</v>
      </c>
      <c r="I47" s="22">
        <v>7016</v>
      </c>
      <c r="J47" s="3" t="s">
        <v>17</v>
      </c>
      <c r="K47" s="1"/>
      <c r="L47" s="24">
        <f>SUM(B47:I47)</f>
        <v>35017</v>
      </c>
      <c r="M47" s="1"/>
      <c r="N47" s="1"/>
      <c r="O47" s="1"/>
      <c r="P47" s="1"/>
    </row>
    <row r="48" spans="1:16" ht="15.75" x14ac:dyDescent="0.25">
      <c r="A48" s="1" t="s">
        <v>32</v>
      </c>
      <c r="B48" s="14">
        <v>7743</v>
      </c>
      <c r="C48" s="14">
        <v>7743</v>
      </c>
      <c r="D48" s="14"/>
      <c r="E48" s="14">
        <v>9900</v>
      </c>
      <c r="F48" s="14"/>
      <c r="G48" s="14">
        <v>8500</v>
      </c>
      <c r="H48" s="14"/>
      <c r="I48" s="14">
        <v>9000</v>
      </c>
      <c r="J48" s="3" t="s">
        <v>18</v>
      </c>
      <c r="K48" s="1"/>
      <c r="L48" s="14">
        <f>SUM(B48:I48)</f>
        <v>42886</v>
      </c>
      <c r="M48" s="39"/>
      <c r="N48" s="39"/>
      <c r="O48" s="39"/>
      <c r="P48" s="39"/>
    </row>
    <row r="49" spans="1:16" ht="19.5" x14ac:dyDescent="0.4">
      <c r="A49" s="1" t="s">
        <v>33</v>
      </c>
      <c r="B49" s="41">
        <f>B47-B48</f>
        <v>-1635</v>
      </c>
      <c r="C49" s="41">
        <f t="shared" ref="C49:H49" si="17">C47-C48</f>
        <v>-1625</v>
      </c>
      <c r="D49" s="40">
        <f t="shared" si="17"/>
        <v>0</v>
      </c>
      <c r="E49" s="41">
        <f t="shared" si="17"/>
        <v>-872</v>
      </c>
      <c r="F49" s="40">
        <f t="shared" si="17"/>
        <v>0</v>
      </c>
      <c r="G49" s="41">
        <f t="shared" si="17"/>
        <v>-1753</v>
      </c>
      <c r="H49" s="40">
        <f t="shared" si="17"/>
        <v>0</v>
      </c>
      <c r="I49" s="41">
        <f>I47-I48</f>
        <v>-1984</v>
      </c>
      <c r="J49" s="27"/>
      <c r="K49" s="45"/>
      <c r="L49" s="14">
        <f>SUM(B49:I49)</f>
        <v>-7869</v>
      </c>
      <c r="M49" s="45"/>
      <c r="N49" s="45"/>
      <c r="O49" s="45"/>
      <c r="P49" s="45"/>
    </row>
    <row r="50" spans="1:16" x14ac:dyDescent="0.25">
      <c r="A50" s="1" t="s">
        <v>34</v>
      </c>
      <c r="B50" s="22" t="e">
        <f>SUM([1]January!B53+#REF!+[1]March!B53+[1]April!B53+[1]May!B53+[1]June!B53+[1]July!B53+'[1]August '!B53+[1]September!B53+[1]October!B53+[1]November!B53+[1]December!B53)</f>
        <v>#REF!</v>
      </c>
      <c r="C50" s="22" t="e">
        <f>SUM([1]January!C53+#REF!+[1]March!C53+[1]April!C53+[1]May!C53+[1]June!C53+[1]July!C53+'[1]August '!C53+[1]September!C53+[1]October!C53+[1]November!C53+[1]December!C53)</f>
        <v>#REF!</v>
      </c>
      <c r="D50" s="22" t="e">
        <f>SUM([1]January!D53+#REF!+[1]March!D53+[1]April!D53+[1]May!D53+[1]June!D53+[1]July!D53+'[1]August '!D53+[1]September!D53+[1]October!D53+[1]November!D53+[1]December!D53)</f>
        <v>#REF!</v>
      </c>
      <c r="E50" s="22" t="e">
        <f>SUM([1]January!E53+#REF!+[1]March!E53+[1]April!E53+[1]May!E53+[1]June!E53+[1]July!E53+'[1]August '!E53+[1]September!E53+[1]October!E53+[1]November!E53+[1]December!E53)</f>
        <v>#REF!</v>
      </c>
      <c r="F50" s="22" t="e">
        <f>SUM([1]January!F53+#REF!+[1]March!F53+[1]April!F53+[1]May!F53+[1]June!F53+[1]July!F53+'[1]August '!F53+[1]September!F53+[1]October!F53+[1]November!F53+[1]December!F53)</f>
        <v>#REF!</v>
      </c>
      <c r="G50" s="22" t="e">
        <f>SUM([1]January!G53+#REF!+[1]March!G53+[1]April!G53+[1]May!G53+[1]June!G53+[1]July!G53+'[1]August '!G53+[1]September!G53+[1]October!G53+[1]November!G53+[1]December!G53)</f>
        <v>#REF!</v>
      </c>
      <c r="H50" s="22" t="e">
        <f>SUM([1]January!H53+#REF!+[1]March!H53+[1]April!H53+[1]May!H53+[1]June!H53+[1]July!H53+'[1]August '!H53+[1]September!H53+[1]October!H53+[1]November!H53+[1]December!H53)</f>
        <v>#REF!</v>
      </c>
      <c r="I50" s="22" t="e">
        <f>SUM([1]January!I53+#REF!+[1]March!I53+[1]April!I53+[1]May!I53+[1]June!I53+[1]July!I53+'[1]August '!I53+[1]September!I53+[1]October!I53+[1]November!I53+[1]December!I53)</f>
        <v>#REF!</v>
      </c>
      <c r="J50" s="3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</row>
    <row r="52" spans="1:16" x14ac:dyDescent="0.25">
      <c r="A52" s="1"/>
      <c r="C52" s="1"/>
      <c r="D52" s="1"/>
      <c r="E52" s="1"/>
      <c r="F52" s="1"/>
      <c r="H52" s="1"/>
      <c r="I52" s="6" t="s">
        <v>69</v>
      </c>
      <c r="J52" s="3"/>
      <c r="K52" s="1"/>
      <c r="L52" s="1"/>
      <c r="M52" s="1"/>
      <c r="N52" s="1"/>
      <c r="O52" s="1"/>
      <c r="P52" s="1"/>
    </row>
    <row r="53" spans="1:16" ht="16.5" thickBot="1" x14ac:dyDescent="0.3">
      <c r="A53" s="1"/>
      <c r="B53" s="1"/>
      <c r="C53" s="1"/>
      <c r="D53" s="1" t="s">
        <v>70</v>
      </c>
      <c r="E53" s="7" t="s">
        <v>12</v>
      </c>
      <c r="F53" s="6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 t="s">
        <v>15</v>
      </c>
      <c r="E54" s="10"/>
      <c r="F54" s="10" t="s">
        <v>76</v>
      </c>
      <c r="G54" s="10" t="s">
        <v>76</v>
      </c>
      <c r="H54" s="3" t="s">
        <v>77</v>
      </c>
      <c r="I54" s="22">
        <v>3665</v>
      </c>
      <c r="J54" s="51">
        <v>1.84</v>
      </c>
      <c r="K54" s="52">
        <f t="shared" ref="K54:K60" si="18">I54/J54</f>
        <v>1991.8478260869565</v>
      </c>
      <c r="L54" s="1"/>
      <c r="M54" s="1"/>
      <c r="N54" s="1"/>
      <c r="O54" s="1"/>
    </row>
    <row r="55" spans="1:16" ht="15.75" x14ac:dyDescent="0.25">
      <c r="A55" s="1"/>
      <c r="B55" s="1"/>
      <c r="C55" s="1"/>
      <c r="D55" s="1" t="s">
        <v>16</v>
      </c>
      <c r="E55" s="11"/>
      <c r="F55" s="11" t="e">
        <f>((1/F58)/0.0004)^(1/3)</f>
        <v>#DIV/0!</v>
      </c>
      <c r="G55" s="11" t="e">
        <f>((1/G58)/0.0004)^(1/3)</f>
        <v>#DIV/0!</v>
      </c>
      <c r="H55" s="3" t="s">
        <v>78</v>
      </c>
      <c r="I55" s="22">
        <v>3831</v>
      </c>
      <c r="J55" s="51">
        <v>2.0699999999999998</v>
      </c>
      <c r="K55" s="52">
        <f t="shared" si="18"/>
        <v>1850.7246376811595</v>
      </c>
      <c r="L55" s="1"/>
      <c r="M55" s="1"/>
      <c r="N55" s="1"/>
      <c r="O55" s="1"/>
    </row>
    <row r="56" spans="1:16" ht="15.75" x14ac:dyDescent="0.25">
      <c r="A56" s="1"/>
      <c r="B56" s="1"/>
      <c r="C56" s="1"/>
      <c r="D56" s="1" t="s">
        <v>17</v>
      </c>
      <c r="E56" s="15"/>
      <c r="F56" s="15">
        <v>10909</v>
      </c>
      <c r="G56" s="15">
        <v>9054</v>
      </c>
      <c r="H56" s="3" t="s">
        <v>79</v>
      </c>
      <c r="I56" s="22">
        <v>1558</v>
      </c>
      <c r="J56" s="51">
        <v>2.0699999999999998</v>
      </c>
      <c r="K56" s="52">
        <f t="shared" si="18"/>
        <v>752.65700483091791</v>
      </c>
      <c r="L56" s="1"/>
      <c r="M56" s="1"/>
      <c r="N56" s="1"/>
      <c r="O56" s="1"/>
    </row>
    <row r="57" spans="1:16" ht="15.75" x14ac:dyDescent="0.25">
      <c r="D57" s="1" t="s">
        <v>18</v>
      </c>
      <c r="E57" s="15" t="s">
        <v>45</v>
      </c>
      <c r="F57" s="15" t="e">
        <f>F56/F58</f>
        <v>#DIV/0!</v>
      </c>
      <c r="G57" s="15" t="e">
        <f>G56/G58</f>
        <v>#DIV/0!</v>
      </c>
      <c r="H57" s="3" t="s">
        <v>80</v>
      </c>
      <c r="I57" s="6">
        <v>1832</v>
      </c>
      <c r="J57" s="6">
        <v>1.92</v>
      </c>
      <c r="K57" s="52">
        <f t="shared" si="18"/>
        <v>954.16666666666674</v>
      </c>
      <c r="L57" s="1"/>
      <c r="M57" s="1"/>
      <c r="N57" s="1"/>
      <c r="O57" s="1"/>
    </row>
    <row r="58" spans="1:16" ht="15.75" x14ac:dyDescent="0.25">
      <c r="D58" s="1" t="s">
        <v>19</v>
      </c>
      <c r="E58" s="11"/>
      <c r="F58" s="53"/>
      <c r="G58" s="11"/>
      <c r="H58" s="3" t="s">
        <v>81</v>
      </c>
      <c r="I58" s="22">
        <v>3796</v>
      </c>
      <c r="J58" s="51">
        <v>1.85</v>
      </c>
      <c r="K58" s="52">
        <f t="shared" si="18"/>
        <v>2051.8918918918916</v>
      </c>
      <c r="L58" s="1"/>
      <c r="M58" s="1"/>
      <c r="N58" s="1"/>
      <c r="O58" s="1"/>
    </row>
    <row r="59" spans="1:16" ht="15.75" x14ac:dyDescent="0.25">
      <c r="D59" s="1" t="s">
        <v>20</v>
      </c>
      <c r="E59" s="17"/>
      <c r="F59" s="17"/>
      <c r="G59" s="17"/>
      <c r="H59" s="3" t="s">
        <v>82</v>
      </c>
      <c r="I59" s="22">
        <v>3492</v>
      </c>
      <c r="J59" s="51">
        <v>1.85</v>
      </c>
      <c r="K59" s="52">
        <f t="shared" si="18"/>
        <v>1887.5675675675675</v>
      </c>
      <c r="L59" s="1"/>
      <c r="M59" s="1"/>
      <c r="N59" s="1"/>
      <c r="O59" s="1"/>
    </row>
    <row r="60" spans="1:16" ht="20.25" thickBot="1" x14ac:dyDescent="0.45">
      <c r="D60" s="1" t="s">
        <v>29</v>
      </c>
      <c r="E60" s="37"/>
      <c r="F60" s="19">
        <f>F63/F64</f>
        <v>0.90157024793388429</v>
      </c>
      <c r="G60" s="19">
        <f>G63/G64</f>
        <v>0.89803610394762945</v>
      </c>
      <c r="H60" s="3" t="s">
        <v>83</v>
      </c>
      <c r="I60" s="22">
        <v>1789</v>
      </c>
      <c r="J60" s="51">
        <v>1.9</v>
      </c>
      <c r="K60" s="52">
        <f t="shared" si="18"/>
        <v>941.57894736842104</v>
      </c>
      <c r="L60" s="1"/>
      <c r="M60" s="1"/>
      <c r="N60" s="1"/>
      <c r="O60" s="1"/>
    </row>
    <row r="61" spans="1:16" ht="15.75" x14ac:dyDescent="0.25">
      <c r="D61" s="1" t="s">
        <v>84</v>
      </c>
      <c r="E61" s="20">
        <v>0</v>
      </c>
      <c r="F61" s="20">
        <v>0</v>
      </c>
      <c r="G61" s="20">
        <v>0</v>
      </c>
      <c r="H61" s="3" t="s">
        <v>85</v>
      </c>
      <c r="I61" s="54">
        <v>0</v>
      </c>
      <c r="J61" s="55">
        <v>0</v>
      </c>
      <c r="K61" s="52"/>
      <c r="L61" s="1"/>
      <c r="M61" s="1"/>
      <c r="N61" s="1"/>
      <c r="O61" s="1"/>
    </row>
    <row r="62" spans="1:16" ht="15.75" x14ac:dyDescent="0.25">
      <c r="D62" s="1" t="s">
        <v>86</v>
      </c>
      <c r="E62" s="20">
        <v>0</v>
      </c>
      <c r="F62" s="20">
        <v>0</v>
      </c>
      <c r="G62" s="20">
        <v>0</v>
      </c>
      <c r="H62" s="56" t="s">
        <v>87</v>
      </c>
      <c r="I62" s="57">
        <v>0</v>
      </c>
      <c r="J62" s="50">
        <v>0</v>
      </c>
      <c r="K62" s="58"/>
      <c r="L62" s="59"/>
      <c r="M62" s="1"/>
      <c r="N62" s="1"/>
      <c r="O62" s="1"/>
    </row>
    <row r="63" spans="1:16" x14ac:dyDescent="0.25">
      <c r="D63" s="1" t="s">
        <v>17</v>
      </c>
      <c r="E63" s="23"/>
      <c r="F63" s="22">
        <f>F56</f>
        <v>10909</v>
      </c>
      <c r="G63" s="22">
        <f>G56</f>
        <v>9054</v>
      </c>
      <c r="H63" s="3"/>
      <c r="I63" s="54">
        <f>SUM(I54:I62)</f>
        <v>19963</v>
      </c>
      <c r="J63" s="6"/>
      <c r="K63" s="54">
        <f>SUM(K54:K62)</f>
        <v>10430.434542093581</v>
      </c>
      <c r="L63" s="60">
        <f>I63/K63</f>
        <v>1.913918343424363</v>
      </c>
      <c r="M63" s="1"/>
      <c r="N63" s="1"/>
      <c r="O63" s="1"/>
      <c r="P63" s="1"/>
    </row>
    <row r="64" spans="1:16" ht="15.75" x14ac:dyDescent="0.25">
      <c r="D64" s="1" t="s">
        <v>32</v>
      </c>
      <c r="E64" s="23"/>
      <c r="F64" s="14">
        <v>12100</v>
      </c>
      <c r="G64" s="14">
        <v>10082</v>
      </c>
      <c r="H64" s="1" t="s">
        <v>32</v>
      </c>
      <c r="I64" s="22">
        <f>SUM(F64:G64)</f>
        <v>22182</v>
      </c>
      <c r="J64" s="1"/>
      <c r="K64" s="52"/>
      <c r="L64" s="1"/>
      <c r="M64" s="1"/>
      <c r="N64" s="1"/>
      <c r="O64" s="1"/>
      <c r="P64" s="1"/>
    </row>
    <row r="65" spans="1:16" ht="19.5" x14ac:dyDescent="0.4">
      <c r="D65" s="1" t="s">
        <v>88</v>
      </c>
      <c r="E65" s="61">
        <f>E63-E64</f>
        <v>0</v>
      </c>
      <c r="F65" s="62">
        <f>F63-F64</f>
        <v>-1191</v>
      </c>
      <c r="G65" s="62">
        <f>G63-G64</f>
        <v>-1028</v>
      </c>
      <c r="H65" s="1" t="s">
        <v>29</v>
      </c>
      <c r="I65" s="63">
        <f>I63/I64</f>
        <v>0.89996393472184655</v>
      </c>
      <c r="J65" s="64"/>
      <c r="L65" s="1"/>
      <c r="M65" s="1"/>
      <c r="N65" s="1"/>
      <c r="O65" s="1"/>
      <c r="P65" s="1"/>
    </row>
    <row r="66" spans="1:16" x14ac:dyDescent="0.25">
      <c r="D66" s="1" t="s">
        <v>34</v>
      </c>
      <c r="E66" s="23"/>
      <c r="F66" s="22"/>
      <c r="G66" s="22"/>
      <c r="H66" s="1"/>
      <c r="I66" s="3"/>
      <c r="J66" s="1"/>
      <c r="K66" s="1"/>
      <c r="L66" s="1"/>
      <c r="M66" s="1"/>
      <c r="N66" s="1"/>
      <c r="O66" s="1"/>
      <c r="P66" s="1"/>
    </row>
    <row r="67" spans="1:16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</row>
    <row r="68" spans="1:16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</row>
    <row r="69" spans="1:16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</row>
    <row r="70" spans="1:16" x14ac:dyDescent="0.25">
      <c r="D70" s="1"/>
      <c r="E70" s="22"/>
      <c r="F70" s="22"/>
      <c r="G70" s="22"/>
      <c r="H70" s="1"/>
      <c r="I70" s="1"/>
      <c r="J70" s="3"/>
      <c r="K70" s="1"/>
      <c r="L70" s="1"/>
      <c r="M70" s="1"/>
      <c r="N70" s="1"/>
      <c r="O70" s="1"/>
      <c r="P70" s="1"/>
    </row>
    <row r="71" spans="1:16" x14ac:dyDescent="0.25">
      <c r="D71" s="1"/>
      <c r="E71" s="51"/>
      <c r="F71" s="51"/>
      <c r="G71" s="51"/>
      <c r="H71" s="1"/>
      <c r="I71" s="1"/>
      <c r="J71" s="3"/>
      <c r="K71" s="1"/>
      <c r="L71" s="1"/>
      <c r="M71" s="1"/>
      <c r="N71" s="1"/>
      <c r="O71" s="1"/>
      <c r="P71" s="1"/>
    </row>
    <row r="72" spans="1:16" ht="15.75" thickBot="1" x14ac:dyDescent="0.3">
      <c r="A72" s="1"/>
      <c r="B72" s="1"/>
      <c r="C72" s="1"/>
      <c r="D72" s="1"/>
      <c r="E72" s="1"/>
      <c r="F72" s="1"/>
      <c r="G72" s="1"/>
      <c r="J72" s="33"/>
      <c r="P72" s="1"/>
    </row>
    <row r="73" spans="1:16" x14ac:dyDescent="0.25">
      <c r="D73" s="65"/>
      <c r="E73" s="66"/>
      <c r="F73" s="66"/>
      <c r="G73" s="66"/>
      <c r="H73" s="67"/>
      <c r="M73" s="1"/>
      <c r="N73" s="1"/>
    </row>
    <row r="74" spans="1:16" x14ac:dyDescent="0.25">
      <c r="D74" s="68" t="s">
        <v>89</v>
      </c>
      <c r="E74" s="69"/>
      <c r="F74" s="70"/>
      <c r="G74" s="71" t="s">
        <v>90</v>
      </c>
      <c r="H74" s="72"/>
    </row>
    <row r="75" spans="1:16" x14ac:dyDescent="0.25">
      <c r="D75" s="73" t="s">
        <v>17</v>
      </c>
      <c r="E75" s="54">
        <f>SUM(B9:I9,B24:I24,B40:I40)</f>
        <v>142810.32</v>
      </c>
      <c r="F75" s="70"/>
      <c r="G75" s="70" t="s">
        <v>17</v>
      </c>
      <c r="H75" s="74">
        <f>SUM(F56)</f>
        <v>10909</v>
      </c>
    </row>
    <row r="76" spans="1:16" x14ac:dyDescent="0.25">
      <c r="D76" s="73" t="s">
        <v>18</v>
      </c>
      <c r="E76" s="54">
        <f>SUM(B10:I10,B25:D25,F25,H25,B41:D41,H41)</f>
        <v>54612.171287085133</v>
      </c>
      <c r="F76" s="70"/>
      <c r="G76" s="70" t="s">
        <v>18</v>
      </c>
      <c r="H76" s="74" t="e">
        <f>SUM(F57)</f>
        <v>#DIV/0!</v>
      </c>
    </row>
    <row r="77" spans="1:16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8">
        <f>B66</f>
        <v>0</v>
      </c>
    </row>
    <row r="78" spans="1:16" ht="15.75" thickBot="1" x14ac:dyDescent="0.3">
      <c r="J78" s="33"/>
    </row>
    <row r="79" spans="1:16" x14ac:dyDescent="0.25">
      <c r="D79" s="65" t="s">
        <v>91</v>
      </c>
      <c r="E79" s="66"/>
      <c r="F79" s="66"/>
      <c r="G79" s="79"/>
      <c r="J79" s="33"/>
    </row>
    <row r="80" spans="1:16" x14ac:dyDescent="0.25">
      <c r="A80" s="1"/>
      <c r="D80" s="73" t="s">
        <v>92</v>
      </c>
      <c r="E80" s="70"/>
      <c r="F80" s="80"/>
      <c r="G80" s="74">
        <f>SUM(E75,H75)</f>
        <v>153719.32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 t="e">
        <f>SUM(E76,H76)</f>
        <v>#DIV/0!</v>
      </c>
      <c r="H81" s="1"/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SUM(B18:I18,B33:I33,B49:E49,H49)</f>
        <v>-24513</v>
      </c>
      <c r="H82" s="1"/>
      <c r="J82" s="33"/>
    </row>
    <row r="83" spans="1:10" x14ac:dyDescent="0.25">
      <c r="J83" s="33"/>
    </row>
    <row r="84" spans="1:10" x14ac:dyDescent="0.25">
      <c r="J84" s="33"/>
    </row>
  </sheetData>
  <mergeCells count="1">
    <mergeCell ref="D74:E74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77DE-51B2-4D17-9F1F-9AEFFB9FDBE0}">
  <dimension ref="A1:R83"/>
  <sheetViews>
    <sheetView tabSelected="1" workbookViewId="0">
      <selection activeCell="O3" sqref="O3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14.140625" bestFit="1" customWidth="1"/>
    <col min="4" max="4" width="13.5703125" customWidth="1"/>
    <col min="5" max="5" width="13.42578125" customWidth="1"/>
    <col min="6" max="7" width="14.140625" customWidth="1"/>
    <col min="8" max="8" width="13.140625" customWidth="1"/>
    <col min="9" max="9" width="12.7109375" customWidth="1"/>
    <col min="10" max="10" width="11.85546875" bestFit="1" customWidth="1"/>
  </cols>
  <sheetData>
    <row r="1" spans="1:18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  <c r="Q1" s="1"/>
    </row>
    <row r="2" spans="1:18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  <c r="Q2" s="1"/>
    </row>
    <row r="3" spans="1:18" ht="18" x14ac:dyDescent="0.25">
      <c r="A3" s="1"/>
      <c r="B3" s="1"/>
      <c r="C3" s="1"/>
      <c r="D3" s="1"/>
      <c r="E3" s="4" t="s">
        <v>321</v>
      </c>
      <c r="F3" s="1"/>
      <c r="G3" s="1"/>
      <c r="H3" s="5"/>
      <c r="J3" s="3"/>
      <c r="K3" s="1"/>
      <c r="L3" s="1"/>
      <c r="P3" s="1"/>
      <c r="Q3" s="1"/>
    </row>
    <row r="4" spans="1:18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  <c r="Q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  <c r="Q5" s="1"/>
    </row>
    <row r="6" spans="1:18" ht="15.75" thickBot="1" x14ac:dyDescent="0.3">
      <c r="A6" s="1" t="s">
        <v>4</v>
      </c>
      <c r="B6" s="6" t="s">
        <v>5</v>
      </c>
      <c r="C6" s="6" t="s">
        <v>6</v>
      </c>
      <c r="D6" s="7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7" t="s">
        <v>12</v>
      </c>
      <c r="J6" s="3" t="s">
        <v>4</v>
      </c>
      <c r="K6" s="8"/>
      <c r="P6" s="1"/>
      <c r="Q6" s="1"/>
    </row>
    <row r="7" spans="1:18" x14ac:dyDescent="0.25">
      <c r="A7" s="9" t="s">
        <v>13</v>
      </c>
      <c r="B7" s="10" t="s">
        <v>235</v>
      </c>
      <c r="C7" s="10" t="s">
        <v>234</v>
      </c>
      <c r="D7" s="10" t="s">
        <v>235</v>
      </c>
      <c r="E7" s="10"/>
      <c r="F7" s="214" t="s">
        <v>236</v>
      </c>
      <c r="G7" s="10" t="s">
        <v>236</v>
      </c>
      <c r="H7" s="10" t="s">
        <v>234</v>
      </c>
      <c r="I7" s="10" t="s">
        <v>235</v>
      </c>
      <c r="J7" s="3" t="s">
        <v>15</v>
      </c>
      <c r="K7" s="8"/>
      <c r="L7" s="1"/>
      <c r="M7" s="1"/>
      <c r="P7" s="1"/>
      <c r="Q7" s="1"/>
    </row>
    <row r="8" spans="1:18" ht="15.75" x14ac:dyDescent="0.25">
      <c r="A8" s="1" t="s">
        <v>16</v>
      </c>
      <c r="B8" s="11">
        <f>((1/B11)/0.0004)^(1/3)</f>
        <v>10.666557105131394</v>
      </c>
      <c r="C8" s="11">
        <f t="shared" ref="C8:I8" si="0">((1/C11)/0.0004)^(1/3)</f>
        <v>10.515594959922201</v>
      </c>
      <c r="D8" s="11">
        <f t="shared" si="0"/>
        <v>10.754279441383932</v>
      </c>
      <c r="E8" s="11"/>
      <c r="F8" s="215">
        <f>((1/F11)/0.0004)^(1/3)</f>
        <v>7.0915417419972009</v>
      </c>
      <c r="G8" s="11" t="e">
        <f t="shared" si="0"/>
        <v>#DIV/0!</v>
      </c>
      <c r="H8" s="12">
        <f t="shared" si="0"/>
        <v>10.683872974985421</v>
      </c>
      <c r="I8" s="11">
        <f t="shared" si="0"/>
        <v>10.754279441383932</v>
      </c>
      <c r="J8" s="3" t="s">
        <v>16</v>
      </c>
      <c r="K8" s="12"/>
      <c r="L8" s="59" t="s">
        <v>322</v>
      </c>
      <c r="M8" s="216" t="s">
        <v>323</v>
      </c>
      <c r="P8" s="1"/>
      <c r="Q8" s="1"/>
    </row>
    <row r="9" spans="1:18" ht="15.75" x14ac:dyDescent="0.25">
      <c r="A9" s="9" t="s">
        <v>17</v>
      </c>
      <c r="B9" s="83">
        <f>B16+B15</f>
        <v>8035</v>
      </c>
      <c r="C9" s="83">
        <f t="shared" ref="C9:I9" si="1">C16+C15</f>
        <v>9698</v>
      </c>
      <c r="D9" s="83">
        <f t="shared" si="1"/>
        <v>9971</v>
      </c>
      <c r="E9" s="83"/>
      <c r="F9" s="217">
        <f>F16+F15</f>
        <v>2201</v>
      </c>
      <c r="G9" s="83">
        <f t="shared" si="1"/>
        <v>0</v>
      </c>
      <c r="H9" s="83">
        <f t="shared" si="1"/>
        <v>7115</v>
      </c>
      <c r="I9" s="15">
        <f t="shared" si="1"/>
        <v>10052</v>
      </c>
      <c r="J9" s="3" t="s">
        <v>17</v>
      </c>
      <c r="L9" s="14">
        <f>SUM(B9:D9,H9:I9)</f>
        <v>44871</v>
      </c>
      <c r="M9" s="14">
        <f>F9</f>
        <v>2201</v>
      </c>
      <c r="P9" s="8"/>
      <c r="Q9" s="8"/>
      <c r="R9" s="85"/>
    </row>
    <row r="10" spans="1:18" ht="15.75" x14ac:dyDescent="0.25">
      <c r="A10" s="1" t="s">
        <v>18</v>
      </c>
      <c r="B10" s="15">
        <f>B9/B11</f>
        <v>3900.4854368932038</v>
      </c>
      <c r="C10" s="15">
        <f>C9/C11</f>
        <v>4510.6976744186049</v>
      </c>
      <c r="D10" s="15">
        <f>D9/D11</f>
        <v>4960.6965174129355</v>
      </c>
      <c r="E10" s="15" t="s">
        <v>45</v>
      </c>
      <c r="F10" s="217">
        <f>F9/F11</f>
        <v>313.9800285306705</v>
      </c>
      <c r="G10" s="15" t="e">
        <f>G9/G11</f>
        <v>#DIV/0!</v>
      </c>
      <c r="H10" s="15">
        <f>H9/H11</f>
        <v>3470.7317073170734</v>
      </c>
      <c r="I10" s="15">
        <f>I9/I11</f>
        <v>5000.9950248756222</v>
      </c>
      <c r="J10" s="3" t="s">
        <v>18</v>
      </c>
      <c r="K10" s="179" t="s">
        <v>237</v>
      </c>
      <c r="L10" s="14">
        <f>SUM(B10:D10,H10:I10)</f>
        <v>21843.606360917442</v>
      </c>
      <c r="M10" s="14">
        <f>F10</f>
        <v>313.9800285306705</v>
      </c>
      <c r="P10" s="16"/>
      <c r="Q10" s="16"/>
      <c r="R10" s="85"/>
    </row>
    <row r="11" spans="1:18" ht="15.75" x14ac:dyDescent="0.25">
      <c r="A11" s="9" t="s">
        <v>19</v>
      </c>
      <c r="B11" s="116">
        <v>2.06</v>
      </c>
      <c r="C11" s="116">
        <v>2.15</v>
      </c>
      <c r="D11" s="185">
        <v>2.0099999999999998</v>
      </c>
      <c r="E11" s="15"/>
      <c r="F11" s="218">
        <v>7.01</v>
      </c>
      <c r="G11" s="116"/>
      <c r="H11" s="185">
        <v>2.0499999999999998</v>
      </c>
      <c r="I11" s="116">
        <v>2.0099999999999998</v>
      </c>
      <c r="J11" s="3" t="s">
        <v>19</v>
      </c>
      <c r="L11" s="12"/>
      <c r="M11" s="8"/>
      <c r="P11" s="8"/>
      <c r="Q11" s="8"/>
      <c r="R11" s="85"/>
    </row>
    <row r="12" spans="1:18" ht="15.75" x14ac:dyDescent="0.25">
      <c r="A12" s="1" t="s">
        <v>20</v>
      </c>
      <c r="B12" s="83" t="s">
        <v>324</v>
      </c>
      <c r="C12" s="11" t="s">
        <v>325</v>
      </c>
      <c r="D12" s="83" t="s">
        <v>326</v>
      </c>
      <c r="E12" s="11"/>
      <c r="F12" s="219">
        <v>45296</v>
      </c>
      <c r="G12" s="116" t="s">
        <v>327</v>
      </c>
      <c r="H12" s="11" t="s">
        <v>328</v>
      </c>
      <c r="I12" s="83" t="s">
        <v>329</v>
      </c>
      <c r="J12" s="3" t="s">
        <v>20</v>
      </c>
      <c r="L12" s="18"/>
      <c r="M12" s="8"/>
      <c r="P12" s="8"/>
      <c r="Q12" s="8"/>
      <c r="R12" s="85"/>
    </row>
    <row r="13" spans="1:18" ht="20.25" thickBot="1" x14ac:dyDescent="0.45">
      <c r="A13" s="1" t="s">
        <v>29</v>
      </c>
      <c r="B13" s="19">
        <f t="shared" ref="B13:I13" si="2">B16/B17</f>
        <v>0.73399104777564628</v>
      </c>
      <c r="C13" s="19">
        <f t="shared" si="2"/>
        <v>0.91155183757871983</v>
      </c>
      <c r="D13" s="19">
        <f t="shared" si="2"/>
        <v>0.96004236472174076</v>
      </c>
      <c r="E13" s="37"/>
      <c r="F13" s="220"/>
      <c r="G13" s="37">
        <f t="shared" si="2"/>
        <v>0</v>
      </c>
      <c r="H13" s="19">
        <f t="shared" si="2"/>
        <v>0.85455200576507329</v>
      </c>
      <c r="I13" s="19">
        <f t="shared" si="2"/>
        <v>0.96265083317372147</v>
      </c>
      <c r="J13" s="3" t="s">
        <v>20</v>
      </c>
      <c r="L13" s="160">
        <f>L9/L17</f>
        <v>0.88433188805676</v>
      </c>
      <c r="P13" s="12"/>
      <c r="Q13" s="12"/>
      <c r="R13" s="85"/>
    </row>
    <row r="14" spans="1:18" ht="15.75" x14ac:dyDescent="0.25">
      <c r="A14" s="1" t="s">
        <v>30</v>
      </c>
      <c r="B14" s="21"/>
      <c r="C14" s="21"/>
      <c r="D14" s="21"/>
      <c r="E14" s="21"/>
      <c r="F14" s="21"/>
      <c r="G14" s="21"/>
      <c r="H14" s="21"/>
      <c r="I14" s="21"/>
      <c r="J14" s="3" t="s">
        <v>30</v>
      </c>
      <c r="L14" s="20"/>
      <c r="M14" s="12"/>
      <c r="N14">
        <v>2023</v>
      </c>
      <c r="P14" s="12"/>
      <c r="Q14" s="12"/>
      <c r="R14" s="85"/>
    </row>
    <row r="15" spans="1:18" ht="15.75" x14ac:dyDescent="0.25">
      <c r="A15" s="1" t="s">
        <v>31</v>
      </c>
      <c r="B15" s="21">
        <f>B14*B11</f>
        <v>0</v>
      </c>
      <c r="C15" s="21">
        <f t="shared" ref="C15:I15" si="3">(C11*C14)</f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3" t="s">
        <v>31</v>
      </c>
      <c r="L15" s="20"/>
      <c r="M15" s="12"/>
      <c r="N15" s="123">
        <f>SUM(L9,L24,L40)</f>
        <v>101198</v>
      </c>
      <c r="P15" s="12"/>
      <c r="Q15" s="12"/>
      <c r="R15" s="85"/>
    </row>
    <row r="16" spans="1:18" ht="15.75" x14ac:dyDescent="0.25">
      <c r="A16" s="1" t="s">
        <v>17</v>
      </c>
      <c r="B16" s="61">
        <v>8035</v>
      </c>
      <c r="C16" s="61">
        <v>9698</v>
      </c>
      <c r="D16" s="61">
        <v>9971</v>
      </c>
      <c r="E16" s="61"/>
      <c r="F16" s="61">
        <v>2201</v>
      </c>
      <c r="G16" s="61"/>
      <c r="H16" s="61">
        <v>7115</v>
      </c>
      <c r="I16" s="61">
        <v>10052</v>
      </c>
      <c r="J16" s="3" t="s">
        <v>17</v>
      </c>
      <c r="L16" s="14">
        <f>SUM(B16:D16,H16:I16)</f>
        <v>44871</v>
      </c>
      <c r="M16" s="43">
        <f>F16</f>
        <v>2201</v>
      </c>
      <c r="N16" s="123">
        <f>SUM(L17,L32,L48)</f>
        <v>116265</v>
      </c>
      <c r="O16" s="191">
        <f>N15/N16</f>
        <v>0.87040811938244522</v>
      </c>
      <c r="Q16" s="1"/>
    </row>
    <row r="17" spans="1:18" ht="15.75" x14ac:dyDescent="0.25">
      <c r="A17" s="1" t="s">
        <v>32</v>
      </c>
      <c r="B17" s="25">
        <v>10947</v>
      </c>
      <c r="C17" s="25">
        <v>10639</v>
      </c>
      <c r="D17" s="39">
        <v>10386</v>
      </c>
      <c r="E17" s="25"/>
      <c r="F17" s="25">
        <v>2201</v>
      </c>
      <c r="G17" s="25">
        <v>10193</v>
      </c>
      <c r="H17" s="25">
        <v>8326</v>
      </c>
      <c r="I17" s="25">
        <v>10442</v>
      </c>
      <c r="J17" s="6" t="s">
        <v>32</v>
      </c>
      <c r="L17" s="14">
        <f>SUM(B17:D17,H17:I17)</f>
        <v>50740</v>
      </c>
      <c r="M17" s="43">
        <f>F17</f>
        <v>2201</v>
      </c>
      <c r="Q17" s="1"/>
    </row>
    <row r="18" spans="1:18" ht="19.5" x14ac:dyDescent="0.4">
      <c r="A18" s="1" t="s">
        <v>33</v>
      </c>
      <c r="B18" s="127">
        <f t="shared" ref="B18:I18" si="4">B16-B17</f>
        <v>-2912</v>
      </c>
      <c r="C18" s="126">
        <f t="shared" si="4"/>
        <v>-941</v>
      </c>
      <c r="D18" s="127">
        <f t="shared" si="4"/>
        <v>-415</v>
      </c>
      <c r="E18" s="127">
        <f t="shared" si="4"/>
        <v>0</v>
      </c>
      <c r="F18" s="126">
        <f t="shared" si="4"/>
        <v>0</v>
      </c>
      <c r="G18" s="127">
        <f t="shared" si="4"/>
        <v>-10193</v>
      </c>
      <c r="H18" s="126">
        <f t="shared" si="4"/>
        <v>-1211</v>
      </c>
      <c r="I18" s="162">
        <f t="shared" si="4"/>
        <v>-390</v>
      </c>
      <c r="J18" s="27"/>
      <c r="K18" s="28"/>
      <c r="L18" s="14">
        <f>SUM(B18:D18,H18:I18)</f>
        <v>-5869</v>
      </c>
      <c r="M18" s="29"/>
      <c r="N18" s="28"/>
      <c r="O18" s="28"/>
      <c r="P18" s="29"/>
      <c r="Q18" s="29"/>
      <c r="R18" s="29"/>
    </row>
    <row r="19" spans="1:18" x14ac:dyDescent="0.25">
      <c r="A19" s="1" t="s">
        <v>34</v>
      </c>
      <c r="B19" s="22" t="e">
        <f>SUM(#REF!+#REF!+[9]March!B19+[9]April!B19+[9]May!B19+[9]June!B19+[9]July!B19+'[9]August '!B19+[9]September!B19+[9]October!B19+[9]November!B19+[9]December!B19)</f>
        <v>#REF!</v>
      </c>
      <c r="C19" s="22" t="e">
        <f>SUM(#REF!+#REF!+[9]March!C19+[9]April!C19+[9]May!C19+[9]June!C19+[9]July!C19+'[9]August '!C19+[9]September!C19+[9]October!C19+[9]November!C19+[9]December!C19)</f>
        <v>#REF!</v>
      </c>
      <c r="D19" s="22" t="e">
        <f>SUM(#REF!+#REF!+[9]March!D19+[9]April!D19+[9]May!D19+[9]June!D19+[9]July!D19+'[9]August '!D19+[9]September!D19+[9]October!D19+[9]November!D19+[9]December!D19)</f>
        <v>#REF!</v>
      </c>
      <c r="E19" s="22" t="e">
        <f>SUM(#REF!+#REF!+[9]March!E19+[9]April!E19+[9]May!E19+[9]June!E19+[9]July!E19+'[9]August '!E19+[9]September!E19+[9]October!E19+[9]November!E19+[9]December!E19)</f>
        <v>#REF!</v>
      </c>
      <c r="F19" s="23" t="e">
        <f>SUM(#REF!+#REF!+[9]March!F19+[9]April!F19+[9]May!F19+[9]June!F19+[9]July!F19+'[9]August '!F19+[9]September!F19+[9]October!F19+[9]November!F19+[9]December!F19)</f>
        <v>#REF!</v>
      </c>
      <c r="G19" s="23" t="e">
        <f>SUM(#REF!+#REF!+[9]March!G19+[9]April!G19+[9]May!G19+[9]June!G19+[9]July!G19+'[9]August '!G19+[9]September!G19+[9]October!G19+[9]November!G19+[9]December!G19)</f>
        <v>#REF!</v>
      </c>
      <c r="H19" s="22" t="e">
        <f>SUM(#REF!+#REF!+[9]March!H19+[9]April!H19+[9]May!H19+[9]June!H19+[9]July!H19+'[9]August '!H19+[9]September!H19+[9]October!H19+[9]November!H19+[9]December!H19)</f>
        <v>#REF!</v>
      </c>
      <c r="I19" s="23" t="e">
        <f>SUM(#REF!+#REF!+[9]March!I19+[9]April!I19+[9]May!I19+[9]June!I19+[9]July!I19+'[9]August '!I19+[9]September!I19+[9]October!I19+[9]November!I19+[9]December!I19)</f>
        <v>#REF!</v>
      </c>
      <c r="J19" s="3"/>
      <c r="L19" s="24"/>
      <c r="Q19" s="1"/>
    </row>
    <row r="20" spans="1:18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8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  <c r="Q21" s="1"/>
    </row>
    <row r="22" spans="1:18" x14ac:dyDescent="0.25">
      <c r="A22" s="9" t="s">
        <v>13</v>
      </c>
      <c r="B22" s="10" t="s">
        <v>236</v>
      </c>
      <c r="C22" s="10"/>
      <c r="D22" s="10" t="s">
        <v>234</v>
      </c>
      <c r="E22" s="214" t="s">
        <v>236</v>
      </c>
      <c r="F22" s="10"/>
      <c r="G22" s="10" t="s">
        <v>234</v>
      </c>
      <c r="H22" s="10" t="s">
        <v>234</v>
      </c>
      <c r="I22" s="10"/>
      <c r="J22" s="3" t="s">
        <v>15</v>
      </c>
      <c r="Q22" s="1"/>
    </row>
    <row r="23" spans="1:18" ht="15.75" x14ac:dyDescent="0.25">
      <c r="A23" s="1" t="s">
        <v>16</v>
      </c>
      <c r="B23" s="11">
        <f t="shared" ref="B23:H23" si="5">((1/B26)/0.0004)^(1/3)</f>
        <v>11.05578098535263</v>
      </c>
      <c r="C23" s="12"/>
      <c r="D23" s="11">
        <f t="shared" si="5"/>
        <v>10.86346740846674</v>
      </c>
      <c r="E23" s="215">
        <f>((1/E26)/0.0004)^(1/3)</f>
        <v>7.2835858356377106</v>
      </c>
      <c r="F23" s="11"/>
      <c r="G23" s="12">
        <f t="shared" si="5"/>
        <v>10.754279441383932</v>
      </c>
      <c r="H23" s="11">
        <f t="shared" si="5"/>
        <v>10.82657928943258</v>
      </c>
      <c r="I23" s="11"/>
      <c r="J23" s="3" t="s">
        <v>16</v>
      </c>
      <c r="Q23" s="1"/>
    </row>
    <row r="24" spans="1:18" ht="15.75" x14ac:dyDescent="0.25">
      <c r="A24" s="9" t="s">
        <v>17</v>
      </c>
      <c r="B24" s="83">
        <f>B31+B30</f>
        <v>4415</v>
      </c>
      <c r="C24" s="186"/>
      <c r="D24" s="83">
        <f>D31+D30</f>
        <v>9313</v>
      </c>
      <c r="E24" s="217">
        <f>E31+E30</f>
        <v>9252</v>
      </c>
      <c r="F24" s="15"/>
      <c r="G24" s="186">
        <f>G31+G30</f>
        <v>7684</v>
      </c>
      <c r="H24" s="83">
        <f>H31+H30</f>
        <v>5910</v>
      </c>
      <c r="I24" s="83"/>
      <c r="J24" s="3" t="s">
        <v>17</v>
      </c>
      <c r="L24" s="14">
        <f>SUM(B24:D24,G24:H24)</f>
        <v>27322</v>
      </c>
      <c r="M24" s="43">
        <f>E24</f>
        <v>9252</v>
      </c>
      <c r="Q24" s="1"/>
    </row>
    <row r="25" spans="1:18" ht="15.75" x14ac:dyDescent="0.25">
      <c r="A25" s="1" t="s">
        <v>18</v>
      </c>
      <c r="B25" s="15">
        <f>B24/B26</f>
        <v>2386.4864864864862</v>
      </c>
      <c r="C25" s="20" t="s">
        <v>45</v>
      </c>
      <c r="D25" s="15">
        <f>D24/D26</f>
        <v>4775.8974358974356</v>
      </c>
      <c r="E25" s="217">
        <f>E24/E26</f>
        <v>1429.9845440494591</v>
      </c>
      <c r="F25" s="117" t="s">
        <v>45</v>
      </c>
      <c r="G25" s="15">
        <f>G24/G26</f>
        <v>3822.8855721393038</v>
      </c>
      <c r="H25" s="15">
        <f>H24/H26</f>
        <v>3000</v>
      </c>
      <c r="I25" s="117" t="s">
        <v>45</v>
      </c>
      <c r="J25" s="3" t="s">
        <v>18</v>
      </c>
      <c r="K25" s="179" t="s">
        <v>246</v>
      </c>
      <c r="L25" s="14">
        <f>SUM(B25:D25,G25:H25)</f>
        <v>13985.269494523225</v>
      </c>
      <c r="M25" s="43">
        <f>E25</f>
        <v>1429.9845440494591</v>
      </c>
      <c r="Q25" s="1"/>
    </row>
    <row r="26" spans="1:18" ht="15.75" x14ac:dyDescent="0.25">
      <c r="A26" s="9" t="s">
        <v>19</v>
      </c>
      <c r="B26" s="116">
        <v>1.85</v>
      </c>
      <c r="C26" s="185"/>
      <c r="D26" s="116">
        <v>1.95</v>
      </c>
      <c r="E26" s="221">
        <v>6.47</v>
      </c>
      <c r="F26" s="116"/>
      <c r="G26" s="185">
        <v>2.0099999999999998</v>
      </c>
      <c r="H26" s="116">
        <v>1.97</v>
      </c>
      <c r="I26" s="116"/>
      <c r="J26" s="3" t="s">
        <v>19</v>
      </c>
      <c r="Q26" s="1"/>
    </row>
    <row r="27" spans="1:18" ht="15.75" x14ac:dyDescent="0.25">
      <c r="A27" s="1" t="s">
        <v>20</v>
      </c>
      <c r="B27" s="11"/>
      <c r="C27" s="12"/>
      <c r="D27" s="109" t="s">
        <v>330</v>
      </c>
      <c r="E27" s="222">
        <v>45299</v>
      </c>
      <c r="F27" s="11"/>
      <c r="G27" s="12" t="s">
        <v>331</v>
      </c>
      <c r="H27" s="17" t="s">
        <v>332</v>
      </c>
      <c r="I27" s="11"/>
      <c r="J27" s="3" t="s">
        <v>20</v>
      </c>
      <c r="L27" s="160">
        <f>L24/L32</f>
        <v>0.95826318742985406</v>
      </c>
      <c r="Q27" s="1"/>
    </row>
    <row r="28" spans="1:18" ht="20.25" thickBot="1" x14ac:dyDescent="0.45">
      <c r="A28" s="1" t="s">
        <v>29</v>
      </c>
      <c r="B28" s="38">
        <f t="shared" ref="B28:H28" si="6">B31/B32</f>
        <v>1.0511904761904762</v>
      </c>
      <c r="C28" s="188"/>
      <c r="D28" s="19">
        <f t="shared" si="6"/>
        <v>0.94481079435933857</v>
      </c>
      <c r="E28" s="223">
        <f t="shared" si="6"/>
        <v>1.0086122315491115</v>
      </c>
      <c r="F28" s="37"/>
      <c r="G28" s="188">
        <f t="shared" si="6"/>
        <v>0.95882206139256299</v>
      </c>
      <c r="H28" s="19">
        <f t="shared" si="6"/>
        <v>0.91755938518863533</v>
      </c>
      <c r="I28" s="19"/>
      <c r="J28" s="3" t="s">
        <v>53</v>
      </c>
      <c r="N28" s="192" t="s">
        <v>303</v>
      </c>
      <c r="O28" s="193" t="s">
        <v>311</v>
      </c>
      <c r="P28" s="193" t="s">
        <v>312</v>
      </c>
      <c r="Q28" s="1"/>
    </row>
    <row r="29" spans="1:18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>
        <v>0</v>
      </c>
      <c r="I29" s="8">
        <v>0</v>
      </c>
      <c r="J29" s="3" t="s">
        <v>30</v>
      </c>
      <c r="N29" s="123"/>
      <c r="O29" s="123">
        <f>N29*0.85</f>
        <v>0</v>
      </c>
      <c r="P29" s="123">
        <f>N29*0.8</f>
        <v>0</v>
      </c>
      <c r="Q29" s="1"/>
    </row>
    <row r="30" spans="1:18" x14ac:dyDescent="0.25">
      <c r="A30" s="9" t="s">
        <v>31</v>
      </c>
      <c r="B30" s="21">
        <f t="shared" ref="B30:G30" si="7">(B26*B29)</f>
        <v>0</v>
      </c>
      <c r="C30" s="21">
        <f t="shared" si="7"/>
        <v>0</v>
      </c>
      <c r="D30" s="21">
        <f t="shared" si="7"/>
        <v>0</v>
      </c>
      <c r="E30" s="21">
        <f t="shared" si="7"/>
        <v>0</v>
      </c>
      <c r="F30" s="21">
        <f t="shared" si="7"/>
        <v>0</v>
      </c>
      <c r="G30" s="21">
        <f t="shared" si="7"/>
        <v>0</v>
      </c>
      <c r="H30" s="21">
        <v>0</v>
      </c>
      <c r="I30" s="21">
        <f>(I26*I29)</f>
        <v>0</v>
      </c>
      <c r="J30" s="3" t="s">
        <v>31</v>
      </c>
      <c r="Q30" s="1"/>
    </row>
    <row r="31" spans="1:18" ht="15.75" x14ac:dyDescent="0.25">
      <c r="A31" s="9" t="s">
        <v>17</v>
      </c>
      <c r="B31" s="23">
        <v>4415</v>
      </c>
      <c r="C31" s="23"/>
      <c r="D31" s="23">
        <v>9313</v>
      </c>
      <c r="E31" s="23">
        <v>9252</v>
      </c>
      <c r="F31" s="23"/>
      <c r="G31" s="23">
        <v>7684</v>
      </c>
      <c r="H31" s="23">
        <v>5910</v>
      </c>
      <c r="I31" s="23"/>
      <c r="J31" s="3" t="s">
        <v>17</v>
      </c>
      <c r="L31" s="14">
        <f>SUM(B31:D31,G31:H31)</f>
        <v>27322</v>
      </c>
      <c r="M31" s="14">
        <f>E31</f>
        <v>9252</v>
      </c>
      <c r="P31" s="39"/>
      <c r="Q31" s="39"/>
      <c r="R31" s="39"/>
    </row>
    <row r="32" spans="1:18" ht="15.75" x14ac:dyDescent="0.25">
      <c r="A32" s="9" t="s">
        <v>32</v>
      </c>
      <c r="B32" s="25">
        <v>4200</v>
      </c>
      <c r="C32" s="25"/>
      <c r="D32" s="25">
        <v>9857</v>
      </c>
      <c r="E32" s="39">
        <v>9173</v>
      </c>
      <c r="F32" s="25"/>
      <c r="G32" s="25">
        <v>8014</v>
      </c>
      <c r="H32" s="25">
        <v>6441</v>
      </c>
      <c r="I32" s="25"/>
      <c r="J32" s="6" t="s">
        <v>32</v>
      </c>
      <c r="L32" s="14">
        <f>SUM(B32:D32,G32:H32)</f>
        <v>28512</v>
      </c>
      <c r="M32" s="14">
        <f>E32</f>
        <v>9173</v>
      </c>
      <c r="P32" s="181" t="s">
        <v>254</v>
      </c>
      <c r="Q32" s="181" t="s">
        <v>255</v>
      </c>
    </row>
    <row r="33" spans="1:18" ht="19.5" x14ac:dyDescent="0.4">
      <c r="A33" s="9" t="s">
        <v>33</v>
      </c>
      <c r="B33" s="127">
        <f t="shared" ref="B33:I33" si="8">B31-B32</f>
        <v>215</v>
      </c>
      <c r="C33" s="127">
        <f t="shared" si="8"/>
        <v>0</v>
      </c>
      <c r="D33" s="127">
        <f t="shared" si="8"/>
        <v>-544</v>
      </c>
      <c r="E33" s="126">
        <f t="shared" si="8"/>
        <v>79</v>
      </c>
      <c r="F33" s="162">
        <f t="shared" si="8"/>
        <v>0</v>
      </c>
      <c r="G33" s="127">
        <f t="shared" si="8"/>
        <v>-330</v>
      </c>
      <c r="H33" s="127">
        <f t="shared" si="8"/>
        <v>-531</v>
      </c>
      <c r="I33" s="127">
        <f t="shared" si="8"/>
        <v>0</v>
      </c>
      <c r="J33" s="28"/>
      <c r="K33" s="28"/>
      <c r="L33" s="14">
        <f>SUM(B33:D33,G33,H33)</f>
        <v>-1190</v>
      </c>
      <c r="M33" s="28"/>
      <c r="N33" s="182" t="s">
        <v>218</v>
      </c>
      <c r="O33" s="182" t="s">
        <v>219</v>
      </c>
      <c r="P33" s="182" t="s">
        <v>237</v>
      </c>
      <c r="Q33" s="182" t="s">
        <v>256</v>
      </c>
      <c r="R33" s="28"/>
    </row>
    <row r="34" spans="1:18" x14ac:dyDescent="0.25">
      <c r="A34" s="1" t="s">
        <v>34</v>
      </c>
      <c r="B34" s="22" t="e">
        <f>SUM(#REF!+#REF!+[9]March!B36+[9]April!B36+[9]May!B36+[9]June!B36+[9]July!B36+'[9]August '!B36+[9]September!B36+[9]October!B36+[9]November!B36+[9]December!B36)</f>
        <v>#REF!</v>
      </c>
      <c r="C34" s="22" t="e">
        <f>SUM(#REF!+#REF!+[9]March!C36+[9]April!C36+[9]May!C36+[9]June!C36+[9]July!C36+'[9]August '!C36+[9]September!C36+[9]October!C36+[9]November!C36+[9]December!C36)</f>
        <v>#REF!</v>
      </c>
      <c r="D34" s="22" t="e">
        <f>SUM(#REF!+#REF!+[9]March!D36+[9]April!D36+[9]May!D36+[9]June!D36+[9]July!D36+'[9]August '!D36+[9]September!D36+[9]October!D36+[9]November!D36+[9]December!D36)</f>
        <v>#REF!</v>
      </c>
      <c r="E34" s="22" t="e">
        <f>SUM(#REF!+#REF!+[9]March!E36+[9]April!E36+[9]May!E36+[9]June!E36+[9]July!E36+'[9]August '!E36+[9]September!E36+[9]October!E36+[9]November!E36+[9]December!E36)</f>
        <v>#REF!</v>
      </c>
      <c r="F34" s="23" t="e">
        <f>SUM(#REF!+#REF!+[9]March!F36+[9]April!F36+[9]May!F36+[9]June!F36+[9]July!F36+'[9]August '!F36+[9]September!F36+[9]October!F36+[9]November!F36+[9]December!F36)</f>
        <v>#REF!</v>
      </c>
      <c r="G34" s="22" t="e">
        <f>SUM(#REF!+#REF!+[9]March!G36+[9]April!G36+[9]May!G36+[9]June!G36+[9]July!G36+'[9]August '!G36+[9]September!G36+[9]October!G36+[9]November!G36+[9]December!G36)</f>
        <v>#REF!</v>
      </c>
      <c r="H34" s="22" t="e">
        <f>SUM(#REF!+#REF!+[9]March!H36+[9]April!H36+[9]May!H36+[9]June!H36+[9]July!H36+'[9]August '!H36+[9]September!H36+[9]October!H36+[9]November!H36+[9]December!H36)</f>
        <v>#REF!</v>
      </c>
      <c r="I34" s="22" t="e">
        <f>SUM(#REF!+#REF!+[9]March!I36+[9]April!I36+[9]May!I36+[9]June!I36+[9]July!I36+'[9]August '!I36+[9]September!I36+[9]October!I36+[9]November!I36+[9]December!I36)</f>
        <v>#REF!</v>
      </c>
      <c r="J34" s="3"/>
      <c r="N34" s="46">
        <f>SUM(L17,L32,L48,G64,L64)</f>
        <v>124099</v>
      </c>
      <c r="O34" s="46">
        <f>SUM(L9,L24,L40,G63,L56)</f>
        <v>105115</v>
      </c>
      <c r="P34" s="46">
        <f>SUM(L10,L25,L41,L57)</f>
        <v>50282.426320962077</v>
      </c>
      <c r="Q34" s="93">
        <f>O34/P34</f>
        <v>2.0904918018281657</v>
      </c>
      <c r="R34" s="1" t="s">
        <v>322</v>
      </c>
    </row>
    <row r="35" spans="1:18" x14ac:dyDescent="0.25">
      <c r="B35" s="31"/>
      <c r="C35" s="31"/>
      <c r="D35" s="30"/>
      <c r="E35" s="6"/>
      <c r="F35" s="31"/>
      <c r="G35" s="31"/>
      <c r="H35" s="31"/>
      <c r="I35" s="31"/>
      <c r="J35" s="31"/>
      <c r="N35" s="46">
        <f>SUM(M17,M32,M48)</f>
        <v>20711</v>
      </c>
      <c r="O35" s="46">
        <f>SUM(M16,M31,M47)</f>
        <v>20616</v>
      </c>
      <c r="P35" s="46">
        <f>SUM(M10,M25,M41)</f>
        <v>3400.926597896585</v>
      </c>
      <c r="Q35" s="93">
        <f>O35/P35</f>
        <v>6.0618773756395221</v>
      </c>
      <c r="R35" s="1" t="s">
        <v>323</v>
      </c>
    </row>
    <row r="36" spans="1:18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  <c r="Q36" s="1"/>
    </row>
    <row r="37" spans="1:18" ht="15.75" thickBot="1" x14ac:dyDescent="0.3">
      <c r="A37" s="1" t="s">
        <v>4</v>
      </c>
      <c r="B37" s="7" t="s">
        <v>55</v>
      </c>
      <c r="C37" s="6" t="s">
        <v>56</v>
      </c>
      <c r="D37" s="6" t="s">
        <v>57</v>
      </c>
      <c r="E37" s="6" t="s">
        <v>56</v>
      </c>
      <c r="F37" s="7" t="s">
        <v>333</v>
      </c>
      <c r="G37" s="7" t="s">
        <v>60</v>
      </c>
      <c r="H37" s="6" t="s">
        <v>61</v>
      </c>
      <c r="I37" s="7" t="s">
        <v>134</v>
      </c>
      <c r="J37" s="3" t="s">
        <v>4</v>
      </c>
      <c r="L37" s="1"/>
      <c r="M37" s="1"/>
      <c r="N37" s="170">
        <f>O34/N34</f>
        <v>0.84702535878613039</v>
      </c>
      <c r="O37" s="1" t="s">
        <v>220</v>
      </c>
      <c r="P37" s="1"/>
      <c r="Q37" s="1"/>
    </row>
    <row r="38" spans="1:18" x14ac:dyDescent="0.25">
      <c r="A38" s="9" t="s">
        <v>13</v>
      </c>
      <c r="B38" s="10" t="s">
        <v>235</v>
      </c>
      <c r="C38" s="214" t="s">
        <v>334</v>
      </c>
      <c r="D38" s="10" t="s">
        <v>236</v>
      </c>
      <c r="E38" s="10"/>
      <c r="F38" s="10" t="s">
        <v>234</v>
      </c>
      <c r="G38" s="10" t="s">
        <v>234</v>
      </c>
      <c r="H38" s="10" t="s">
        <v>236</v>
      </c>
      <c r="I38" s="10"/>
      <c r="J38" s="3" t="s">
        <v>15</v>
      </c>
      <c r="L38" s="1"/>
      <c r="M38" s="1"/>
      <c r="N38" s="1"/>
      <c r="O38" s="1"/>
      <c r="P38" s="1"/>
      <c r="Q38" s="1"/>
    </row>
    <row r="39" spans="1:18" ht="15.75" x14ac:dyDescent="0.25">
      <c r="A39" s="1" t="s">
        <v>16</v>
      </c>
      <c r="B39" s="11">
        <f t="shared" ref="B39:H39" si="9">((1/B42)/0.0004)^(1/3)</f>
        <v>10.82657928943258</v>
      </c>
      <c r="C39" s="215">
        <f t="shared" si="9"/>
        <v>7.6748805648876068</v>
      </c>
      <c r="D39" s="11">
        <f t="shared" si="9"/>
        <v>10.882101179818642</v>
      </c>
      <c r="E39" s="11"/>
      <c r="F39" s="11"/>
      <c r="G39" s="11">
        <f t="shared" si="9"/>
        <v>10.7188449853527</v>
      </c>
      <c r="H39" s="11">
        <f t="shared" si="9"/>
        <v>10.59839832948326</v>
      </c>
      <c r="I39" s="34"/>
      <c r="J39" s="3" t="s">
        <v>16</v>
      </c>
      <c r="L39" s="1"/>
      <c r="M39" s="1"/>
      <c r="N39" s="1"/>
      <c r="O39" s="1"/>
      <c r="P39" s="1"/>
      <c r="Q39" s="1"/>
    </row>
    <row r="40" spans="1:18" ht="15.75" x14ac:dyDescent="0.25">
      <c r="A40" s="1" t="s">
        <v>17</v>
      </c>
      <c r="B40" s="15">
        <f>B47+B46</f>
        <v>8480</v>
      </c>
      <c r="C40" s="217">
        <f>C47+C46</f>
        <v>9163</v>
      </c>
      <c r="D40" s="15">
        <f>D47+D46</f>
        <v>6984</v>
      </c>
      <c r="E40" s="15"/>
      <c r="F40" s="15"/>
      <c r="G40" s="15">
        <f>G47+G46</f>
        <v>6144</v>
      </c>
      <c r="H40" s="15">
        <f>H47+H46</f>
        <v>7397</v>
      </c>
      <c r="I40" s="15"/>
      <c r="J40" s="3" t="s">
        <v>17</v>
      </c>
      <c r="L40" s="14">
        <f>SUM(B40,D40,G40:H40)</f>
        <v>29005</v>
      </c>
      <c r="M40" s="43">
        <f>C40</f>
        <v>9163</v>
      </c>
      <c r="N40" s="1"/>
      <c r="O40" s="1"/>
      <c r="P40" s="1"/>
      <c r="Q40" s="1"/>
    </row>
    <row r="41" spans="1:18" ht="15.75" x14ac:dyDescent="0.25">
      <c r="A41" s="1" t="s">
        <v>18</v>
      </c>
      <c r="B41" s="15">
        <f>B40/B42</f>
        <v>4304.5685279187819</v>
      </c>
      <c r="C41" s="217">
        <f>C40/C42</f>
        <v>1656.9620253164555</v>
      </c>
      <c r="D41" s="15">
        <f>D40/D42</f>
        <v>3600</v>
      </c>
      <c r="E41" s="15" t="s">
        <v>45</v>
      </c>
      <c r="F41" s="15" t="s">
        <v>45</v>
      </c>
      <c r="G41" s="15">
        <f>G40/G42</f>
        <v>3026.6009852216753</v>
      </c>
      <c r="H41" s="15">
        <f>H40/H42</f>
        <v>3522.3809523809523</v>
      </c>
      <c r="I41" s="15" t="s">
        <v>45</v>
      </c>
      <c r="J41" s="3" t="s">
        <v>18</v>
      </c>
      <c r="L41" s="14">
        <f>SUM(B41,D41,G41:H41)</f>
        <v>14453.55046552141</v>
      </c>
      <c r="M41" s="43">
        <f>C41</f>
        <v>1656.9620253164555</v>
      </c>
      <c r="N41" s="1"/>
      <c r="O41" s="1"/>
      <c r="P41" s="1"/>
      <c r="Q41" s="1"/>
    </row>
    <row r="42" spans="1:18" ht="15.75" x14ac:dyDescent="0.25">
      <c r="A42" s="1" t="s">
        <v>19</v>
      </c>
      <c r="B42" s="11">
        <v>1.97</v>
      </c>
      <c r="C42" s="224">
        <v>5.53</v>
      </c>
      <c r="D42" s="116">
        <v>1.94</v>
      </c>
      <c r="E42" s="116"/>
      <c r="F42" s="116"/>
      <c r="G42" s="116">
        <v>2.0299999999999998</v>
      </c>
      <c r="H42" s="116">
        <v>2.1</v>
      </c>
      <c r="I42" s="116"/>
      <c r="J42" s="3" t="s">
        <v>19</v>
      </c>
      <c r="K42" s="1"/>
      <c r="L42" s="1"/>
      <c r="M42" s="1"/>
      <c r="N42" s="225"/>
      <c r="O42" s="1" t="s">
        <v>335</v>
      </c>
      <c r="P42" s="1"/>
      <c r="Q42" s="1"/>
    </row>
    <row r="43" spans="1:18" ht="15.75" x14ac:dyDescent="0.25">
      <c r="A43" s="1" t="s">
        <v>20</v>
      </c>
      <c r="B43" s="17" t="s">
        <v>336</v>
      </c>
      <c r="C43" s="219">
        <v>45296</v>
      </c>
      <c r="D43" s="17" t="s">
        <v>337</v>
      </c>
      <c r="E43" s="17"/>
      <c r="F43" s="17"/>
      <c r="G43" s="17" t="s">
        <v>338</v>
      </c>
      <c r="H43" s="17" t="s">
        <v>339</v>
      </c>
      <c r="I43" s="17"/>
      <c r="J43" s="3" t="s">
        <v>20</v>
      </c>
      <c r="K43" s="1"/>
      <c r="L43" s="160">
        <f>L40/L48</f>
        <v>0.78364358468646156</v>
      </c>
      <c r="N43" s="1"/>
      <c r="O43" s="1"/>
      <c r="P43" s="1"/>
      <c r="Q43" s="1"/>
    </row>
    <row r="44" spans="1:18" ht="20.25" thickBot="1" x14ac:dyDescent="0.45">
      <c r="A44" s="1" t="s">
        <v>29</v>
      </c>
      <c r="B44" s="19">
        <f t="shared" ref="B44:H44" si="10">B47/B48</f>
        <v>0.84202164631119059</v>
      </c>
      <c r="C44" s="226">
        <f t="shared" si="10"/>
        <v>0.98136446396058696</v>
      </c>
      <c r="D44" s="19">
        <f t="shared" si="10"/>
        <v>0.74631331481085705</v>
      </c>
      <c r="E44" s="37"/>
      <c r="F44" s="37"/>
      <c r="G44" s="19">
        <f t="shared" si="10"/>
        <v>0.76360924683072329</v>
      </c>
      <c r="H44" s="37">
        <f t="shared" si="10"/>
        <v>0.77552946110295662</v>
      </c>
      <c r="I44" s="37"/>
      <c r="J44" s="3" t="s">
        <v>53</v>
      </c>
      <c r="K44" s="1"/>
      <c r="L44" s="1"/>
      <c r="M44" s="1"/>
      <c r="N44" s="1"/>
      <c r="O44" s="1"/>
      <c r="P44" s="1"/>
      <c r="Q44" s="1"/>
    </row>
    <row r="45" spans="1:18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  <c r="Q45" s="1"/>
    </row>
    <row r="46" spans="1:18" x14ac:dyDescent="0.25">
      <c r="A46" s="1" t="s">
        <v>31</v>
      </c>
      <c r="B46" s="21">
        <f t="shared" ref="B46:I46" si="11">(B42*B45)</f>
        <v>0</v>
      </c>
      <c r="C46" s="21">
        <f t="shared" si="11"/>
        <v>0</v>
      </c>
      <c r="D46" s="21">
        <v>0</v>
      </c>
      <c r="E46" s="21">
        <f t="shared" si="11"/>
        <v>0</v>
      </c>
      <c r="F46" s="21"/>
      <c r="G46" s="21">
        <f t="shared" si="11"/>
        <v>0</v>
      </c>
      <c r="H46" s="21">
        <f t="shared" si="11"/>
        <v>0</v>
      </c>
      <c r="I46" s="21">
        <f t="shared" si="11"/>
        <v>0</v>
      </c>
      <c r="J46" s="3" t="s">
        <v>31</v>
      </c>
      <c r="K46" s="1"/>
      <c r="L46" s="1"/>
      <c r="M46" s="1"/>
      <c r="N46" s="1"/>
      <c r="O46" s="1"/>
      <c r="P46" s="1"/>
      <c r="Q46" s="1"/>
    </row>
    <row r="47" spans="1:18" ht="15.75" x14ac:dyDescent="0.25">
      <c r="A47" s="1" t="s">
        <v>17</v>
      </c>
      <c r="B47" s="22">
        <v>8480</v>
      </c>
      <c r="C47" s="22">
        <v>9163</v>
      </c>
      <c r="D47" s="22">
        <v>6984</v>
      </c>
      <c r="E47" s="22"/>
      <c r="F47" s="22"/>
      <c r="G47" s="22">
        <v>6144</v>
      </c>
      <c r="H47" s="22">
        <v>7397</v>
      </c>
      <c r="I47" s="22"/>
      <c r="J47" s="3" t="s">
        <v>17</v>
      </c>
      <c r="K47" s="1"/>
      <c r="L47" s="14">
        <f>SUM(B47,D47,G47:H47)</f>
        <v>29005</v>
      </c>
      <c r="M47" s="43">
        <f>C47</f>
        <v>9163</v>
      </c>
      <c r="N47" s="1"/>
      <c r="O47" s="1"/>
      <c r="P47" s="1"/>
      <c r="Q47" s="1"/>
    </row>
    <row r="48" spans="1:18" ht="15.75" x14ac:dyDescent="0.25">
      <c r="A48" s="1" t="s">
        <v>32</v>
      </c>
      <c r="B48" s="25">
        <v>10071</v>
      </c>
      <c r="C48" s="25">
        <v>9337</v>
      </c>
      <c r="D48" s="25">
        <v>9358</v>
      </c>
      <c r="E48" s="25"/>
      <c r="F48" s="25"/>
      <c r="G48" s="39">
        <v>8046</v>
      </c>
      <c r="H48" s="39">
        <v>9538</v>
      </c>
      <c r="I48" s="39"/>
      <c r="J48" s="3" t="s">
        <v>18</v>
      </c>
      <c r="K48" s="1"/>
      <c r="L48" s="14">
        <f>SUM(B48,D48,G48:H48)</f>
        <v>37013</v>
      </c>
      <c r="M48" s="43">
        <f>C48</f>
        <v>9337</v>
      </c>
      <c r="N48" s="39"/>
      <c r="O48" s="39"/>
      <c r="P48" s="39"/>
      <c r="Q48" s="39"/>
      <c r="R48" s="39"/>
    </row>
    <row r="49" spans="1:18" ht="19.5" x14ac:dyDescent="0.4">
      <c r="A49" s="1" t="s">
        <v>33</v>
      </c>
      <c r="B49" s="41"/>
      <c r="C49" s="41">
        <f t="shared" ref="C49:I49" si="12">C47-C48</f>
        <v>-174</v>
      </c>
      <c r="D49" s="41">
        <f t="shared" si="12"/>
        <v>-2374</v>
      </c>
      <c r="E49" s="41">
        <f t="shared" si="12"/>
        <v>0</v>
      </c>
      <c r="F49" s="41">
        <f t="shared" si="12"/>
        <v>0</v>
      </c>
      <c r="G49" s="41">
        <f t="shared" si="12"/>
        <v>-1902</v>
      </c>
      <c r="H49" s="41">
        <f t="shared" si="12"/>
        <v>-2141</v>
      </c>
      <c r="I49" s="41">
        <f t="shared" si="12"/>
        <v>0</v>
      </c>
      <c r="J49" s="27"/>
      <c r="K49" s="45"/>
      <c r="L49" s="14">
        <f>SUM(B49,D49,G49:H49)</f>
        <v>-6417</v>
      </c>
      <c r="M49" s="45"/>
      <c r="N49" s="45"/>
      <c r="O49" s="45"/>
      <c r="P49" s="45"/>
      <c r="Q49" s="45"/>
      <c r="R49" s="28"/>
    </row>
    <row r="50" spans="1:18" x14ac:dyDescent="0.25">
      <c r="A50" s="1" t="s">
        <v>34</v>
      </c>
      <c r="B50" s="22" t="e">
        <f>SUM(#REF!+#REF!+[9]March!B53+[9]April!B53+[9]May!B53+[9]June!B53+[9]July!B53+'[9]August '!B53+[9]September!B53+[9]October!B53+[9]November!B53+[9]December!B53)</f>
        <v>#REF!</v>
      </c>
      <c r="C50" s="22" t="e">
        <f>SUM(#REF!+#REF!+[9]March!C53+[9]April!C53+[9]May!C53+[9]June!C53+[9]July!C53+'[9]August '!C53+[9]September!C53+[9]October!C53+[9]November!C53+[9]December!C53)</f>
        <v>#REF!</v>
      </c>
      <c r="D50" s="22" t="e">
        <f>SUM(#REF!+#REF!+[9]March!D53+[9]April!D53+[9]May!D53+[9]June!D53+[9]July!D53+'[9]August '!D53+[9]September!D53+[9]October!D53+[9]November!D53+[9]December!D53)</f>
        <v>#REF!</v>
      </c>
      <c r="E50" s="22" t="e">
        <f>SUM(#REF!+#REF!+[9]March!E53+[9]April!E53+[9]May!E53+[9]June!E53+[9]July!E53+'[9]August '!E53+[9]September!E53+[9]October!E53+[9]November!E53+[9]December!E53)</f>
        <v>#REF!</v>
      </c>
      <c r="F50" s="22" t="e">
        <f>SUM(#REF!+#REF!+[9]March!F53+[9]April!F53+[9]May!F53+[9]June!F53+[9]July!F53+'[9]August '!F53+[9]September!F53+[9]October!F53+[9]November!F53+[9]December!F53)</f>
        <v>#REF!</v>
      </c>
      <c r="G50" s="22" t="e">
        <f>SUM(#REF!+#REF!+[9]March!G53+[9]April!G53+[9]May!G53+[9]June!G53+[9]July!G53+'[9]August '!G53+[9]September!G53+[9]October!G53+[9]November!G53+[9]December!G53)</f>
        <v>#REF!</v>
      </c>
      <c r="H50" s="22" t="e">
        <f>SUM(#REF!+#REF!+[9]March!H53+[9]April!H53+[9]May!H53+[9]June!H53+[9]July!H53+'[9]August '!H53+[9]September!H53+[9]October!H53+[9]November!H53+[9]December!H53)</f>
        <v>#REF!</v>
      </c>
      <c r="I50" s="22" t="e">
        <f>SUM(#REF!+#REF!+[9]March!I53+[9]April!I53+[9]May!I53+[9]June!I53+[9]July!I53+'[9]August '!I53+[9]September!I53+[9]October!I53+[9]November!I53+[9]December!I53)</f>
        <v>#REF!</v>
      </c>
      <c r="J50" s="3"/>
      <c r="K50" s="1"/>
      <c r="L50" s="1"/>
      <c r="M50" s="1"/>
      <c r="N50" s="1"/>
      <c r="O50" s="1"/>
      <c r="P50" s="1"/>
      <c r="Q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</row>
    <row r="52" spans="1:18" x14ac:dyDescent="0.25">
      <c r="A52" s="1"/>
      <c r="C52" s="1"/>
      <c r="D52" s="1"/>
      <c r="E52" s="1"/>
      <c r="F52" s="1"/>
      <c r="H52" s="1"/>
      <c r="I52" s="6" t="s">
        <v>227</v>
      </c>
      <c r="J52" s="3" t="s">
        <v>3</v>
      </c>
      <c r="K52" s="1"/>
      <c r="L52" s="70"/>
      <c r="M52" s="70"/>
      <c r="N52" s="70"/>
      <c r="O52" s="1"/>
      <c r="P52" s="1"/>
      <c r="Q52" s="1"/>
    </row>
    <row r="53" spans="1:18" ht="16.5" thickBot="1" x14ac:dyDescent="0.3">
      <c r="A53" s="1"/>
      <c r="B53" s="1"/>
      <c r="C53" s="1"/>
      <c r="D53" s="1" t="s">
        <v>70</v>
      </c>
      <c r="E53" s="7" t="s">
        <v>135</v>
      </c>
      <c r="F53" s="7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70"/>
      <c r="M53" s="70"/>
      <c r="N53" s="70"/>
      <c r="O53" s="1"/>
      <c r="P53" s="1"/>
    </row>
    <row r="54" spans="1:18" x14ac:dyDescent="0.25">
      <c r="A54" s="1"/>
      <c r="B54" s="1"/>
      <c r="C54" s="1"/>
      <c r="D54" s="1" t="s">
        <v>15</v>
      </c>
      <c r="E54" s="10"/>
      <c r="F54" s="163" t="s">
        <v>228</v>
      </c>
      <c r="G54" s="10"/>
      <c r="H54" s="3" t="s">
        <v>77</v>
      </c>
      <c r="I54" s="22"/>
      <c r="J54" s="51"/>
      <c r="K54" s="52"/>
      <c r="L54" s="173"/>
      <c r="M54" s="174"/>
      <c r="N54" s="174"/>
      <c r="O54" s="1"/>
    </row>
    <row r="55" spans="1:18" ht="15.75" x14ac:dyDescent="0.25">
      <c r="A55" s="1"/>
      <c r="B55" s="1"/>
      <c r="C55" s="1"/>
      <c r="D55" s="1" t="s">
        <v>16</v>
      </c>
      <c r="E55" s="11"/>
      <c r="F55" s="166"/>
      <c r="G55" s="11"/>
      <c r="H55" s="3" t="s">
        <v>78</v>
      </c>
      <c r="I55" s="22"/>
      <c r="J55" s="51"/>
      <c r="K55" s="52"/>
      <c r="L55" s="175"/>
      <c r="M55" s="176"/>
      <c r="N55" s="176"/>
      <c r="O55" s="1"/>
    </row>
    <row r="56" spans="1:18" ht="15.75" x14ac:dyDescent="0.25">
      <c r="A56" s="1"/>
      <c r="B56" s="1"/>
      <c r="C56" s="1"/>
      <c r="D56" s="1" t="s">
        <v>17</v>
      </c>
      <c r="E56" s="15"/>
      <c r="F56" s="165">
        <v>263</v>
      </c>
      <c r="G56" s="83"/>
      <c r="H56" s="3" t="s">
        <v>125</v>
      </c>
      <c r="I56" s="22"/>
      <c r="J56" s="51"/>
      <c r="K56" s="52"/>
      <c r="L56" s="14">
        <f>SUM(E56,G56)</f>
        <v>0</v>
      </c>
      <c r="M56" s="176"/>
      <c r="N56" s="176"/>
      <c r="O56" s="1"/>
    </row>
    <row r="57" spans="1:18" ht="15.75" x14ac:dyDescent="0.25">
      <c r="D57" s="1" t="s">
        <v>18</v>
      </c>
      <c r="E57" s="15"/>
      <c r="F57" s="183"/>
      <c r="G57" s="15"/>
      <c r="H57" s="3" t="s">
        <v>125</v>
      </c>
      <c r="I57" s="22"/>
      <c r="J57" s="51"/>
      <c r="K57" s="52"/>
      <c r="L57" s="14">
        <f>SUM(E57,G57)</f>
        <v>0</v>
      </c>
      <c r="M57" s="174"/>
      <c r="N57" s="174"/>
      <c r="O57" s="1"/>
    </row>
    <row r="58" spans="1:18" ht="15.75" x14ac:dyDescent="0.25">
      <c r="D58" s="1" t="s">
        <v>19</v>
      </c>
      <c r="E58" s="11"/>
      <c r="F58" s="166"/>
      <c r="G58" s="11"/>
      <c r="H58" s="3" t="s">
        <v>81</v>
      </c>
      <c r="I58" s="22"/>
      <c r="J58" s="51"/>
      <c r="K58" s="52"/>
      <c r="L58" s="177"/>
      <c r="M58" s="178"/>
      <c r="N58" s="178"/>
      <c r="O58" s="1"/>
    </row>
    <row r="59" spans="1:18" ht="15.75" x14ac:dyDescent="0.25">
      <c r="D59" s="1" t="s">
        <v>20</v>
      </c>
      <c r="E59" s="17"/>
      <c r="F59" s="167"/>
      <c r="G59" s="17"/>
      <c r="H59" s="122" t="s">
        <v>83</v>
      </c>
      <c r="I59" s="54"/>
      <c r="J59" s="55"/>
      <c r="K59" s="95"/>
      <c r="L59" s="177"/>
      <c r="M59" s="178"/>
      <c r="N59" s="178"/>
      <c r="O59" s="1"/>
    </row>
    <row r="60" spans="1:18" ht="20.25" thickBot="1" x14ac:dyDescent="0.45">
      <c r="D60" s="1" t="s">
        <v>29</v>
      </c>
      <c r="E60" s="37"/>
      <c r="F60" s="184" t="e">
        <f>F63/F64</f>
        <v>#DIV/0!</v>
      </c>
      <c r="G60" s="19"/>
      <c r="H60" s="122" t="s">
        <v>266</v>
      </c>
      <c r="I60" s="76"/>
      <c r="J60" s="97"/>
      <c r="K60" s="98"/>
      <c r="L60" s="177"/>
      <c r="M60" s="178"/>
      <c r="N60" s="178"/>
      <c r="O60" s="1"/>
    </row>
    <row r="61" spans="1:18" ht="15.75" x14ac:dyDescent="0.25">
      <c r="D61" s="1" t="s">
        <v>84</v>
      </c>
      <c r="E61" s="227"/>
      <c r="F61" s="20">
        <v>0</v>
      </c>
      <c r="G61" s="20">
        <v>0</v>
      </c>
      <c r="H61" s="3" t="s">
        <v>127</v>
      </c>
      <c r="I61" s="54">
        <f>SUM(I54:I60)</f>
        <v>0</v>
      </c>
      <c r="J61" s="6"/>
      <c r="K61" s="54" t="s">
        <v>267</v>
      </c>
      <c r="L61" s="1"/>
      <c r="M61" s="1"/>
      <c r="N61" s="1"/>
      <c r="O61" s="1"/>
    </row>
    <row r="62" spans="1:18" ht="15.75" x14ac:dyDescent="0.25">
      <c r="D62" s="1" t="s">
        <v>86</v>
      </c>
      <c r="E62" s="20"/>
      <c r="F62" s="20">
        <v>0</v>
      </c>
      <c r="G62" s="20">
        <v>0</v>
      </c>
      <c r="H62" s="1" t="s">
        <v>32</v>
      </c>
      <c r="I62" s="157"/>
      <c r="J62" s="1"/>
      <c r="K62" s="52"/>
      <c r="M62" s="1"/>
      <c r="N62" s="1"/>
      <c r="O62" s="1"/>
    </row>
    <row r="63" spans="1:18" ht="19.5" x14ac:dyDescent="0.4">
      <c r="D63" s="1" t="s">
        <v>17</v>
      </c>
      <c r="E63" s="23"/>
      <c r="F63" s="23"/>
      <c r="G63" s="22">
        <v>3917</v>
      </c>
      <c r="H63" s="1" t="s">
        <v>29</v>
      </c>
      <c r="I63" s="154" t="e">
        <f>I61/I62</f>
        <v>#DIV/0!</v>
      </c>
      <c r="J63" s="64"/>
      <c r="L63" s="14">
        <f>SUM(E63,G63)</f>
        <v>3917</v>
      </c>
      <c r="M63" s="1"/>
      <c r="N63" s="1"/>
      <c r="O63" s="1"/>
      <c r="P63" s="1"/>
    </row>
    <row r="64" spans="1:18" ht="15.75" x14ac:dyDescent="0.25">
      <c r="D64" s="1" t="s">
        <v>32</v>
      </c>
      <c r="E64" s="158"/>
      <c r="F64" s="39"/>
      <c r="G64" s="14">
        <v>3917</v>
      </c>
      <c r="H64" s="1"/>
      <c r="I64" s="3"/>
      <c r="J64" s="1"/>
      <c r="K64" s="1"/>
      <c r="L64" s="14">
        <f>SUM(E64,G64)</f>
        <v>3917</v>
      </c>
      <c r="M64" s="1"/>
      <c r="N64" s="1"/>
      <c r="O64" s="1"/>
      <c r="P64" s="1"/>
    </row>
    <row r="65" spans="1:17" ht="19.5" x14ac:dyDescent="0.4">
      <c r="D65" s="1" t="s">
        <v>88</v>
      </c>
      <c r="E65" s="26"/>
      <c r="F65" s="159"/>
      <c r="G65" s="127">
        <f>G63-G64</f>
        <v>0</v>
      </c>
      <c r="H65" s="1"/>
      <c r="I65" s="1"/>
      <c r="J65" s="3"/>
      <c r="K65" s="1"/>
      <c r="L65" s="1"/>
      <c r="M65" s="1"/>
      <c r="N65" s="1"/>
      <c r="O65" s="1"/>
      <c r="P65" s="1"/>
    </row>
    <row r="66" spans="1:17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7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  <c r="Q67" s="1"/>
    </row>
    <row r="68" spans="1:17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  <c r="Q68" s="1"/>
    </row>
    <row r="69" spans="1:17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  <c r="Q69" s="1"/>
    </row>
    <row r="70" spans="1:17" x14ac:dyDescent="0.25">
      <c r="D70" s="1"/>
      <c r="E70" s="22"/>
      <c r="F70" s="22"/>
      <c r="G70" s="22"/>
      <c r="J70" s="33"/>
      <c r="L70" s="1"/>
      <c r="M70" s="1"/>
      <c r="N70" s="1"/>
      <c r="O70" s="1"/>
      <c r="P70" s="1"/>
      <c r="Q70" s="1"/>
    </row>
    <row r="71" spans="1:17" x14ac:dyDescent="0.25">
      <c r="D71" s="1"/>
      <c r="E71" s="51"/>
      <c r="F71" s="51"/>
      <c r="G71" s="51"/>
      <c r="M71" s="1"/>
      <c r="N71" s="1"/>
      <c r="O71" s="1"/>
      <c r="P71" s="1"/>
      <c r="Q71" s="1"/>
    </row>
    <row r="72" spans="1:17" ht="15.75" thickBot="1" x14ac:dyDescent="0.3">
      <c r="A72" s="1"/>
      <c r="B72" s="1"/>
      <c r="C72" s="1"/>
      <c r="D72" s="1"/>
      <c r="E72" s="1"/>
      <c r="F72" s="1"/>
      <c r="G72" s="1"/>
      <c r="P72" s="1"/>
      <c r="Q72" s="1"/>
    </row>
    <row r="73" spans="1:17" ht="15.75" thickBot="1" x14ac:dyDescent="0.3">
      <c r="D73" s="65"/>
      <c r="E73" s="66"/>
      <c r="F73" s="66"/>
      <c r="G73" s="66"/>
      <c r="M73" s="1"/>
      <c r="N73" s="1"/>
    </row>
    <row r="74" spans="1:17" x14ac:dyDescent="0.25">
      <c r="D74" s="68" t="s">
        <v>89</v>
      </c>
      <c r="E74" s="69"/>
      <c r="F74" s="70"/>
      <c r="G74" s="71" t="s">
        <v>90</v>
      </c>
      <c r="H74" s="67"/>
    </row>
    <row r="75" spans="1:17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4">
        <f>SUM(F56)</f>
        <v>263</v>
      </c>
    </row>
    <row r="76" spans="1:17" x14ac:dyDescent="0.25">
      <c r="D76" s="73" t="s">
        <v>18</v>
      </c>
      <c r="E76" s="54" t="e">
        <f>SUM(B10:I10,B25:D25,F22,H25,B41:D41,H41)</f>
        <v>#DIV/0!</v>
      </c>
      <c r="F76" s="70"/>
      <c r="G76" s="70" t="s">
        <v>18</v>
      </c>
      <c r="H76" s="74"/>
      <c r="J76" s="33"/>
    </row>
    <row r="77" spans="1:17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7" ht="15.75" thickBot="1" x14ac:dyDescent="0.3">
      <c r="H78" s="78">
        <f>B66</f>
        <v>0</v>
      </c>
      <c r="J78" s="33"/>
    </row>
    <row r="79" spans="1:17" x14ac:dyDescent="0.25">
      <c r="D79" s="65" t="s">
        <v>91</v>
      </c>
      <c r="E79" s="66"/>
      <c r="F79" s="66"/>
      <c r="G79" s="79"/>
      <c r="H79" s="1"/>
      <c r="J79" s="33"/>
    </row>
    <row r="80" spans="1:17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 t="e">
        <f>SUM(E76,H77)</f>
        <v>#DIV/0!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-23764</v>
      </c>
      <c r="J82" s="33"/>
    </row>
    <row r="83" spans="1:10" x14ac:dyDescent="0.25">
      <c r="J83" s="33"/>
    </row>
  </sheetData>
  <mergeCells count="1">
    <mergeCell ref="D74:E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C5E2-F580-4CD8-8E9B-F2341ADA08E4}">
  <dimension ref="A1:R83"/>
  <sheetViews>
    <sheetView workbookViewId="0">
      <selection activeCell="Q12" sqref="Q12"/>
    </sheetView>
  </sheetViews>
  <sheetFormatPr defaultRowHeight="15" x14ac:dyDescent="0.25"/>
  <cols>
    <col min="1" max="6" width="16.7109375" customWidth="1"/>
    <col min="7" max="7" width="16.5703125" customWidth="1"/>
    <col min="8" max="10" width="16.7109375" customWidth="1"/>
  </cols>
  <sheetData>
    <row r="1" spans="1:18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  <c r="Q1" s="1"/>
    </row>
    <row r="2" spans="1:18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  <c r="Q2" s="1"/>
    </row>
    <row r="3" spans="1:18" ht="18" x14ac:dyDescent="0.25">
      <c r="A3" s="1"/>
      <c r="B3" s="1"/>
      <c r="C3" s="1"/>
      <c r="D3" s="1"/>
      <c r="E3" s="4" t="s">
        <v>95</v>
      </c>
      <c r="F3" s="1"/>
      <c r="G3" s="1"/>
      <c r="H3" s="5"/>
      <c r="J3" s="3"/>
      <c r="K3" s="1"/>
      <c r="L3" s="1"/>
      <c r="P3" s="1"/>
      <c r="Q3" s="1"/>
    </row>
    <row r="4" spans="1:18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  <c r="Q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  <c r="Q5" s="1"/>
    </row>
    <row r="6" spans="1:18" ht="15.75" thickBot="1" x14ac:dyDescent="0.3">
      <c r="A6" s="1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  <c r="P6" s="1"/>
      <c r="Q6" s="1"/>
    </row>
    <row r="7" spans="1:18" x14ac:dyDescent="0.25">
      <c r="A7" s="9" t="s">
        <v>13</v>
      </c>
      <c r="B7" s="10" t="s">
        <v>14</v>
      </c>
      <c r="C7" s="10" t="s">
        <v>14</v>
      </c>
      <c r="D7" s="82" t="s">
        <v>14</v>
      </c>
      <c r="E7" s="10" t="s">
        <v>14</v>
      </c>
      <c r="F7" s="82" t="s">
        <v>14</v>
      </c>
      <c r="G7" s="10" t="s">
        <v>14</v>
      </c>
      <c r="H7" s="82" t="s">
        <v>14</v>
      </c>
      <c r="I7" s="10" t="s">
        <v>14</v>
      </c>
      <c r="J7" s="3" t="s">
        <v>15</v>
      </c>
      <c r="K7" s="8"/>
      <c r="L7" s="1"/>
      <c r="M7" s="1"/>
      <c r="P7" s="1"/>
      <c r="Q7" s="1"/>
    </row>
    <row r="8" spans="1:18" ht="15.75" x14ac:dyDescent="0.25">
      <c r="A8" s="1" t="s">
        <v>16</v>
      </c>
      <c r="B8" s="11">
        <f>((1/B11)/0.0004)^(1/3)</f>
        <v>10.919755809203734</v>
      </c>
      <c r="C8" s="11">
        <f t="shared" ref="C8:I8" si="0">((1/C11)/0.0004)^(1/3)</f>
        <v>11.095911213733805</v>
      </c>
      <c r="D8" s="12">
        <f t="shared" si="0"/>
        <v>10.581628683861405</v>
      </c>
      <c r="E8" s="11">
        <f t="shared" si="0"/>
        <v>10.900863460382645</v>
      </c>
      <c r="F8" s="12">
        <f t="shared" si="0"/>
        <v>10.86346740846674</v>
      </c>
      <c r="G8" s="11">
        <f t="shared" si="0"/>
        <v>10.919755809203734</v>
      </c>
      <c r="H8" s="12">
        <f t="shared" si="0"/>
        <v>10.93877981248815</v>
      </c>
      <c r="I8" s="11">
        <f t="shared" si="0"/>
        <v>10.808321954133797</v>
      </c>
      <c r="J8" s="3" t="s">
        <v>16</v>
      </c>
      <c r="K8" s="12"/>
      <c r="L8" s="1"/>
      <c r="M8" s="1"/>
      <c r="P8" s="1"/>
      <c r="Q8" s="1"/>
    </row>
    <row r="9" spans="1:18" ht="15.75" x14ac:dyDescent="0.25">
      <c r="A9" s="9" t="s">
        <v>17</v>
      </c>
      <c r="B9" s="83">
        <f>B16+B15</f>
        <v>7845</v>
      </c>
      <c r="C9" s="83">
        <f>C16+C15</f>
        <v>8141</v>
      </c>
      <c r="D9" s="43">
        <f t="shared" ref="D9:I9" si="1">D16+D15</f>
        <v>8077</v>
      </c>
      <c r="E9" s="83">
        <f t="shared" si="1"/>
        <v>5858</v>
      </c>
      <c r="F9" s="43">
        <f t="shared" si="1"/>
        <v>8145</v>
      </c>
      <c r="G9" s="83">
        <f t="shared" si="1"/>
        <v>4200</v>
      </c>
      <c r="H9" s="43">
        <f t="shared" si="1"/>
        <v>9170</v>
      </c>
      <c r="I9" s="83">
        <f t="shared" si="1"/>
        <v>8434</v>
      </c>
      <c r="J9" s="3" t="s">
        <v>17</v>
      </c>
      <c r="L9" s="14">
        <f>SUM(B9:I9)</f>
        <v>59870</v>
      </c>
      <c r="M9" s="84"/>
      <c r="P9" s="8"/>
      <c r="Q9" s="8"/>
      <c r="R9" s="85"/>
    </row>
    <row r="10" spans="1:18" ht="15.75" x14ac:dyDescent="0.25">
      <c r="A10" s="1" t="s">
        <v>18</v>
      </c>
      <c r="B10" s="15">
        <f>B9/B11</f>
        <v>4085.9375</v>
      </c>
      <c r="C10" s="15">
        <f>C9/C11</f>
        <v>4448.6338797814205</v>
      </c>
      <c r="D10" s="14">
        <f t="shared" ref="D10:I10" si="2">D9/D11</f>
        <v>3827.9620853080569</v>
      </c>
      <c r="E10" s="15">
        <f t="shared" si="2"/>
        <v>3035.2331606217617</v>
      </c>
      <c r="F10" s="14">
        <f t="shared" si="2"/>
        <v>4176.9230769230771</v>
      </c>
      <c r="G10" s="15">
        <f t="shared" si="2"/>
        <v>2187.5</v>
      </c>
      <c r="H10" s="14">
        <f t="shared" si="2"/>
        <v>4801.047120418848</v>
      </c>
      <c r="I10" s="15">
        <f t="shared" si="2"/>
        <v>4259.5959595959594</v>
      </c>
      <c r="J10" s="3" t="s">
        <v>18</v>
      </c>
      <c r="L10" s="14">
        <f>SUM(B10:I10)</f>
        <v>30822.832782649122</v>
      </c>
      <c r="M10" s="86">
        <f>L9/L10</f>
        <v>1.9423912273794053</v>
      </c>
      <c r="P10" s="16"/>
      <c r="Q10" s="16"/>
      <c r="R10" s="85"/>
    </row>
    <row r="11" spans="1:18" ht="15.75" x14ac:dyDescent="0.25">
      <c r="A11" s="9" t="s">
        <v>19</v>
      </c>
      <c r="B11" s="11">
        <v>1.92</v>
      </c>
      <c r="C11" s="11">
        <v>1.83</v>
      </c>
      <c r="D11" s="12">
        <v>2.11</v>
      </c>
      <c r="E11" s="11">
        <v>1.93</v>
      </c>
      <c r="F11" s="12">
        <v>1.95</v>
      </c>
      <c r="G11" s="11">
        <v>1.92</v>
      </c>
      <c r="H11" s="12">
        <v>1.91</v>
      </c>
      <c r="I11" s="11">
        <v>1.98</v>
      </c>
      <c r="J11" s="3" t="s">
        <v>19</v>
      </c>
      <c r="L11" s="12"/>
      <c r="M11" s="8"/>
      <c r="P11" s="8"/>
      <c r="Q11" s="8"/>
      <c r="R11" s="85"/>
    </row>
    <row r="12" spans="1:18" ht="15.75" x14ac:dyDescent="0.25">
      <c r="A12" s="1" t="s">
        <v>20</v>
      </c>
      <c r="B12" s="17" t="s">
        <v>96</v>
      </c>
      <c r="C12" s="17" t="s">
        <v>97</v>
      </c>
      <c r="D12" s="87" t="s">
        <v>98</v>
      </c>
      <c r="E12" s="17" t="s">
        <v>99</v>
      </c>
      <c r="F12" s="87" t="s">
        <v>100</v>
      </c>
      <c r="G12" s="17">
        <v>42692</v>
      </c>
      <c r="H12" s="87" t="s">
        <v>101</v>
      </c>
      <c r="I12" s="17" t="s">
        <v>102</v>
      </c>
      <c r="J12" s="3" t="s">
        <v>20</v>
      </c>
      <c r="L12" s="18"/>
      <c r="M12" s="8"/>
      <c r="P12" s="8"/>
      <c r="Q12" s="8"/>
      <c r="R12" s="85"/>
    </row>
    <row r="13" spans="1:18" ht="20.25" thickBot="1" x14ac:dyDescent="0.45">
      <c r="A13" s="1" t="s">
        <v>29</v>
      </c>
      <c r="B13" s="19">
        <f t="shared" ref="B13:I13" si="3">B16/B17</f>
        <v>0.98062499999999997</v>
      </c>
      <c r="C13" s="19">
        <f t="shared" si="3"/>
        <v>0.90455555555555556</v>
      </c>
      <c r="D13" s="88">
        <f t="shared" si="3"/>
        <v>1.009625</v>
      </c>
      <c r="E13" s="19">
        <f t="shared" si="3"/>
        <v>0.73224999999999996</v>
      </c>
      <c r="F13" s="19">
        <f t="shared" si="3"/>
        <v>0.94085710985329796</v>
      </c>
      <c r="G13" s="19">
        <f t="shared" si="3"/>
        <v>1</v>
      </c>
      <c r="H13" s="88">
        <f t="shared" si="3"/>
        <v>1.0916666666666666</v>
      </c>
      <c r="I13" s="19">
        <f t="shared" si="3"/>
        <v>0.93711111111111112</v>
      </c>
      <c r="J13" s="3" t="s">
        <v>20</v>
      </c>
      <c r="L13" s="20"/>
      <c r="M13" s="12"/>
      <c r="P13" s="12"/>
      <c r="Q13" s="12"/>
      <c r="R13" s="85"/>
    </row>
    <row r="14" spans="1:18" ht="15.75" x14ac:dyDescent="0.25">
      <c r="A14" s="1" t="s">
        <v>30</v>
      </c>
      <c r="B14" s="21"/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P14" s="12"/>
      <c r="Q14" s="12"/>
      <c r="R14" s="85"/>
    </row>
    <row r="15" spans="1:18" ht="15.75" x14ac:dyDescent="0.25">
      <c r="A15" s="1" t="s">
        <v>31</v>
      </c>
      <c r="B15" s="21">
        <f t="shared" ref="B15:I15" si="4">(B11*B14)</f>
        <v>0</v>
      </c>
      <c r="C15" s="21">
        <f t="shared" si="4"/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  <c r="P15" s="12"/>
      <c r="Q15" s="12"/>
      <c r="R15" s="85"/>
    </row>
    <row r="16" spans="1:18" ht="15.75" x14ac:dyDescent="0.25">
      <c r="A16" s="1" t="s">
        <v>17</v>
      </c>
      <c r="B16" s="22">
        <v>7845</v>
      </c>
      <c r="C16" s="22">
        <v>8141</v>
      </c>
      <c r="D16" s="22">
        <v>8077</v>
      </c>
      <c r="E16" s="22">
        <v>5858</v>
      </c>
      <c r="F16" s="23">
        <v>8145</v>
      </c>
      <c r="G16" s="23">
        <v>4200</v>
      </c>
      <c r="H16" s="22">
        <v>9170</v>
      </c>
      <c r="I16" s="22">
        <v>8434</v>
      </c>
      <c r="J16" s="3" t="s">
        <v>17</v>
      </c>
      <c r="L16" s="14">
        <f>SUM(B16:I16)</f>
        <v>59870</v>
      </c>
      <c r="Q16" s="1"/>
    </row>
    <row r="17" spans="1:18" ht="15.75" x14ac:dyDescent="0.25">
      <c r="A17" s="1" t="s">
        <v>32</v>
      </c>
      <c r="B17" s="14">
        <v>8000</v>
      </c>
      <c r="C17" s="14">
        <v>9000</v>
      </c>
      <c r="D17" s="14">
        <v>8000</v>
      </c>
      <c r="E17" s="14">
        <v>8000</v>
      </c>
      <c r="F17" s="14">
        <v>8657</v>
      </c>
      <c r="G17" s="14">
        <v>4200</v>
      </c>
      <c r="H17" s="14">
        <v>8400</v>
      </c>
      <c r="I17" s="14">
        <v>9000</v>
      </c>
      <c r="J17" s="3" t="s">
        <v>18</v>
      </c>
      <c r="L17" s="14">
        <f>SUM(B17:I17)</f>
        <v>63257</v>
      </c>
      <c r="M17" s="89">
        <f>(L9/L17)</f>
        <v>0.94645651864615776</v>
      </c>
      <c r="Q17" s="1"/>
    </row>
    <row r="18" spans="1:18" ht="19.5" x14ac:dyDescent="0.4">
      <c r="A18" s="1" t="s">
        <v>33</v>
      </c>
      <c r="B18" s="90">
        <f t="shared" ref="B18:I18" si="5">B16-B17</f>
        <v>-155</v>
      </c>
      <c r="C18" s="90">
        <f t="shared" si="5"/>
        <v>-859</v>
      </c>
      <c r="D18" s="90">
        <f t="shared" si="5"/>
        <v>77</v>
      </c>
      <c r="E18" s="90">
        <f t="shared" si="5"/>
        <v>-2142</v>
      </c>
      <c r="F18" s="90">
        <f t="shared" si="5"/>
        <v>-512</v>
      </c>
      <c r="G18" s="90">
        <f t="shared" si="5"/>
        <v>0</v>
      </c>
      <c r="H18" s="90">
        <f t="shared" si="5"/>
        <v>770</v>
      </c>
      <c r="I18" s="90">
        <f t="shared" si="5"/>
        <v>-566</v>
      </c>
      <c r="J18" s="27"/>
      <c r="K18" s="28"/>
      <c r="L18" s="14">
        <f>SUM(B18:I18)</f>
        <v>-3387</v>
      </c>
      <c r="M18" s="29"/>
      <c r="N18" s="28"/>
      <c r="O18" s="28"/>
      <c r="P18" s="29"/>
      <c r="Q18" s="29"/>
      <c r="R18" s="29"/>
    </row>
    <row r="19" spans="1:18" x14ac:dyDescent="0.25">
      <c r="A19" s="1" t="s">
        <v>34</v>
      </c>
      <c r="B19" s="22">
        <v>155</v>
      </c>
      <c r="C19" s="22">
        <v>60</v>
      </c>
      <c r="D19" s="22" t="e">
        <f>SUM([2]January!D19+#REF!+[2]March!D19+[2]April!D19+[2]May!D19+[2]June!D19+[2]July!D19+'[2]August '!D19+[2]September!D19+[2]October!D19+[2]November!D19+[2]December!D19)</f>
        <v>#REF!</v>
      </c>
      <c r="E19" s="22" t="e">
        <f>SUM([2]January!E19+#REF!+[2]March!E19+[2]April!E19+[2]May!E19+[2]June!E19+[2]July!E19+'[2]August '!E19+[2]September!E19+[2]October!E19+[2]November!E19+[2]December!E19)</f>
        <v>#REF!</v>
      </c>
      <c r="F19" s="23" t="e">
        <f>SUM([2]January!F19+#REF!+[2]March!F19+[2]April!F19+[2]May!F19+[2]June!F19+[2]July!F19+'[2]August '!F19+[2]September!F19+[2]October!F19+[2]November!F19+[2]December!F19)</f>
        <v>#REF!</v>
      </c>
      <c r="G19" s="23" t="e">
        <f>SUM([2]January!G19+#REF!+[2]March!G19+[2]April!G19+[2]May!G19+[2]June!G19+[2]July!G19+'[2]August '!G19+[2]September!G19+[2]October!G19+[2]November!G19+[2]December!G19)</f>
        <v>#REF!</v>
      </c>
      <c r="H19" s="22" t="e">
        <f>SUM([2]January!H19+#REF!+[2]March!H19+[2]April!H19+[2]May!H19+[2]June!H19+[2]July!H19+'[2]August '!H19+[2]September!H19+[2]October!H19+[2]November!H19+[2]December!H19)</f>
        <v>#REF!</v>
      </c>
      <c r="I19" s="22" t="e">
        <f>SUM([2]January!I19+#REF!+[2]March!I19+[2]April!I19+[2]May!I19+[2]June!I19+[2]July!I19+'[2]August '!I19+[2]September!I19+[2]October!I19+[2]November!I19+[2]December!I19)</f>
        <v>#REF!</v>
      </c>
      <c r="J19" s="3"/>
      <c r="L19" s="24"/>
      <c r="Q19" s="1"/>
    </row>
    <row r="20" spans="1:18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8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  <c r="Q21" s="1"/>
    </row>
    <row r="22" spans="1:18" x14ac:dyDescent="0.25">
      <c r="A22" s="9" t="s">
        <v>13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104</v>
      </c>
      <c r="I22" s="10" t="s">
        <v>14</v>
      </c>
      <c r="J22" s="3" t="s">
        <v>15</v>
      </c>
      <c r="Q22" s="1"/>
    </row>
    <row r="23" spans="1:18" ht="15.75" x14ac:dyDescent="0.25">
      <c r="A23" s="1" t="s">
        <v>16</v>
      </c>
      <c r="B23" s="11">
        <f>((1/B26)/0.0004)^(1/3)</f>
        <v>10.7188449853527</v>
      </c>
      <c r="C23" s="34">
        <f t="shared" ref="C23:I23" si="6">((1/C26)/0.0004)^(1/3)</f>
        <v>11.035932143766303</v>
      </c>
      <c r="D23" s="34">
        <f t="shared" si="6"/>
        <v>11.016225080149219</v>
      </c>
      <c r="E23" s="34" t="e">
        <f t="shared" si="6"/>
        <v>#DIV/0!</v>
      </c>
      <c r="F23" s="11">
        <f t="shared" si="6"/>
        <v>10.93877981248815</v>
      </c>
      <c r="G23" s="11">
        <f>((1/G26)/0.0004)^(1/3)</f>
        <v>10.882101179818642</v>
      </c>
      <c r="H23" s="11"/>
      <c r="I23" s="11">
        <f t="shared" si="6"/>
        <v>11.439521156685528</v>
      </c>
      <c r="J23" s="3" t="s">
        <v>16</v>
      </c>
      <c r="Q23" s="1"/>
    </row>
    <row r="24" spans="1:18" ht="15.75" x14ac:dyDescent="0.25">
      <c r="A24" s="9" t="s">
        <v>17</v>
      </c>
      <c r="B24" s="83">
        <f t="shared" ref="B24:G24" si="7">B31+B30</f>
        <v>7965</v>
      </c>
      <c r="C24" s="83">
        <f t="shared" si="7"/>
        <v>7710</v>
      </c>
      <c r="D24" s="83">
        <f t="shared" si="7"/>
        <v>6056</v>
      </c>
      <c r="E24" s="83">
        <f t="shared" si="7"/>
        <v>0</v>
      </c>
      <c r="F24" s="83">
        <f t="shared" si="7"/>
        <v>6290</v>
      </c>
      <c r="G24" s="83">
        <f t="shared" si="7"/>
        <v>7490</v>
      </c>
      <c r="H24" s="15"/>
      <c r="I24" s="83">
        <f>I31+I30</f>
        <v>6963</v>
      </c>
      <c r="J24" s="3" t="s">
        <v>17</v>
      </c>
      <c r="L24" s="14">
        <f>SUM(B24:D24,F24:I24)</f>
        <v>42474</v>
      </c>
      <c r="M24" s="91"/>
      <c r="Q24" s="1"/>
    </row>
    <row r="25" spans="1:18" ht="15.75" x14ac:dyDescent="0.25">
      <c r="A25" s="1" t="s">
        <v>18</v>
      </c>
      <c r="B25" s="15">
        <f t="shared" ref="B25:G25" si="8">B24/B26</f>
        <v>3923.6453201970448</v>
      </c>
      <c r="C25" s="35">
        <f t="shared" si="8"/>
        <v>4145.1612903225805</v>
      </c>
      <c r="D25" s="35">
        <f t="shared" si="8"/>
        <v>3238.5026737967914</v>
      </c>
      <c r="E25" s="35" t="e">
        <f t="shared" si="8"/>
        <v>#DIV/0!</v>
      </c>
      <c r="F25" s="15">
        <f t="shared" si="8"/>
        <v>3293.1937172774869</v>
      </c>
      <c r="G25" s="15">
        <f t="shared" si="8"/>
        <v>3860.8247422680415</v>
      </c>
      <c r="H25" s="15" t="s">
        <v>45</v>
      </c>
      <c r="I25" s="15">
        <f>I24/I26</f>
        <v>4169.4610778443111</v>
      </c>
      <c r="J25" s="3" t="s">
        <v>18</v>
      </c>
      <c r="L25" s="14">
        <f>SUM(B25:D25,F25:I25)</f>
        <v>22630.788821706257</v>
      </c>
      <c r="M25" s="86">
        <f>L24/L25</f>
        <v>1.8768236641959728</v>
      </c>
      <c r="Q25" s="1"/>
    </row>
    <row r="26" spans="1:18" ht="15.75" x14ac:dyDescent="0.25">
      <c r="A26" s="9" t="s">
        <v>19</v>
      </c>
      <c r="B26" s="11">
        <v>2.0299999999999998</v>
      </c>
      <c r="C26" s="11">
        <v>1.86</v>
      </c>
      <c r="D26" s="11">
        <v>1.87</v>
      </c>
      <c r="E26" s="34"/>
      <c r="F26" s="34">
        <v>1.91</v>
      </c>
      <c r="G26" s="11">
        <v>1.94</v>
      </c>
      <c r="H26" s="11"/>
      <c r="I26" s="11">
        <v>1.67</v>
      </c>
      <c r="J26" s="3" t="s">
        <v>19</v>
      </c>
      <c r="Q26" s="1"/>
    </row>
    <row r="27" spans="1:18" ht="15.75" x14ac:dyDescent="0.25">
      <c r="A27" s="1" t="s">
        <v>20</v>
      </c>
      <c r="B27" s="17" t="s">
        <v>105</v>
      </c>
      <c r="C27" s="17" t="s">
        <v>106</v>
      </c>
      <c r="D27" s="17" t="s">
        <v>107</v>
      </c>
      <c r="E27" s="17"/>
      <c r="F27" s="36" t="s">
        <v>108</v>
      </c>
      <c r="G27" s="17" t="s">
        <v>109</v>
      </c>
      <c r="H27" s="17"/>
      <c r="I27" s="17" t="s">
        <v>110</v>
      </c>
      <c r="J27" s="3" t="s">
        <v>20</v>
      </c>
      <c r="Q27" s="1"/>
    </row>
    <row r="28" spans="1:18" ht="20.25" thickBot="1" x14ac:dyDescent="0.45">
      <c r="A28" s="1" t="s">
        <v>29</v>
      </c>
      <c r="B28" s="19">
        <f>B24/B32</f>
        <v>0.99562499999999998</v>
      </c>
      <c r="C28" s="19">
        <f>C31/C32</f>
        <v>0.96375</v>
      </c>
      <c r="D28" s="19">
        <f>D31/D32</f>
        <v>0.74012500000000003</v>
      </c>
      <c r="E28" s="37">
        <f>E31/E32</f>
        <v>0</v>
      </c>
      <c r="F28" s="19">
        <f>F31/F32</f>
        <v>0.88591549295774652</v>
      </c>
      <c r="G28" s="19">
        <f>G31/G32</f>
        <v>0.93625000000000003</v>
      </c>
      <c r="H28" s="37"/>
      <c r="I28" s="19">
        <f>I31/I32</f>
        <v>0.9284</v>
      </c>
      <c r="J28" s="3" t="s">
        <v>53</v>
      </c>
      <c r="Q28" s="1"/>
    </row>
    <row r="29" spans="1:18" x14ac:dyDescent="0.25">
      <c r="A29" s="9" t="s">
        <v>30</v>
      </c>
      <c r="B29" s="8"/>
      <c r="C29" s="8">
        <v>0</v>
      </c>
      <c r="D29" s="8">
        <v>72</v>
      </c>
      <c r="E29" s="8">
        <v>0</v>
      </c>
      <c r="F29" s="8"/>
      <c r="G29" s="8">
        <v>0</v>
      </c>
      <c r="H29" s="21"/>
      <c r="I29" s="8">
        <v>0</v>
      </c>
      <c r="J29" s="3" t="s">
        <v>30</v>
      </c>
      <c r="Q29" s="1"/>
    </row>
    <row r="30" spans="1:18" x14ac:dyDescent="0.25">
      <c r="A30" s="9" t="s">
        <v>31</v>
      </c>
      <c r="B30" s="21">
        <v>91</v>
      </c>
      <c r="C30" s="21"/>
      <c r="D30" s="21">
        <v>135</v>
      </c>
      <c r="E30" s="21"/>
      <c r="F30" s="21"/>
      <c r="G30" s="21"/>
      <c r="H30" s="21"/>
      <c r="I30" s="21">
        <f>(I26*I29)</f>
        <v>0</v>
      </c>
      <c r="J30" s="3" t="s">
        <v>31</v>
      </c>
      <c r="Q30" s="1"/>
    </row>
    <row r="31" spans="1:18" ht="15.75" x14ac:dyDescent="0.25">
      <c r="A31" s="9" t="s">
        <v>17</v>
      </c>
      <c r="B31" s="22">
        <v>7874</v>
      </c>
      <c r="C31" s="22">
        <v>7710</v>
      </c>
      <c r="D31" s="22">
        <v>5921</v>
      </c>
      <c r="E31" s="22"/>
      <c r="F31" s="22">
        <v>6290</v>
      </c>
      <c r="G31" s="22">
        <v>7490</v>
      </c>
      <c r="H31" s="22"/>
      <c r="I31" s="22">
        <v>6963</v>
      </c>
      <c r="J31" s="3" t="s">
        <v>17</v>
      </c>
      <c r="M31" s="39"/>
      <c r="P31" s="39"/>
      <c r="Q31" s="39"/>
      <c r="R31" s="39"/>
    </row>
    <row r="32" spans="1:18" ht="15.75" x14ac:dyDescent="0.25">
      <c r="A32" s="9" t="s">
        <v>32</v>
      </c>
      <c r="B32" s="92">
        <v>8000</v>
      </c>
      <c r="C32" s="92">
        <v>8000</v>
      </c>
      <c r="D32" s="92">
        <v>8000</v>
      </c>
      <c r="E32" s="92">
        <v>8000</v>
      </c>
      <c r="F32" s="92">
        <v>7100</v>
      </c>
      <c r="G32" s="92">
        <v>8000</v>
      </c>
      <c r="H32" s="92">
        <v>310</v>
      </c>
      <c r="I32" s="92">
        <v>7500</v>
      </c>
      <c r="J32" s="3" t="s">
        <v>18</v>
      </c>
      <c r="L32" s="14">
        <f>SUM(B32:D32)+F32+G32+I32</f>
        <v>46600</v>
      </c>
      <c r="M32" s="89">
        <f>(L24/L32)</f>
        <v>0.91145922746781116</v>
      </c>
      <c r="Q32" s="1"/>
    </row>
    <row r="33" spans="1:18" ht="19.5" x14ac:dyDescent="0.4">
      <c r="A33" s="9" t="s">
        <v>33</v>
      </c>
      <c r="B33" s="90">
        <f t="shared" ref="B33:I33" si="9">B31-B32</f>
        <v>-126</v>
      </c>
      <c r="C33" s="90">
        <f t="shared" si="9"/>
        <v>-290</v>
      </c>
      <c r="D33" s="90">
        <f t="shared" si="9"/>
        <v>-2079</v>
      </c>
      <c r="E33" s="90">
        <f t="shared" si="9"/>
        <v>-8000</v>
      </c>
      <c r="F33" s="90">
        <f t="shared" si="9"/>
        <v>-810</v>
      </c>
      <c r="G33" s="90">
        <f t="shared" si="9"/>
        <v>-510</v>
      </c>
      <c r="H33" s="90">
        <f t="shared" si="9"/>
        <v>-310</v>
      </c>
      <c r="I33" s="90">
        <f t="shared" si="9"/>
        <v>-537</v>
      </c>
      <c r="J33" s="27"/>
      <c r="K33" s="28"/>
      <c r="L33" s="43">
        <f>SUM(B33:I33)</f>
        <v>-12662</v>
      </c>
      <c r="M33" s="89"/>
      <c r="N33" s="45" t="s">
        <v>111</v>
      </c>
      <c r="O33" s="45" t="s">
        <v>112</v>
      </c>
      <c r="P33" s="49" t="s">
        <v>113</v>
      </c>
      <c r="Q33" s="49" t="s">
        <v>114</v>
      </c>
      <c r="R33" s="28"/>
    </row>
    <row r="34" spans="1:18" x14ac:dyDescent="0.25">
      <c r="A34" s="1" t="s">
        <v>34</v>
      </c>
      <c r="B34" s="22" t="e">
        <f>SUM([2]January!B36+#REF!+[2]March!B36+[2]April!B36+[2]May!B36+[2]June!B36+[2]July!B36+'[2]August '!B36+[2]September!B36+[2]October!B36+[2]November!B36+[2]December!B36)</f>
        <v>#REF!</v>
      </c>
      <c r="C34" s="22" t="e">
        <f>SUM([2]January!C36+#REF!+[2]March!C36+[2]April!C36+[2]May!C36+[2]June!C36+[2]July!C36+'[2]August '!C36+[2]September!C36+[2]October!C36+[2]November!C36+[2]December!C36)</f>
        <v>#REF!</v>
      </c>
      <c r="D34" s="22" t="e">
        <f>SUM([2]January!D36+#REF!+[2]March!D36+[2]April!D36+[2]May!D36+[2]June!D36+[2]July!D36+'[2]August '!D36+[2]September!D36+[2]October!D36+[2]November!D36+[2]December!D36)</f>
        <v>#REF!</v>
      </c>
      <c r="E34" s="22" t="e">
        <f>SUM([2]January!E36+#REF!+[2]March!E36+[2]April!E36+[2]May!E36+[2]June!E36+[2]July!E36+'[2]August '!E36+[2]September!E36+[2]October!E36+[2]November!E36+[2]December!E36)</f>
        <v>#REF!</v>
      </c>
      <c r="F34" s="22" t="e">
        <f>SUM([2]January!F36+#REF!+[2]March!F36+[2]April!F36+[2]May!F36+[2]June!F36+[2]July!F36+'[2]August '!F36+[2]September!F36+[2]October!F36+[2]November!F36+[2]December!F36)</f>
        <v>#REF!</v>
      </c>
      <c r="G34" s="22" t="e">
        <f>SUM([2]January!G36+#REF!+[2]March!G36+[2]April!G36+[2]May!G36+[2]June!G36+[2]July!G36+'[2]August '!G36+[2]September!G36+[2]October!G36+[2]November!G36+[2]December!G36)</f>
        <v>#REF!</v>
      </c>
      <c r="H34" s="22" t="e">
        <f>SUM([2]January!H36+#REF!+[2]March!H36+[2]April!H36+[2]May!H36+[2]June!H36+[2]July!H36+'[2]August '!H36+[2]September!H36+[2]October!H36+[2]November!H36+[2]December!H36)</f>
        <v>#REF!</v>
      </c>
      <c r="I34" s="22" t="e">
        <f>SUM([2]January!I36+#REF!+[2]March!I36+[2]April!I36+[2]May!I36+[2]June!I36+[2]July!I36+'[2]August '!I36+[2]September!I36+[2]October!I36+[2]November!I36+[2]December!I36)</f>
        <v>#REF!</v>
      </c>
      <c r="J34" s="3"/>
      <c r="N34" s="46">
        <f>SUM(L17,L32,L48)</f>
        <v>151113</v>
      </c>
      <c r="O34" s="46">
        <f>SUM(L9,L24,L40,E56)</f>
        <v>139037</v>
      </c>
      <c r="P34" s="22">
        <f>SUM(L10,L25,L41,E57)</f>
        <v>72533.840253113332</v>
      </c>
      <c r="Q34" s="93">
        <f>O34/P34</f>
        <v>1.9168570079126921</v>
      </c>
    </row>
    <row r="35" spans="1:18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  <c r="Q35" s="1"/>
    </row>
    <row r="36" spans="1:18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  <c r="Q36" s="1"/>
    </row>
    <row r="37" spans="1:18" ht="15.75" thickBot="1" x14ac:dyDescent="0.3">
      <c r="A37" s="1" t="s">
        <v>4</v>
      </c>
      <c r="B37" s="6" t="s">
        <v>55</v>
      </c>
      <c r="C37" s="6" t="s">
        <v>56</v>
      </c>
      <c r="D37" s="6" t="s">
        <v>57</v>
      </c>
      <c r="E37" s="6" t="s">
        <v>58</v>
      </c>
      <c r="F37" s="6" t="s">
        <v>59</v>
      </c>
      <c r="G37" s="6" t="s">
        <v>60</v>
      </c>
      <c r="H37" s="6" t="s">
        <v>61</v>
      </c>
      <c r="I37" s="6" t="s">
        <v>62</v>
      </c>
      <c r="J37" s="3" t="s">
        <v>4</v>
      </c>
      <c r="L37" s="1"/>
      <c r="M37" s="1"/>
      <c r="N37" s="93">
        <f>O34/N34</f>
        <v>0.92008629303898404</v>
      </c>
      <c r="O37" s="1" t="s">
        <v>63</v>
      </c>
      <c r="P37" s="1"/>
      <c r="Q37" s="1"/>
    </row>
    <row r="38" spans="1:18" x14ac:dyDescent="0.25">
      <c r="A38" s="9" t="s">
        <v>13</v>
      </c>
      <c r="B38" s="10"/>
      <c r="C38" s="10" t="s">
        <v>14</v>
      </c>
      <c r="D38" s="10" t="s">
        <v>14</v>
      </c>
      <c r="E38" s="10" t="s">
        <v>14</v>
      </c>
      <c r="F38" s="10" t="s">
        <v>116</v>
      </c>
      <c r="G38" s="10" t="s">
        <v>14</v>
      </c>
      <c r="H38" s="10" t="s">
        <v>14</v>
      </c>
      <c r="I38" s="10"/>
      <c r="J38" s="3" t="s">
        <v>15</v>
      </c>
      <c r="L38" s="1"/>
      <c r="M38" s="1"/>
      <c r="N38" s="1"/>
      <c r="O38" s="1"/>
      <c r="P38" s="1"/>
      <c r="Q38" s="1"/>
    </row>
    <row r="39" spans="1:18" ht="15.75" x14ac:dyDescent="0.25">
      <c r="A39" s="1" t="s">
        <v>16</v>
      </c>
      <c r="B39" s="11"/>
      <c r="C39" s="11">
        <f t="shared" ref="C39:H39" si="10">((1/C42)/0.0004)^(1/3)</f>
        <v>10.957937084221749</v>
      </c>
      <c r="D39" s="11">
        <f t="shared" si="10"/>
        <v>10.86346740846674</v>
      </c>
      <c r="E39" s="11">
        <f t="shared" si="10"/>
        <v>11.05578098535263</v>
      </c>
      <c r="F39" s="11">
        <f t="shared" si="10"/>
        <v>10.957937084221749</v>
      </c>
      <c r="G39" s="11">
        <f t="shared" si="10"/>
        <v>10.882101179818642</v>
      </c>
      <c r="H39" s="11">
        <f t="shared" si="10"/>
        <v>10.844960613841652</v>
      </c>
      <c r="I39" s="11"/>
      <c r="J39" s="3" t="s">
        <v>16</v>
      </c>
      <c r="L39" s="6" t="s">
        <v>117</v>
      </c>
      <c r="M39" s="6" t="s">
        <v>118</v>
      </c>
      <c r="N39" s="1"/>
      <c r="O39" s="1"/>
      <c r="P39" s="1"/>
      <c r="Q39" s="1"/>
    </row>
    <row r="40" spans="1:18" ht="15.75" x14ac:dyDescent="0.25">
      <c r="A40" s="1" t="s">
        <v>17</v>
      </c>
      <c r="B40" s="15"/>
      <c r="C40" s="83">
        <f t="shared" ref="C40:H40" si="11">C47+C46</f>
        <v>6617</v>
      </c>
      <c r="D40" s="83">
        <f t="shared" si="11"/>
        <v>6896</v>
      </c>
      <c r="E40" s="83">
        <f t="shared" si="11"/>
        <v>8147</v>
      </c>
      <c r="F40" s="83">
        <f>F47+F46</f>
        <v>3810</v>
      </c>
      <c r="G40" s="83">
        <f t="shared" si="11"/>
        <v>6949</v>
      </c>
      <c r="H40" s="83">
        <f t="shared" si="11"/>
        <v>6996</v>
      </c>
      <c r="I40" s="15"/>
      <c r="J40" s="3" t="s">
        <v>17</v>
      </c>
      <c r="L40" s="14">
        <f>SUM(B40:E40,G40:H40)</f>
        <v>35605</v>
      </c>
      <c r="M40" s="46">
        <f>F40</f>
        <v>3810</v>
      </c>
      <c r="N40" s="1"/>
      <c r="O40" s="1"/>
      <c r="P40" s="1"/>
      <c r="Q40" s="1"/>
    </row>
    <row r="41" spans="1:18" ht="15.75" x14ac:dyDescent="0.25">
      <c r="A41" s="1" t="s">
        <v>18</v>
      </c>
      <c r="B41" s="15" t="s">
        <v>45</v>
      </c>
      <c r="C41" s="15">
        <f t="shared" ref="C41:H41" si="12">C40/C42</f>
        <v>3482.6315789473688</v>
      </c>
      <c r="D41" s="15">
        <f t="shared" si="12"/>
        <v>3536.4102564102564</v>
      </c>
      <c r="E41" s="15">
        <f t="shared" si="12"/>
        <v>4403.7837837837833</v>
      </c>
      <c r="F41" s="15">
        <f t="shared" si="12"/>
        <v>2005.2631578947369</v>
      </c>
      <c r="G41" s="15">
        <f t="shared" si="12"/>
        <v>3581.9587628865979</v>
      </c>
      <c r="H41" s="15">
        <f t="shared" si="12"/>
        <v>3569.387755102041</v>
      </c>
      <c r="I41" s="15" t="s">
        <v>45</v>
      </c>
      <c r="J41" s="3" t="s">
        <v>18</v>
      </c>
      <c r="K41" s="86">
        <f>L40/L41</f>
        <v>1.9169091218243357</v>
      </c>
      <c r="L41" s="14">
        <f>SUM(B41:E41,G41:H41)</f>
        <v>18574.172137130045</v>
      </c>
      <c r="M41" s="46">
        <f>F41</f>
        <v>2005.2631578947369</v>
      </c>
      <c r="N41" s="1"/>
      <c r="O41" s="1"/>
      <c r="P41" s="1"/>
      <c r="Q41" s="1"/>
    </row>
    <row r="42" spans="1:18" ht="15.75" x14ac:dyDescent="0.25">
      <c r="A42" s="1" t="s">
        <v>19</v>
      </c>
      <c r="B42" s="11"/>
      <c r="C42" s="11">
        <v>1.9</v>
      </c>
      <c r="D42" s="11">
        <v>1.95</v>
      </c>
      <c r="E42" s="11">
        <v>1.85</v>
      </c>
      <c r="F42" s="11">
        <v>1.9</v>
      </c>
      <c r="G42" s="11">
        <v>1.94</v>
      </c>
      <c r="H42" s="11">
        <v>1.96</v>
      </c>
      <c r="I42" s="11"/>
      <c r="J42" s="3" t="s">
        <v>19</v>
      </c>
      <c r="K42" s="1"/>
      <c r="L42" s="1"/>
      <c r="M42" s="1"/>
      <c r="N42" s="1"/>
      <c r="O42" s="1"/>
      <c r="P42" s="1"/>
      <c r="Q42" s="1"/>
    </row>
    <row r="43" spans="1:18" ht="15.75" x14ac:dyDescent="0.25">
      <c r="A43" s="1" t="s">
        <v>20</v>
      </c>
      <c r="B43" s="17"/>
      <c r="C43" s="17" t="s">
        <v>119</v>
      </c>
      <c r="D43" s="17"/>
      <c r="E43" s="17" t="s">
        <v>120</v>
      </c>
      <c r="F43" s="17" t="s">
        <v>121</v>
      </c>
      <c r="G43" s="17" t="s">
        <v>122</v>
      </c>
      <c r="H43" s="17" t="s">
        <v>123</v>
      </c>
      <c r="I43" s="17"/>
      <c r="J43" s="3" t="s">
        <v>20</v>
      </c>
      <c r="K43" s="1"/>
      <c r="L43" s="1"/>
      <c r="M43" s="1"/>
      <c r="N43" s="1"/>
      <c r="O43" s="1"/>
      <c r="P43" s="1"/>
      <c r="Q43" s="1"/>
    </row>
    <row r="44" spans="1:18" ht="20.25" thickBot="1" x14ac:dyDescent="0.45">
      <c r="A44" s="1" t="s">
        <v>29</v>
      </c>
      <c r="B44" s="19"/>
      <c r="C44" s="19">
        <f t="shared" ref="C44:H44" si="13">C47/C48</f>
        <v>0.75571037003197805</v>
      </c>
      <c r="D44" s="19">
        <f t="shared" si="13"/>
        <v>0.86199999999999999</v>
      </c>
      <c r="E44" s="19">
        <f t="shared" si="13"/>
        <v>0.95847058823529407</v>
      </c>
      <c r="F44" s="19">
        <f>F47/F48</f>
        <v>0.95250000000000001</v>
      </c>
      <c r="G44" s="19">
        <f t="shared" si="13"/>
        <v>0.86862499999999998</v>
      </c>
      <c r="H44" s="19">
        <f t="shared" si="13"/>
        <v>0.87450000000000006</v>
      </c>
      <c r="I44" s="37"/>
      <c r="J44" s="3" t="s">
        <v>53</v>
      </c>
      <c r="K44" s="1"/>
      <c r="L44" s="1"/>
      <c r="M44" s="1"/>
      <c r="N44" s="1"/>
      <c r="O44" s="1"/>
      <c r="P44" s="1"/>
      <c r="Q44" s="1"/>
    </row>
    <row r="45" spans="1:18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  <c r="Q45" s="1"/>
    </row>
    <row r="46" spans="1:18" x14ac:dyDescent="0.25">
      <c r="A46" s="1" t="s">
        <v>31</v>
      </c>
      <c r="B46" s="21">
        <f t="shared" ref="B46:I46" si="14">(B42*B45)</f>
        <v>0</v>
      </c>
      <c r="C46" s="21">
        <f t="shared" si="14"/>
        <v>0</v>
      </c>
      <c r="D46" s="21">
        <v>0</v>
      </c>
      <c r="E46" s="21">
        <f t="shared" si="14"/>
        <v>0</v>
      </c>
      <c r="F46" s="21"/>
      <c r="G46" s="21">
        <f t="shared" si="14"/>
        <v>0</v>
      </c>
      <c r="H46" s="21">
        <f t="shared" si="14"/>
        <v>0</v>
      </c>
      <c r="I46" s="21">
        <f t="shared" si="14"/>
        <v>0</v>
      </c>
      <c r="J46" s="3" t="s">
        <v>31</v>
      </c>
      <c r="K46" s="1"/>
      <c r="L46" s="1"/>
      <c r="M46" s="1"/>
      <c r="N46" s="1"/>
      <c r="O46" s="1"/>
      <c r="P46" s="1"/>
      <c r="Q46" s="1"/>
    </row>
    <row r="47" spans="1:18" ht="15.75" x14ac:dyDescent="0.25">
      <c r="A47" s="1" t="s">
        <v>17</v>
      </c>
      <c r="B47" s="22"/>
      <c r="C47" s="22">
        <v>6617</v>
      </c>
      <c r="D47" s="22">
        <v>6896</v>
      </c>
      <c r="E47" s="22">
        <v>8147</v>
      </c>
      <c r="F47" s="22">
        <v>3810</v>
      </c>
      <c r="G47" s="22">
        <v>6949</v>
      </c>
      <c r="H47" s="22">
        <v>6996</v>
      </c>
      <c r="I47" s="22"/>
      <c r="J47" s="3" t="s">
        <v>17</v>
      </c>
      <c r="K47" s="1"/>
      <c r="L47" s="14">
        <f>SUM(B47:E47,G47:H47)</f>
        <v>35605</v>
      </c>
      <c r="M47" s="1"/>
      <c r="N47" s="1"/>
      <c r="O47" s="1"/>
      <c r="P47" s="1"/>
      <c r="Q47" s="1"/>
    </row>
    <row r="48" spans="1:18" ht="15.75" x14ac:dyDescent="0.25">
      <c r="A48" s="1" t="s">
        <v>32</v>
      </c>
      <c r="B48" s="14"/>
      <c r="C48" s="14">
        <v>8756</v>
      </c>
      <c r="D48" s="14">
        <v>8000</v>
      </c>
      <c r="E48" s="14">
        <v>8500</v>
      </c>
      <c r="F48" s="14">
        <v>4000</v>
      </c>
      <c r="G48" s="14">
        <v>8000</v>
      </c>
      <c r="H48" s="14">
        <v>8000</v>
      </c>
      <c r="I48" s="14"/>
      <c r="J48" s="3" t="s">
        <v>18</v>
      </c>
      <c r="K48" s="1"/>
      <c r="L48" s="14">
        <f>SUM(B48:E48,G48:H48)</f>
        <v>41256</v>
      </c>
      <c r="M48" s="89">
        <f>(L40/L48)</f>
        <v>0.86302598409928255</v>
      </c>
      <c r="N48" s="39"/>
      <c r="O48" s="39"/>
      <c r="P48" s="39"/>
      <c r="Q48" s="39"/>
      <c r="R48" s="39"/>
    </row>
    <row r="49" spans="1:18" ht="19.5" x14ac:dyDescent="0.4">
      <c r="A49" s="1" t="s">
        <v>33</v>
      </c>
      <c r="B49" s="41">
        <f>B47-B48</f>
        <v>0</v>
      </c>
      <c r="C49" s="40">
        <f t="shared" ref="C49:I49" si="15">C47-C48</f>
        <v>-2139</v>
      </c>
      <c r="D49" s="40">
        <f t="shared" si="15"/>
        <v>-1104</v>
      </c>
      <c r="E49" s="40">
        <f t="shared" si="15"/>
        <v>-353</v>
      </c>
      <c r="F49" s="41">
        <f t="shared" si="15"/>
        <v>-190</v>
      </c>
      <c r="G49" s="40">
        <f t="shared" si="15"/>
        <v>-1051</v>
      </c>
      <c r="H49" s="40">
        <f t="shared" si="15"/>
        <v>-1004</v>
      </c>
      <c r="I49" s="40">
        <f t="shared" si="15"/>
        <v>0</v>
      </c>
      <c r="J49" s="27"/>
      <c r="K49" s="45"/>
      <c r="L49" s="14">
        <f>SUM(B49:E49,G49:H49)</f>
        <v>-5651</v>
      </c>
      <c r="M49" s="45"/>
      <c r="N49" s="45"/>
      <c r="O49" s="45"/>
      <c r="P49" s="45"/>
      <c r="Q49" s="45"/>
      <c r="R49" s="28"/>
    </row>
    <row r="50" spans="1:18" x14ac:dyDescent="0.25">
      <c r="A50" s="1" t="s">
        <v>34</v>
      </c>
      <c r="B50" s="22" t="e">
        <f>SUM([2]January!B53+#REF!+[2]March!B53+[2]April!B53+[2]May!B53+[2]June!B53+[2]July!B53+'[2]August '!B53+[2]September!B53+[2]October!B53+[2]November!B53+[2]December!B53)</f>
        <v>#REF!</v>
      </c>
      <c r="C50" s="22" t="e">
        <f>SUM([2]January!C53+#REF!+[2]March!C53+[2]April!C53+[2]May!C53+[2]June!C53+[2]July!C53+'[2]August '!C53+[2]September!C53+[2]October!C53+[2]November!C53+[2]December!C53)</f>
        <v>#REF!</v>
      </c>
      <c r="D50" s="22" t="e">
        <f>SUM([2]January!D53+#REF!+[2]March!D53+[2]April!D53+[2]May!D53+[2]June!D53+[2]July!D53+'[2]August '!D53+[2]September!D53+[2]October!D53+[2]November!D53+[2]December!D53)</f>
        <v>#REF!</v>
      </c>
      <c r="E50" s="22" t="e">
        <f>SUM([2]January!E53+#REF!+[2]March!E53+[2]April!E53+[2]May!E53+[2]June!E53+[2]July!E53+'[2]August '!E53+[2]September!E53+[2]October!E53+[2]November!E53+[2]December!E53)</f>
        <v>#REF!</v>
      </c>
      <c r="F50" s="22" t="e">
        <f>SUM([2]January!F53+#REF!+[2]March!F53+[2]April!F53+[2]May!F53+[2]June!F53+[2]July!F53+'[2]August '!F53+[2]September!F53+[2]October!F53+[2]November!F53+[2]December!F53)</f>
        <v>#REF!</v>
      </c>
      <c r="G50" s="22" t="e">
        <f>SUM([2]January!G53+#REF!+[2]March!G53+[2]April!G53+[2]May!G53+[2]June!G53+[2]July!G53+'[2]August '!G53+[2]September!G53+[2]October!G53+[2]November!G53+[2]December!G53)</f>
        <v>#REF!</v>
      </c>
      <c r="H50" s="22" t="e">
        <f>SUM([2]January!H53+#REF!+[2]March!H53+[2]April!H53+[2]May!H53+[2]June!H53+[2]July!H53+'[2]August '!H53+[2]September!H53+[2]October!H53+[2]November!H53+[2]December!H53)</f>
        <v>#REF!</v>
      </c>
      <c r="I50" s="22" t="e">
        <f>SUM([2]January!I53+#REF!+[2]March!I53+[2]April!I53+[2]May!I53+[2]June!I53+[2]July!I53+'[2]August '!I53+[2]September!I53+[2]October!I53+[2]November!I53+[2]December!I53)</f>
        <v>#REF!</v>
      </c>
      <c r="J50" s="3"/>
      <c r="K50" s="1"/>
      <c r="L50" s="1"/>
      <c r="M50" s="1"/>
      <c r="N50" s="1"/>
      <c r="O50" s="1"/>
      <c r="P50" s="1"/>
      <c r="Q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</row>
    <row r="52" spans="1:18" x14ac:dyDescent="0.25">
      <c r="A52" s="1"/>
      <c r="C52" s="1"/>
      <c r="D52" s="1"/>
      <c r="E52" s="1"/>
      <c r="F52" s="1"/>
      <c r="H52" s="1"/>
      <c r="I52" s="6" t="s">
        <v>69</v>
      </c>
      <c r="J52" s="3"/>
      <c r="K52" s="1"/>
      <c r="L52" s="1"/>
      <c r="M52" s="1"/>
      <c r="N52" s="1"/>
      <c r="O52" s="1"/>
      <c r="P52" s="1"/>
      <c r="Q52" s="1"/>
    </row>
    <row r="53" spans="1:18" ht="16.5" thickBot="1" x14ac:dyDescent="0.3">
      <c r="A53" s="1"/>
      <c r="B53" s="1"/>
      <c r="C53" s="1"/>
      <c r="D53" s="1" t="s">
        <v>70</v>
      </c>
      <c r="E53" s="7" t="s">
        <v>39</v>
      </c>
      <c r="F53" s="6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1"/>
      <c r="M53" s="1"/>
      <c r="N53" s="1"/>
      <c r="O53" s="1"/>
      <c r="P53" s="1"/>
    </row>
    <row r="54" spans="1:18" x14ac:dyDescent="0.25">
      <c r="A54" s="1"/>
      <c r="B54" s="1"/>
      <c r="C54" s="1"/>
      <c r="D54" s="1" t="s">
        <v>15</v>
      </c>
      <c r="E54" s="10" t="s">
        <v>124</v>
      </c>
      <c r="F54" s="10"/>
      <c r="G54" s="10" t="s">
        <v>76</v>
      </c>
      <c r="H54" s="3" t="s">
        <v>77</v>
      </c>
      <c r="I54" s="22">
        <v>3294</v>
      </c>
      <c r="J54" s="51">
        <v>1.95</v>
      </c>
      <c r="K54" s="52">
        <f t="shared" ref="K54:K59" si="16">I54/J54</f>
        <v>1689.2307692307693</v>
      </c>
      <c r="L54" s="1"/>
      <c r="M54" s="1"/>
      <c r="N54" s="1"/>
      <c r="O54" s="1"/>
    </row>
    <row r="55" spans="1:18" ht="15.75" x14ac:dyDescent="0.25">
      <c r="A55" s="1"/>
      <c r="B55" s="1"/>
      <c r="C55" s="1"/>
      <c r="D55" s="1" t="s">
        <v>16</v>
      </c>
      <c r="E55" s="11">
        <f>((1/E58)/0.0004)^(1/3)</f>
        <v>10.515594959922201</v>
      </c>
      <c r="F55" s="11"/>
      <c r="G55" s="11" t="e">
        <f>((1/G58)/0.0004)^(1/3)</f>
        <v>#DIV/0!</v>
      </c>
      <c r="H55" s="3" t="s">
        <v>78</v>
      </c>
      <c r="I55" s="22">
        <v>3535</v>
      </c>
      <c r="J55" s="51">
        <v>1.91</v>
      </c>
      <c r="K55" s="52">
        <f t="shared" si="16"/>
        <v>1850.7853403141362</v>
      </c>
      <c r="L55" s="1"/>
      <c r="M55" s="1"/>
      <c r="N55" s="1"/>
      <c r="O55" s="1"/>
    </row>
    <row r="56" spans="1:18" ht="15.75" x14ac:dyDescent="0.25">
      <c r="A56" s="1"/>
      <c r="B56" s="1"/>
      <c r="C56" s="1"/>
      <c r="D56" s="1" t="s">
        <v>17</v>
      </c>
      <c r="E56" s="83">
        <f>E63+E62</f>
        <v>1088</v>
      </c>
      <c r="F56" s="15"/>
      <c r="G56" s="15"/>
      <c r="H56" s="3" t="s">
        <v>125</v>
      </c>
      <c r="I56" s="22">
        <v>3002</v>
      </c>
      <c r="J56" s="51">
        <v>1.93</v>
      </c>
      <c r="K56" s="52">
        <f t="shared" si="16"/>
        <v>1555.4404145077722</v>
      </c>
      <c r="L56" s="1"/>
      <c r="M56" s="1"/>
      <c r="N56" s="1"/>
      <c r="O56" s="1"/>
    </row>
    <row r="57" spans="1:18" ht="15.75" x14ac:dyDescent="0.25">
      <c r="D57" s="1" t="s">
        <v>18</v>
      </c>
      <c r="E57" s="15">
        <f>E56/E58</f>
        <v>506.04651162790702</v>
      </c>
      <c r="F57" s="15" t="s">
        <v>45</v>
      </c>
      <c r="G57" s="15" t="e">
        <f>G56/G58</f>
        <v>#DIV/0!</v>
      </c>
      <c r="H57" s="3" t="s">
        <v>81</v>
      </c>
      <c r="I57" s="6">
        <v>2306</v>
      </c>
      <c r="J57" s="6">
        <v>1.93</v>
      </c>
      <c r="K57" s="52">
        <f t="shared" si="16"/>
        <v>1194.8186528497411</v>
      </c>
      <c r="L57" s="1"/>
      <c r="M57" s="1"/>
      <c r="N57" s="1"/>
      <c r="O57" s="1"/>
    </row>
    <row r="58" spans="1:18" ht="15.75" x14ac:dyDescent="0.25">
      <c r="D58" s="1" t="s">
        <v>19</v>
      </c>
      <c r="E58" s="11">
        <v>2.15</v>
      </c>
      <c r="F58" s="53"/>
      <c r="G58" s="11"/>
      <c r="H58" s="94" t="s">
        <v>82</v>
      </c>
      <c r="I58" s="54">
        <v>2973</v>
      </c>
      <c r="J58" s="55">
        <v>2</v>
      </c>
      <c r="K58" s="95">
        <f t="shared" si="16"/>
        <v>1486.5</v>
      </c>
      <c r="L58" s="1"/>
      <c r="M58" s="1"/>
      <c r="N58" s="1"/>
      <c r="O58" s="1"/>
    </row>
    <row r="59" spans="1:18" ht="16.5" thickBot="1" x14ac:dyDescent="0.3">
      <c r="D59" s="1" t="s">
        <v>20</v>
      </c>
      <c r="E59" s="17" t="s">
        <v>126</v>
      </c>
      <c r="F59" s="17"/>
      <c r="G59" s="17"/>
      <c r="H59" s="96" t="s">
        <v>83</v>
      </c>
      <c r="I59" s="76">
        <v>96</v>
      </c>
      <c r="J59" s="97">
        <v>1.9</v>
      </c>
      <c r="K59" s="98">
        <f t="shared" si="16"/>
        <v>50.526315789473685</v>
      </c>
      <c r="L59" s="1"/>
      <c r="M59" s="1"/>
      <c r="N59" s="1"/>
      <c r="O59" s="1"/>
    </row>
    <row r="60" spans="1:18" ht="20.25" thickBot="1" x14ac:dyDescent="0.45">
      <c r="D60" s="1" t="s">
        <v>29</v>
      </c>
      <c r="E60" s="37"/>
      <c r="F60" s="37"/>
      <c r="G60" s="37">
        <f>G63/G64</f>
        <v>0</v>
      </c>
      <c r="H60" s="3" t="s">
        <v>127</v>
      </c>
      <c r="I60" s="54">
        <f>SUM(I54:I59)</f>
        <v>15206</v>
      </c>
      <c r="J60" s="6"/>
      <c r="K60" s="54">
        <f>SUM(K54:K59)</f>
        <v>7827.3014926918922</v>
      </c>
      <c r="L60" s="1"/>
      <c r="M60" s="1"/>
      <c r="N60" s="1"/>
      <c r="O60" s="1"/>
    </row>
    <row r="61" spans="1:18" ht="15.75" x14ac:dyDescent="0.25">
      <c r="D61" s="1" t="s">
        <v>84</v>
      </c>
      <c r="E61" s="20">
        <v>0</v>
      </c>
      <c r="F61" s="20">
        <v>0</v>
      </c>
      <c r="G61" s="20">
        <v>0</v>
      </c>
      <c r="H61" s="1" t="s">
        <v>32</v>
      </c>
      <c r="I61" s="22">
        <f>SUM(F64:G64)</f>
        <v>16299</v>
      </c>
      <c r="J61" s="1"/>
      <c r="K61" s="52"/>
      <c r="L61" s="60">
        <f>I60/K60</f>
        <v>1.9426874018072984</v>
      </c>
      <c r="M61" s="1"/>
      <c r="N61" s="1"/>
      <c r="O61" s="1"/>
    </row>
    <row r="62" spans="1:18" ht="19.5" x14ac:dyDescent="0.4">
      <c r="D62" s="1" t="s">
        <v>86</v>
      </c>
      <c r="E62" s="20">
        <v>0</v>
      </c>
      <c r="F62" s="20">
        <v>0</v>
      </c>
      <c r="G62" s="20">
        <v>0</v>
      </c>
      <c r="H62" s="1" t="s">
        <v>29</v>
      </c>
      <c r="I62" s="63">
        <f>I60/I61</f>
        <v>0.93294067120682256</v>
      </c>
      <c r="J62" s="64"/>
      <c r="L62" s="1"/>
      <c r="M62" s="1"/>
      <c r="N62" s="1"/>
      <c r="O62" s="1"/>
    </row>
    <row r="63" spans="1:18" x14ac:dyDescent="0.25">
      <c r="D63" s="1" t="s">
        <v>17</v>
      </c>
      <c r="E63" s="23">
        <v>1088</v>
      </c>
      <c r="F63" s="22">
        <f>F56</f>
        <v>0</v>
      </c>
      <c r="G63" s="22"/>
      <c r="H63" s="1"/>
      <c r="I63" s="3"/>
      <c r="J63" s="1"/>
      <c r="K63" s="1"/>
      <c r="L63" s="1"/>
      <c r="M63" s="1"/>
      <c r="N63" s="1"/>
      <c r="O63" s="1"/>
      <c r="P63" s="1"/>
    </row>
    <row r="64" spans="1:18" ht="15.75" x14ac:dyDescent="0.25">
      <c r="D64" s="1" t="s">
        <v>32</v>
      </c>
      <c r="E64" s="23"/>
      <c r="F64" s="14"/>
      <c r="G64" s="14">
        <v>16299</v>
      </c>
      <c r="H64" s="1"/>
      <c r="I64" s="1"/>
      <c r="J64" s="3"/>
      <c r="K64" s="1"/>
      <c r="L64" s="1"/>
      <c r="M64" s="1"/>
      <c r="N64" s="1"/>
      <c r="O64" s="1"/>
      <c r="P64" s="1"/>
    </row>
    <row r="65" spans="1:17" ht="15.75" x14ac:dyDescent="0.25">
      <c r="D65" s="1" t="s">
        <v>88</v>
      </c>
      <c r="E65" s="61">
        <f>E63-E64</f>
        <v>1088</v>
      </c>
      <c r="F65" s="43">
        <f>F63-F64</f>
        <v>0</v>
      </c>
      <c r="G65" s="43">
        <f>G63-G64</f>
        <v>-16299</v>
      </c>
      <c r="H65" s="1"/>
      <c r="I65" s="1"/>
      <c r="J65" s="3"/>
      <c r="K65" s="1"/>
      <c r="L65" s="1"/>
      <c r="M65" s="1"/>
      <c r="N65" s="1"/>
      <c r="O65" s="1"/>
      <c r="P65" s="1"/>
    </row>
    <row r="66" spans="1:17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7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  <c r="Q67" s="1"/>
    </row>
    <row r="68" spans="1:17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  <c r="Q68" s="1"/>
    </row>
    <row r="69" spans="1:17" x14ac:dyDescent="0.25">
      <c r="D69" s="1"/>
      <c r="E69" s="22"/>
      <c r="F69" s="22"/>
      <c r="G69" s="22"/>
      <c r="J69" s="33"/>
      <c r="L69" s="1"/>
      <c r="M69" s="1"/>
      <c r="N69" s="1"/>
      <c r="O69" s="1"/>
      <c r="P69" s="1"/>
      <c r="Q69" s="1"/>
    </row>
    <row r="70" spans="1:17" x14ac:dyDescent="0.25">
      <c r="D70" s="1"/>
      <c r="E70" s="22"/>
      <c r="F70" s="22"/>
      <c r="G70" s="22"/>
      <c r="M70" s="1"/>
      <c r="N70" s="1"/>
      <c r="O70" s="1"/>
      <c r="P70" s="1"/>
      <c r="Q70" s="1"/>
    </row>
    <row r="71" spans="1:17" x14ac:dyDescent="0.25">
      <c r="D71" s="1"/>
      <c r="E71" s="51"/>
      <c r="F71" s="51"/>
      <c r="G71" s="51"/>
      <c r="M71" s="1"/>
      <c r="N71" s="1"/>
      <c r="O71" s="1"/>
      <c r="P71" s="1"/>
      <c r="Q71" s="1"/>
    </row>
    <row r="72" spans="1:17" ht="15.75" thickBot="1" x14ac:dyDescent="0.3">
      <c r="A72" s="1"/>
      <c r="B72" s="1"/>
      <c r="C72" s="1"/>
      <c r="D72" s="1"/>
      <c r="E72" s="1"/>
      <c r="F72" s="1"/>
      <c r="G72" s="1"/>
      <c r="P72" s="1"/>
      <c r="Q72" s="1"/>
    </row>
    <row r="73" spans="1:17" x14ac:dyDescent="0.25">
      <c r="D73" s="65"/>
      <c r="E73" s="66"/>
      <c r="F73" s="66"/>
      <c r="G73" s="66"/>
      <c r="H73" s="67"/>
      <c r="M73" s="1"/>
      <c r="N73" s="1"/>
    </row>
    <row r="74" spans="1:17" x14ac:dyDescent="0.25">
      <c r="D74" s="68" t="s">
        <v>89</v>
      </c>
      <c r="E74" s="69"/>
      <c r="F74" s="70"/>
      <c r="G74" s="71" t="s">
        <v>90</v>
      </c>
      <c r="H74" s="72"/>
    </row>
    <row r="75" spans="1:17" x14ac:dyDescent="0.25">
      <c r="D75" s="73" t="s">
        <v>17</v>
      </c>
      <c r="E75" s="54">
        <f>SUM(B17:I17,B24:I24,B40:I40)</f>
        <v>145146</v>
      </c>
      <c r="F75" s="70"/>
      <c r="G75" s="70" t="s">
        <v>17</v>
      </c>
      <c r="H75" s="74">
        <f>SUM(F56)</f>
        <v>0</v>
      </c>
      <c r="J75" s="33"/>
    </row>
    <row r="76" spans="1:17" x14ac:dyDescent="0.25">
      <c r="D76" s="73" t="s">
        <v>18</v>
      </c>
      <c r="E76" s="54">
        <f>SUM(B10:I10,B25:D25,F25,H25,B41:D41,H41)</f>
        <v>56011.765374702692</v>
      </c>
      <c r="F76" s="70"/>
      <c r="G76" s="70" t="s">
        <v>18</v>
      </c>
      <c r="H76" s="74">
        <f>SUM(F57)</f>
        <v>0</v>
      </c>
      <c r="J76" s="33"/>
    </row>
    <row r="77" spans="1:17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8">
        <f>B66</f>
        <v>0</v>
      </c>
      <c r="J77" s="33"/>
    </row>
    <row r="78" spans="1:17" ht="15.75" thickBot="1" x14ac:dyDescent="0.3">
      <c r="H78" s="1"/>
      <c r="J78" s="33"/>
    </row>
    <row r="79" spans="1:17" x14ac:dyDescent="0.25">
      <c r="D79" s="65" t="s">
        <v>91</v>
      </c>
      <c r="E79" s="66"/>
      <c r="F79" s="66"/>
      <c r="G79" s="79"/>
      <c r="H79" s="1"/>
      <c r="J79" s="33"/>
    </row>
    <row r="80" spans="1:17" x14ac:dyDescent="0.25">
      <c r="A80" s="1"/>
      <c r="D80" s="73" t="s">
        <v>92</v>
      </c>
      <c r="E80" s="70"/>
      <c r="F80" s="80"/>
      <c r="G80" s="74">
        <f>SUM(E75,H75)</f>
        <v>145146</v>
      </c>
      <c r="J80" s="33"/>
    </row>
    <row r="81" spans="1:10" x14ac:dyDescent="0.25">
      <c r="A81" s="1"/>
      <c r="D81" s="73" t="s">
        <v>93</v>
      </c>
      <c r="E81" s="70"/>
      <c r="F81" s="80"/>
      <c r="G81" s="74">
        <f>SUM(E76,H76)</f>
        <v>56011.765374702692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SUM(B18:I18,B33:I33,B49:E49,H49)</f>
        <v>-20649</v>
      </c>
      <c r="J82" s="33"/>
    </row>
    <row r="83" spans="1:10" x14ac:dyDescent="0.25">
      <c r="J83" s="33"/>
    </row>
  </sheetData>
  <mergeCells count="1">
    <mergeCell ref="D74:E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4F3-5A32-4DDA-BAB5-53925CD9FD28}">
  <dimension ref="A1:K83"/>
  <sheetViews>
    <sheetView topLeftCell="A34" workbookViewId="0">
      <selection activeCell="Q15" sqref="Q15"/>
    </sheetView>
  </sheetViews>
  <sheetFormatPr defaultRowHeight="15" x14ac:dyDescent="0.25"/>
  <cols>
    <col min="1" max="1" width="13.42578125" bestFit="1" customWidth="1"/>
    <col min="2" max="2" width="12.28515625" bestFit="1" customWidth="1"/>
    <col min="3" max="3" width="10" bestFit="1" customWidth="1"/>
    <col min="4" max="4" width="15.42578125" customWidth="1"/>
    <col min="5" max="5" width="12.7109375" customWidth="1"/>
    <col min="6" max="6" width="15.7109375" customWidth="1"/>
    <col min="7" max="7" width="15.5703125" bestFit="1" customWidth="1"/>
    <col min="8" max="8" width="16.28515625" bestFit="1" customWidth="1"/>
    <col min="9" max="9" width="11.42578125" bestFit="1" customWidth="1"/>
    <col min="10" max="10" width="13.42578125" bestFit="1" customWidth="1"/>
  </cols>
  <sheetData>
    <row r="1" spans="1:11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</row>
    <row r="2" spans="1:11" ht="18" x14ac:dyDescent="0.25">
      <c r="A2" s="1"/>
      <c r="B2" s="1"/>
      <c r="C2" s="1"/>
      <c r="D2" s="2" t="s">
        <v>128</v>
      </c>
      <c r="E2" s="1"/>
      <c r="F2" s="1"/>
      <c r="G2" s="1"/>
      <c r="I2" s="1"/>
      <c r="J2" s="3"/>
      <c r="K2" s="1"/>
    </row>
    <row r="3" spans="1:11" ht="18" x14ac:dyDescent="0.25">
      <c r="A3" s="1"/>
      <c r="B3" s="1"/>
      <c r="C3" s="1"/>
      <c r="D3" s="1"/>
      <c r="E3" s="99"/>
      <c r="F3" s="1"/>
      <c r="G3" s="1"/>
      <c r="H3" s="5"/>
      <c r="J3" s="3"/>
      <c r="K3" s="1"/>
    </row>
    <row r="4" spans="1:11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</row>
    <row r="6" spans="1:11" x14ac:dyDescent="0.25">
      <c r="A6" s="1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3" t="s">
        <v>4</v>
      </c>
      <c r="K6" s="8"/>
    </row>
    <row r="7" spans="1:11" ht="15.75" thickBot="1" x14ac:dyDescent="0.3">
      <c r="A7" s="9" t="s">
        <v>129</v>
      </c>
      <c r="B7" s="100"/>
      <c r="C7" s="100"/>
      <c r="D7" s="100"/>
      <c r="E7" s="100"/>
      <c r="F7" s="100"/>
      <c r="G7" s="100"/>
      <c r="H7" s="100"/>
      <c r="I7" s="100"/>
      <c r="J7" s="3" t="s">
        <v>129</v>
      </c>
      <c r="K7" s="16"/>
    </row>
    <row r="8" spans="1:11" x14ac:dyDescent="0.25">
      <c r="A8" s="1" t="s">
        <v>13</v>
      </c>
      <c r="B8" s="10" t="s">
        <v>14</v>
      </c>
      <c r="C8" s="10" t="s">
        <v>14</v>
      </c>
      <c r="D8" s="10" t="s">
        <v>43</v>
      </c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3" t="s">
        <v>15</v>
      </c>
      <c r="K8" s="8"/>
    </row>
    <row r="9" spans="1:11" ht="15.75" x14ac:dyDescent="0.25">
      <c r="A9" s="1" t="s">
        <v>16</v>
      </c>
      <c r="B9" s="11">
        <f t="shared" ref="B9:H9" si="0">((1/B12)/0.0004)^(1/3)</f>
        <v>11.136630518875656</v>
      </c>
      <c r="C9" s="11">
        <f>((1/C12)/0.0004)^(1/3)</f>
        <v>8.0909466340482901</v>
      </c>
      <c r="D9" s="11">
        <f t="shared" si="0"/>
        <v>8.1197198016466654</v>
      </c>
      <c r="E9" s="11">
        <f>((1/E12)/0.0004)^(1/3)</f>
        <v>9.9734746764762576</v>
      </c>
      <c r="F9" s="11">
        <f t="shared" si="0"/>
        <v>5.885949245072851</v>
      </c>
      <c r="G9" s="11">
        <f t="shared" si="0"/>
        <v>6.1419487463096694</v>
      </c>
      <c r="H9" s="11">
        <f t="shared" si="0"/>
        <v>7.8339156009548452</v>
      </c>
      <c r="I9" s="11">
        <f>((1/I12)/0.0004)^(1/3)</f>
        <v>6.1745478984893483</v>
      </c>
      <c r="J9" s="3" t="s">
        <v>16</v>
      </c>
      <c r="K9" s="12"/>
    </row>
    <row r="10" spans="1:11" ht="15.75" x14ac:dyDescent="0.25">
      <c r="A10" s="9" t="s">
        <v>17</v>
      </c>
      <c r="B10" s="13">
        <v>6316</v>
      </c>
      <c r="C10" s="13">
        <v>9035</v>
      </c>
      <c r="D10" s="13">
        <v>8916</v>
      </c>
      <c r="E10" s="13">
        <v>7014</v>
      </c>
      <c r="F10" s="13">
        <v>20214</v>
      </c>
      <c r="G10" s="13">
        <v>15200</v>
      </c>
      <c r="H10" s="13">
        <v>10219</v>
      </c>
      <c r="I10" s="13">
        <v>22289</v>
      </c>
      <c r="J10" s="3" t="s">
        <v>17</v>
      </c>
      <c r="K10" s="24">
        <f>SUM(B10:I10)</f>
        <v>99203</v>
      </c>
    </row>
    <row r="11" spans="1:11" ht="15.75" x14ac:dyDescent="0.25">
      <c r="A11" s="1" t="s">
        <v>18</v>
      </c>
      <c r="B11" s="15">
        <f t="shared" ref="B11:H11" si="1">B10/B12</f>
        <v>3489.5027624309391</v>
      </c>
      <c r="C11" s="15">
        <f>C10/C12</f>
        <v>1914.1949152542375</v>
      </c>
      <c r="D11" s="15">
        <f t="shared" si="1"/>
        <v>1909.2077087794432</v>
      </c>
      <c r="E11" s="15">
        <f t="shared" si="1"/>
        <v>2783.3333333333335</v>
      </c>
      <c r="F11" s="15">
        <f t="shared" si="1"/>
        <v>1648.7765089722675</v>
      </c>
      <c r="G11" s="15">
        <f t="shared" si="1"/>
        <v>1408.7117701575535</v>
      </c>
      <c r="H11" s="15">
        <f t="shared" si="1"/>
        <v>1965.1923076923076</v>
      </c>
      <c r="I11" s="15">
        <f>I10/I12</f>
        <v>2098.7758945386067</v>
      </c>
      <c r="J11" s="3" t="s">
        <v>18</v>
      </c>
      <c r="K11" s="24">
        <f>SUM(B11:I11)</f>
        <v>17217.695201158691</v>
      </c>
    </row>
    <row r="12" spans="1:11" ht="15.75" x14ac:dyDescent="0.25">
      <c r="A12" s="9" t="s">
        <v>19</v>
      </c>
      <c r="B12" s="101">
        <v>1.81</v>
      </c>
      <c r="C12" s="101">
        <v>4.72</v>
      </c>
      <c r="D12" s="101">
        <v>4.67</v>
      </c>
      <c r="E12" s="101">
        <v>2.52</v>
      </c>
      <c r="F12" s="101">
        <v>12.26</v>
      </c>
      <c r="G12" s="101">
        <v>10.79</v>
      </c>
      <c r="H12" s="101">
        <v>5.2</v>
      </c>
      <c r="I12" s="101">
        <v>10.62</v>
      </c>
      <c r="J12" s="3" t="s">
        <v>19</v>
      </c>
      <c r="K12" s="12"/>
    </row>
    <row r="13" spans="1:11" ht="15.75" x14ac:dyDescent="0.25">
      <c r="A13" s="1" t="s">
        <v>20</v>
      </c>
      <c r="B13" s="83"/>
      <c r="C13" s="83"/>
      <c r="D13" s="83"/>
      <c r="E13" s="83"/>
      <c r="F13" s="83"/>
      <c r="G13" s="83"/>
      <c r="H13" s="83"/>
      <c r="I13" s="83"/>
      <c r="J13" s="3" t="s">
        <v>20</v>
      </c>
      <c r="K13" s="18"/>
    </row>
    <row r="14" spans="1:11" ht="16.5" thickBot="1" x14ac:dyDescent="0.3">
      <c r="A14" s="1" t="s">
        <v>53</v>
      </c>
      <c r="B14" s="102"/>
      <c r="C14" s="102"/>
      <c r="D14" s="103"/>
      <c r="E14" s="103"/>
      <c r="F14" s="103"/>
      <c r="G14" s="103"/>
      <c r="H14" s="103"/>
      <c r="I14" s="103"/>
      <c r="J14" s="3" t="s">
        <v>53</v>
      </c>
      <c r="K14" s="20"/>
    </row>
    <row r="15" spans="1:11" x14ac:dyDescent="0.25">
      <c r="A15" s="1" t="s">
        <v>130</v>
      </c>
      <c r="B15" s="51" t="e">
        <f t="shared" ref="B15:I15" si="2">B11/(B9*B7)</f>
        <v>#DIV/0!</v>
      </c>
      <c r="C15" s="51" t="e">
        <f t="shared" si="2"/>
        <v>#DIV/0!</v>
      </c>
      <c r="D15" s="51" t="e">
        <f t="shared" si="2"/>
        <v>#DIV/0!</v>
      </c>
      <c r="E15" s="51" t="e">
        <f t="shared" si="2"/>
        <v>#DIV/0!</v>
      </c>
      <c r="F15" s="51" t="e">
        <f t="shared" si="2"/>
        <v>#DIV/0!</v>
      </c>
      <c r="G15" s="51" t="e">
        <f t="shared" si="2"/>
        <v>#DIV/0!</v>
      </c>
      <c r="H15" s="51" t="e">
        <f t="shared" si="2"/>
        <v>#DIV/0!</v>
      </c>
      <c r="I15" s="51" t="e">
        <f t="shared" si="2"/>
        <v>#DIV/0!</v>
      </c>
      <c r="J15" s="3" t="s">
        <v>130</v>
      </c>
      <c r="K15" s="86"/>
    </row>
    <row r="16" spans="1:11" x14ac:dyDescent="0.25">
      <c r="A16" s="1" t="s">
        <v>131</v>
      </c>
      <c r="B16" s="104">
        <f t="shared" ref="B16:I16" si="3">B11/(B9*1600)</f>
        <v>0.19583474757673136</v>
      </c>
      <c r="C16" s="104">
        <f t="shared" si="3"/>
        <v>0.14786549413134567</v>
      </c>
      <c r="D16" s="104">
        <f t="shared" si="3"/>
        <v>0.14695763488601687</v>
      </c>
      <c r="E16" s="104">
        <f t="shared" si="3"/>
        <v>0.17442099065397618</v>
      </c>
      <c r="F16" s="104">
        <f t="shared" si="3"/>
        <v>0.17507546789845158</v>
      </c>
      <c r="G16" s="104">
        <f t="shared" si="3"/>
        <v>0.14334943072872069</v>
      </c>
      <c r="H16" s="104">
        <f t="shared" si="3"/>
        <v>0.15678560439915723</v>
      </c>
      <c r="I16" s="104">
        <f t="shared" si="3"/>
        <v>0.2124422638955567</v>
      </c>
      <c r="J16" s="3" t="s">
        <v>131</v>
      </c>
      <c r="K16" s="86"/>
    </row>
    <row r="17" spans="1:11" x14ac:dyDescent="0.25">
      <c r="A17" s="9" t="s">
        <v>132</v>
      </c>
      <c r="B17" s="105"/>
      <c r="C17" s="105"/>
      <c r="D17" s="105"/>
      <c r="E17" s="105"/>
      <c r="F17" s="105"/>
      <c r="G17" s="105"/>
      <c r="H17" s="105"/>
      <c r="I17" s="105"/>
      <c r="J17" s="3" t="s">
        <v>132</v>
      </c>
      <c r="K17" s="24"/>
    </row>
    <row r="18" spans="1:11" x14ac:dyDescent="0.25">
      <c r="A18" s="9" t="s">
        <v>133</v>
      </c>
      <c r="B18" s="105"/>
      <c r="C18" s="105"/>
      <c r="D18" s="105"/>
      <c r="E18" s="105"/>
      <c r="F18" s="105"/>
      <c r="G18" s="105"/>
      <c r="H18" s="105"/>
      <c r="I18" s="105"/>
      <c r="J18" s="3" t="s">
        <v>133</v>
      </c>
      <c r="K18" s="24"/>
    </row>
    <row r="19" spans="1:11" x14ac:dyDescent="0.25">
      <c r="A19" s="9" t="s">
        <v>34</v>
      </c>
      <c r="B19" s="22"/>
      <c r="C19" s="22"/>
      <c r="D19" s="22"/>
      <c r="E19" s="22"/>
      <c r="F19" s="22"/>
      <c r="G19" s="22"/>
      <c r="H19" s="22"/>
      <c r="I19" s="22"/>
      <c r="J19" s="3" t="s">
        <v>34</v>
      </c>
      <c r="K19" s="24"/>
    </row>
    <row r="20" spans="1:11" x14ac:dyDescent="0.25">
      <c r="A20" s="1"/>
      <c r="B20" s="22"/>
      <c r="C20" s="22"/>
      <c r="D20" s="22"/>
      <c r="E20" s="22"/>
      <c r="F20" s="22"/>
      <c r="G20" s="22"/>
      <c r="H20" s="22"/>
      <c r="I20" s="22"/>
      <c r="J20" s="3"/>
      <c r="K20" s="24"/>
    </row>
    <row r="21" spans="1:11" x14ac:dyDescent="0.25">
      <c r="J21" s="33"/>
    </row>
    <row r="22" spans="1:11" x14ac:dyDescent="0.25">
      <c r="E22" s="1"/>
      <c r="J22" s="33"/>
    </row>
    <row r="23" spans="1:11" x14ac:dyDescent="0.25">
      <c r="A23" s="1" t="s">
        <v>4</v>
      </c>
      <c r="B23" s="6" t="s">
        <v>35</v>
      </c>
      <c r="C23" s="6" t="s">
        <v>36</v>
      </c>
      <c r="D23" s="6" t="s">
        <v>37</v>
      </c>
      <c r="E23" s="6" t="s">
        <v>103</v>
      </c>
      <c r="F23" s="6" t="s">
        <v>39</v>
      </c>
      <c r="G23" s="6" t="s">
        <v>40</v>
      </c>
      <c r="H23" s="6" t="s">
        <v>41</v>
      </c>
      <c r="I23" s="6" t="s">
        <v>42</v>
      </c>
      <c r="J23" s="3" t="s">
        <v>4</v>
      </c>
    </row>
    <row r="24" spans="1:11" ht="15.75" thickBot="1" x14ac:dyDescent="0.3">
      <c r="A24" s="9" t="s">
        <v>129</v>
      </c>
      <c r="B24" s="100"/>
      <c r="C24" s="100"/>
      <c r="D24" s="100"/>
      <c r="E24" s="100"/>
      <c r="F24" s="100"/>
      <c r="G24" s="100"/>
      <c r="H24" s="100"/>
      <c r="I24" s="100"/>
      <c r="J24" s="3" t="s">
        <v>129</v>
      </c>
    </row>
    <row r="25" spans="1:11" x14ac:dyDescent="0.25">
      <c r="A25" s="1" t="s">
        <v>13</v>
      </c>
      <c r="B25" s="10"/>
      <c r="C25" s="10" t="s">
        <v>14</v>
      </c>
      <c r="D25" s="10" t="s">
        <v>14</v>
      </c>
      <c r="E25" s="10" t="s">
        <v>14</v>
      </c>
      <c r="F25" s="10" t="s">
        <v>43</v>
      </c>
      <c r="G25" s="10" t="s">
        <v>43</v>
      </c>
      <c r="H25" s="10"/>
      <c r="I25" s="10"/>
      <c r="J25" s="3" t="s">
        <v>15</v>
      </c>
    </row>
    <row r="26" spans="1:11" ht="15.75" x14ac:dyDescent="0.25">
      <c r="A26" s="1" t="s">
        <v>16</v>
      </c>
      <c r="B26" s="11"/>
      <c r="C26" s="34">
        <f>((1/C29)/0.0004)^(1/3)</f>
        <v>7.8439849122964818</v>
      </c>
      <c r="D26" s="11">
        <f>((1/D29)/0.0004)^(1/3)</f>
        <v>5.8371597211625676</v>
      </c>
      <c r="E26" s="11">
        <f>((1/E29)/0.0004)^(1/3)</f>
        <v>9.9603170428926653</v>
      </c>
      <c r="F26" s="11">
        <f>((1/F29)/0.0004)^(1/3)</f>
        <v>7.6336907885008563</v>
      </c>
      <c r="G26" s="11">
        <f>((1/G29)/0.0004)^(1/3)</f>
        <v>10.193953977813514</v>
      </c>
      <c r="H26" s="11"/>
      <c r="I26" s="11"/>
      <c r="J26" s="3" t="s">
        <v>16</v>
      </c>
    </row>
    <row r="27" spans="1:11" ht="15.75" x14ac:dyDescent="0.25">
      <c r="A27" s="9" t="s">
        <v>17</v>
      </c>
      <c r="B27" s="13"/>
      <c r="C27" s="106">
        <v>9365</v>
      </c>
      <c r="D27" s="13">
        <v>26823</v>
      </c>
      <c r="E27" s="13">
        <v>8024</v>
      </c>
      <c r="F27" s="13">
        <v>9605</v>
      </c>
      <c r="G27" s="13">
        <v>12756</v>
      </c>
      <c r="H27" s="13" t="s">
        <v>117</v>
      </c>
      <c r="I27" s="13" t="s">
        <v>117</v>
      </c>
      <c r="J27" s="3" t="s">
        <v>17</v>
      </c>
      <c r="K27" s="24">
        <f>SUM(B27:I27)</f>
        <v>66573</v>
      </c>
    </row>
    <row r="28" spans="1:11" ht="15.75" x14ac:dyDescent="0.25">
      <c r="A28" s="1" t="s">
        <v>18</v>
      </c>
      <c r="B28" s="15" t="s">
        <v>45</v>
      </c>
      <c r="C28" s="35">
        <f t="shared" ref="C28:G28" si="4">C27/C29</f>
        <v>1807.915057915058</v>
      </c>
      <c r="D28" s="15">
        <f>D27/D29</f>
        <v>2133.8902147971362</v>
      </c>
      <c r="E28" s="15">
        <f t="shared" si="4"/>
        <v>3171.541501976285</v>
      </c>
      <c r="F28" s="15">
        <f t="shared" si="4"/>
        <v>1709.0747330960853</v>
      </c>
      <c r="G28" s="15">
        <f t="shared" si="4"/>
        <v>5405.0847457627124</v>
      </c>
      <c r="H28" s="15" t="s">
        <v>104</v>
      </c>
      <c r="I28" s="15" t="s">
        <v>104</v>
      </c>
      <c r="J28" s="3" t="s">
        <v>18</v>
      </c>
      <c r="K28" s="24">
        <f>SUM(B28:I28)</f>
        <v>14227.506253547275</v>
      </c>
    </row>
    <row r="29" spans="1:11" ht="15.75" x14ac:dyDescent="0.25">
      <c r="A29" s="9" t="s">
        <v>19</v>
      </c>
      <c r="B29" s="101"/>
      <c r="C29" s="107">
        <v>5.18</v>
      </c>
      <c r="D29" s="101">
        <v>12.57</v>
      </c>
      <c r="E29" s="101">
        <v>2.5299999999999998</v>
      </c>
      <c r="F29" s="101">
        <v>5.62</v>
      </c>
      <c r="G29" s="101">
        <v>2.36</v>
      </c>
      <c r="H29" s="101"/>
      <c r="I29" s="101"/>
      <c r="J29" s="3" t="s">
        <v>19</v>
      </c>
    </row>
    <row r="30" spans="1:11" ht="15.75" x14ac:dyDescent="0.25">
      <c r="A30" s="1" t="s">
        <v>20</v>
      </c>
      <c r="B30" s="83"/>
      <c r="C30" s="108"/>
      <c r="D30" s="109"/>
      <c r="E30" s="109"/>
      <c r="F30" s="109"/>
      <c r="G30" s="83"/>
      <c r="H30" s="109"/>
      <c r="I30" s="109"/>
      <c r="J30" s="3" t="s">
        <v>20</v>
      </c>
    </row>
    <row r="31" spans="1:11" ht="16.5" thickBot="1" x14ac:dyDescent="0.3">
      <c r="A31" s="1" t="s">
        <v>53</v>
      </c>
      <c r="B31" s="110"/>
      <c r="C31" s="111"/>
      <c r="D31" s="102"/>
      <c r="E31" s="102"/>
      <c r="F31" s="102"/>
      <c r="G31" s="102"/>
      <c r="H31" s="102"/>
      <c r="I31" s="102"/>
      <c r="J31" s="3" t="s">
        <v>53</v>
      </c>
    </row>
    <row r="32" spans="1:11" x14ac:dyDescent="0.25">
      <c r="A32" s="1" t="s">
        <v>130</v>
      </c>
      <c r="B32" s="51" t="e">
        <f t="shared" ref="B32:G32" si="5">B28/(B26*B24)</f>
        <v>#VALUE!</v>
      </c>
      <c r="C32" s="51" t="e">
        <f t="shared" si="5"/>
        <v>#DIV/0!</v>
      </c>
      <c r="D32" s="51" t="e">
        <f>#REF!/(D26*D24)</f>
        <v>#REF!</v>
      </c>
      <c r="E32" s="51" t="e">
        <f>#REF!/(E26*E24)</f>
        <v>#REF!</v>
      </c>
      <c r="F32" s="51" t="e">
        <f t="shared" si="5"/>
        <v>#DIV/0!</v>
      </c>
      <c r="G32" s="51" t="e">
        <f t="shared" si="5"/>
        <v>#DIV/0!</v>
      </c>
      <c r="H32" s="51" t="e">
        <f>D28/(H26*H24)</f>
        <v>#DIV/0!</v>
      </c>
      <c r="I32" s="51" t="e">
        <f>E28/(I26*I24)</f>
        <v>#DIV/0!</v>
      </c>
      <c r="J32" s="3" t="s">
        <v>130</v>
      </c>
    </row>
    <row r="33" spans="1:11" x14ac:dyDescent="0.25">
      <c r="A33" s="1" t="s">
        <v>131</v>
      </c>
      <c r="B33" s="104" t="e">
        <f t="shared" ref="B33:G33" si="6">B28/(B26*1600)</f>
        <v>#VALUE!</v>
      </c>
      <c r="C33" s="104">
        <f t="shared" si="6"/>
        <v>0.1440526624962741</v>
      </c>
      <c r="D33" s="104" t="e">
        <f>#REF!/(D26*1600)</f>
        <v>#REF!</v>
      </c>
      <c r="E33" s="104" t="e">
        <f>#REF!/(E26*1600)</f>
        <v>#REF!</v>
      </c>
      <c r="F33" s="104">
        <f t="shared" si="6"/>
        <v>0.13992860567448087</v>
      </c>
      <c r="G33" s="104">
        <f t="shared" si="6"/>
        <v>0.33139034897097658</v>
      </c>
      <c r="H33" s="104" t="e">
        <f>D28/(H26*1600)</f>
        <v>#DIV/0!</v>
      </c>
      <c r="I33" s="104" t="e">
        <f>E28/(I26*1600)</f>
        <v>#DIV/0!</v>
      </c>
      <c r="J33" s="3" t="s">
        <v>131</v>
      </c>
    </row>
    <row r="34" spans="1:11" x14ac:dyDescent="0.25">
      <c r="A34" s="9" t="s">
        <v>132</v>
      </c>
      <c r="B34" s="105"/>
      <c r="C34" s="105"/>
      <c r="D34" s="105"/>
      <c r="E34" s="105"/>
      <c r="F34" s="105"/>
      <c r="G34" s="105"/>
      <c r="H34" s="105"/>
      <c r="I34" s="105"/>
      <c r="J34" s="3" t="s">
        <v>132</v>
      </c>
      <c r="K34" s="24"/>
    </row>
    <row r="35" spans="1:11" x14ac:dyDescent="0.25">
      <c r="A35" s="9" t="s">
        <v>133</v>
      </c>
      <c r="B35" s="105"/>
      <c r="C35" s="105"/>
      <c r="D35" s="105"/>
      <c r="E35" s="105"/>
      <c r="F35" s="105"/>
      <c r="G35" s="105"/>
      <c r="H35" s="105"/>
      <c r="I35" s="105"/>
      <c r="J35" s="3" t="s">
        <v>133</v>
      </c>
    </row>
    <row r="36" spans="1:11" x14ac:dyDescent="0.25">
      <c r="A36" s="9" t="s">
        <v>34</v>
      </c>
      <c r="B36" s="22"/>
      <c r="C36" s="22"/>
      <c r="D36" s="22"/>
      <c r="E36" s="22"/>
      <c r="F36" s="22"/>
      <c r="G36" s="22"/>
      <c r="H36" s="22"/>
      <c r="I36" s="22"/>
      <c r="J36" s="3" t="s">
        <v>34</v>
      </c>
    </row>
    <row r="37" spans="1:11" x14ac:dyDescent="0.25">
      <c r="A37" s="1"/>
      <c r="B37" s="22"/>
      <c r="C37" s="22"/>
      <c r="D37" s="22"/>
      <c r="E37" s="22"/>
      <c r="F37" s="22"/>
      <c r="G37" s="22"/>
      <c r="H37" s="22"/>
      <c r="I37" s="22"/>
      <c r="J37" s="3"/>
    </row>
    <row r="38" spans="1:11" x14ac:dyDescent="0.25">
      <c r="E38" s="1"/>
      <c r="J38" s="33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</row>
    <row r="40" spans="1:11" x14ac:dyDescent="0.25">
      <c r="A40" s="1" t="s">
        <v>4</v>
      </c>
      <c r="B40" s="6" t="s">
        <v>55</v>
      </c>
      <c r="C40" s="6" t="s">
        <v>56</v>
      </c>
      <c r="D40" s="6" t="s">
        <v>57</v>
      </c>
      <c r="E40" s="6" t="s">
        <v>58</v>
      </c>
      <c r="F40" s="6" t="s">
        <v>59</v>
      </c>
      <c r="G40" s="6" t="s">
        <v>60</v>
      </c>
      <c r="H40" s="6" t="s">
        <v>61</v>
      </c>
      <c r="I40" s="6" t="s">
        <v>134</v>
      </c>
      <c r="J40" s="3" t="s">
        <v>4</v>
      </c>
      <c r="K40" s="1"/>
    </row>
    <row r="41" spans="1:11" ht="15.75" thickBot="1" x14ac:dyDescent="0.3">
      <c r="A41" s="9" t="s">
        <v>129</v>
      </c>
      <c r="B41" s="100"/>
      <c r="C41" s="100"/>
      <c r="D41" s="100"/>
      <c r="E41" s="100"/>
      <c r="F41" s="100"/>
      <c r="G41" s="100"/>
      <c r="H41" s="100"/>
      <c r="I41" s="100"/>
      <c r="J41" s="3" t="s">
        <v>129</v>
      </c>
      <c r="K41" s="1"/>
    </row>
    <row r="42" spans="1:11" x14ac:dyDescent="0.25">
      <c r="A42" s="1" t="s">
        <v>13</v>
      </c>
      <c r="B42" s="10"/>
      <c r="C42" s="10" t="s">
        <v>14</v>
      </c>
      <c r="D42" s="10" t="s">
        <v>14</v>
      </c>
      <c r="E42" s="10"/>
      <c r="F42" s="10" t="s">
        <v>14</v>
      </c>
      <c r="G42" s="10"/>
      <c r="H42" s="10"/>
      <c r="I42" s="10"/>
      <c r="J42" s="3" t="s">
        <v>15</v>
      </c>
      <c r="K42" s="1"/>
    </row>
    <row r="43" spans="1:11" ht="15.75" x14ac:dyDescent="0.25">
      <c r="A43" s="1" t="s">
        <v>16</v>
      </c>
      <c r="B43" s="11"/>
      <c r="C43" s="34">
        <f>((1/C46)/0.0004)^(1/3)</f>
        <v>11.05578098535263</v>
      </c>
      <c r="D43" s="34">
        <f>((1/D46)/0.0004)^(1/3)</f>
        <v>7.7745654759628877</v>
      </c>
      <c r="E43" s="34"/>
      <c r="F43" s="34">
        <f>((1/F46)/0.0004)^(1/3)</f>
        <v>7.629168458776272</v>
      </c>
      <c r="G43" s="34"/>
      <c r="H43" s="34"/>
      <c r="I43" s="34"/>
      <c r="J43" s="3" t="s">
        <v>16</v>
      </c>
      <c r="K43" s="1"/>
    </row>
    <row r="44" spans="1:11" ht="15.75" x14ac:dyDescent="0.25">
      <c r="A44" s="9" t="s">
        <v>17</v>
      </c>
      <c r="B44" s="13"/>
      <c r="C44" s="13">
        <v>7645</v>
      </c>
      <c r="D44" s="13">
        <v>9947</v>
      </c>
      <c r="E44" s="13"/>
      <c r="F44" s="13">
        <v>9496</v>
      </c>
      <c r="G44" s="15"/>
      <c r="H44" s="15"/>
      <c r="I44" s="13"/>
      <c r="J44" s="3" t="s">
        <v>17</v>
      </c>
      <c r="K44" s="24">
        <f>SUM(B44:I44)</f>
        <v>27088</v>
      </c>
    </row>
    <row r="45" spans="1:11" ht="15.75" x14ac:dyDescent="0.25">
      <c r="A45" s="1" t="s">
        <v>18</v>
      </c>
      <c r="B45" s="15" t="s">
        <v>45</v>
      </c>
      <c r="C45" s="35">
        <f t="shared" ref="C45:F45" si="7">C44/C46</f>
        <v>4132.4324324324325</v>
      </c>
      <c r="D45" s="35">
        <f t="shared" si="7"/>
        <v>1869.7368421052631</v>
      </c>
      <c r="E45" s="15" t="s">
        <v>45</v>
      </c>
      <c r="F45" s="35">
        <f t="shared" si="7"/>
        <v>1686.6785079928952</v>
      </c>
      <c r="G45" s="15" t="s">
        <v>45</v>
      </c>
      <c r="H45" s="15" t="s">
        <v>45</v>
      </c>
      <c r="I45" s="15" t="s">
        <v>45</v>
      </c>
      <c r="J45" s="3" t="s">
        <v>18</v>
      </c>
      <c r="K45" s="24">
        <f>SUM(B45:I45)</f>
        <v>7688.8477825305908</v>
      </c>
    </row>
    <row r="46" spans="1:11" ht="15.75" x14ac:dyDescent="0.25">
      <c r="A46" s="9" t="s">
        <v>19</v>
      </c>
      <c r="B46" s="101"/>
      <c r="C46" s="101">
        <v>1.85</v>
      </c>
      <c r="D46" s="101">
        <v>5.32</v>
      </c>
      <c r="E46" s="101"/>
      <c r="F46" s="101">
        <v>5.63</v>
      </c>
      <c r="G46" s="101"/>
      <c r="H46" s="101"/>
      <c r="I46" s="101"/>
      <c r="J46" s="3" t="s">
        <v>19</v>
      </c>
      <c r="K46" s="1"/>
    </row>
    <row r="47" spans="1:11" ht="15.75" x14ac:dyDescent="0.25">
      <c r="A47" s="1" t="s">
        <v>20</v>
      </c>
      <c r="B47" s="112"/>
      <c r="C47" s="112"/>
      <c r="D47" s="109"/>
      <c r="E47" s="83"/>
      <c r="F47" s="109"/>
      <c r="G47" s="83"/>
      <c r="H47" s="109"/>
      <c r="I47" s="108"/>
      <c r="J47" s="3" t="s">
        <v>20</v>
      </c>
      <c r="K47" s="1"/>
    </row>
    <row r="48" spans="1:11" ht="16.5" thickBot="1" x14ac:dyDescent="0.3">
      <c r="A48" s="1" t="s">
        <v>53</v>
      </c>
      <c r="B48" s="102"/>
      <c r="C48" s="113"/>
      <c r="D48" s="102"/>
      <c r="E48" s="102"/>
      <c r="F48" s="102"/>
      <c r="G48" s="102"/>
      <c r="H48" s="102"/>
      <c r="I48" s="111"/>
      <c r="J48" s="3" t="s">
        <v>53</v>
      </c>
      <c r="K48" s="1"/>
    </row>
    <row r="49" spans="1:11" x14ac:dyDescent="0.25">
      <c r="A49" s="1" t="s">
        <v>130</v>
      </c>
      <c r="B49" s="51" t="e">
        <f t="shared" ref="B49:I49" si="8">B45/(B43*B41)</f>
        <v>#VALUE!</v>
      </c>
      <c r="C49" s="51" t="e">
        <f t="shared" si="8"/>
        <v>#DIV/0!</v>
      </c>
      <c r="D49" s="51" t="e">
        <f t="shared" si="8"/>
        <v>#DIV/0!</v>
      </c>
      <c r="E49" s="51" t="e">
        <f t="shared" si="8"/>
        <v>#VALUE!</v>
      </c>
      <c r="F49" s="51" t="e">
        <f t="shared" si="8"/>
        <v>#DIV/0!</v>
      </c>
      <c r="G49" s="51" t="e">
        <f t="shared" si="8"/>
        <v>#VALUE!</v>
      </c>
      <c r="H49" s="51" t="e">
        <f t="shared" si="8"/>
        <v>#VALUE!</v>
      </c>
      <c r="I49" s="51" t="e">
        <f t="shared" si="8"/>
        <v>#VALUE!</v>
      </c>
      <c r="J49" s="3" t="s">
        <v>130</v>
      </c>
      <c r="K49" s="1"/>
    </row>
    <row r="50" spans="1:11" x14ac:dyDescent="0.25">
      <c r="A50" s="1" t="s">
        <v>131</v>
      </c>
      <c r="B50" s="104" t="e">
        <f t="shared" ref="B50:I50" si="9">B45/(B43*1600)</f>
        <v>#VALUE!</v>
      </c>
      <c r="C50" s="104">
        <f t="shared" si="9"/>
        <v>0.23361264787101707</v>
      </c>
      <c r="D50" s="104">
        <f t="shared" si="9"/>
        <v>0.15030878959457974</v>
      </c>
      <c r="E50" s="104" t="e">
        <f t="shared" si="9"/>
        <v>#VALUE!</v>
      </c>
      <c r="F50" s="104">
        <f t="shared" si="9"/>
        <v>0.13817679779804604</v>
      </c>
      <c r="G50" s="104" t="e">
        <f t="shared" si="9"/>
        <v>#VALUE!</v>
      </c>
      <c r="H50" s="104" t="e">
        <f t="shared" si="9"/>
        <v>#VALUE!</v>
      </c>
      <c r="I50" s="104" t="e">
        <f t="shared" si="9"/>
        <v>#VALUE!</v>
      </c>
      <c r="J50" s="3" t="s">
        <v>131</v>
      </c>
      <c r="K50" s="1"/>
    </row>
    <row r="51" spans="1:11" x14ac:dyDescent="0.25">
      <c r="A51" s="9" t="s">
        <v>132</v>
      </c>
      <c r="B51" s="105"/>
      <c r="C51" s="105"/>
      <c r="D51" s="105"/>
      <c r="E51" s="105"/>
      <c r="F51" s="105"/>
      <c r="G51" s="105"/>
      <c r="H51" s="105"/>
      <c r="I51" s="105"/>
      <c r="J51" s="3" t="s">
        <v>132</v>
      </c>
      <c r="K51" s="24"/>
    </row>
    <row r="52" spans="1:11" x14ac:dyDescent="0.25">
      <c r="A52" s="9" t="s">
        <v>133</v>
      </c>
      <c r="B52" s="105"/>
      <c r="C52" s="105"/>
      <c r="D52" s="105"/>
      <c r="E52" s="105"/>
      <c r="F52" s="105"/>
      <c r="G52" s="105"/>
      <c r="H52" s="105"/>
      <c r="I52" s="105"/>
      <c r="J52" s="3" t="s">
        <v>133</v>
      </c>
      <c r="K52" s="1"/>
    </row>
    <row r="53" spans="1:11" x14ac:dyDescent="0.25">
      <c r="A53" s="9" t="s">
        <v>34</v>
      </c>
      <c r="B53" s="22"/>
      <c r="C53" s="22"/>
      <c r="D53" s="22"/>
      <c r="E53" s="22"/>
      <c r="F53" s="22"/>
      <c r="G53" s="22"/>
      <c r="H53" s="22"/>
      <c r="I53" s="22"/>
      <c r="J53" s="3" t="s">
        <v>34</v>
      </c>
      <c r="K53" s="1"/>
    </row>
    <row r="54" spans="1:11" x14ac:dyDescent="0.25">
      <c r="A54" s="1"/>
      <c r="B54" s="22"/>
      <c r="C54" s="22"/>
      <c r="D54" s="22"/>
      <c r="E54" s="22"/>
      <c r="F54" s="22"/>
      <c r="G54" s="22"/>
      <c r="H54" s="22"/>
      <c r="I54" s="22"/>
      <c r="J54" s="3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3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3"/>
      <c r="K56" s="1"/>
    </row>
    <row r="57" spans="1:11" x14ac:dyDescent="0.25">
      <c r="A57" s="1"/>
      <c r="B57" s="1"/>
      <c r="C57" s="1"/>
      <c r="D57" s="1" t="s">
        <v>70</v>
      </c>
      <c r="E57" s="6" t="s">
        <v>135</v>
      </c>
      <c r="F57" s="6" t="s">
        <v>71</v>
      </c>
      <c r="G57" s="6" t="s">
        <v>72</v>
      </c>
      <c r="J57" s="3"/>
      <c r="K57" s="1"/>
    </row>
    <row r="58" spans="1:11" ht="15.75" thickBot="1" x14ac:dyDescent="0.3">
      <c r="A58" s="1"/>
      <c r="B58" s="1"/>
      <c r="C58" s="1"/>
      <c r="D58" s="9" t="s">
        <v>129</v>
      </c>
      <c r="E58" s="114"/>
      <c r="F58" s="114">
        <v>0</v>
      </c>
      <c r="G58" s="114">
        <v>0</v>
      </c>
      <c r="J58" s="3"/>
      <c r="K58" s="1"/>
    </row>
    <row r="59" spans="1:11" x14ac:dyDescent="0.25">
      <c r="A59" s="1"/>
      <c r="B59" s="1"/>
      <c r="C59" s="1"/>
      <c r="D59" s="1" t="s">
        <v>13</v>
      </c>
      <c r="E59" s="10" t="s">
        <v>76</v>
      </c>
      <c r="F59" s="10"/>
      <c r="G59" s="10" t="s">
        <v>76</v>
      </c>
      <c r="J59" s="3"/>
      <c r="K59" s="1"/>
    </row>
    <row r="60" spans="1:11" ht="15.75" x14ac:dyDescent="0.25">
      <c r="A60" s="1"/>
      <c r="B60" s="1"/>
      <c r="C60" s="1"/>
      <c r="D60" s="1" t="s">
        <v>16</v>
      </c>
      <c r="E60" s="34">
        <f>((1/E63)/0.0004)^(1/3)</f>
        <v>9.4847115897734788</v>
      </c>
      <c r="F60" s="34"/>
      <c r="G60" s="34">
        <f>((1/G63)/0.0004)^(1/3)</f>
        <v>9.2683719360896415</v>
      </c>
      <c r="H60" s="3"/>
      <c r="J60" s="33"/>
      <c r="K60" s="1"/>
    </row>
    <row r="61" spans="1:11" ht="15.75" x14ac:dyDescent="0.25">
      <c r="A61" s="1"/>
      <c r="B61" s="1"/>
      <c r="C61" s="1"/>
      <c r="D61" s="9" t="s">
        <v>17</v>
      </c>
      <c r="E61" s="115">
        <v>11998</v>
      </c>
      <c r="F61" s="115"/>
      <c r="G61" s="115">
        <v>12009</v>
      </c>
      <c r="H61" s="1"/>
      <c r="J61" s="3"/>
      <c r="K61" s="1"/>
    </row>
    <row r="62" spans="1:11" ht="15.75" x14ac:dyDescent="0.25">
      <c r="D62" s="1" t="s">
        <v>18</v>
      </c>
      <c r="E62" s="15">
        <f>E61/E63</f>
        <v>4094.880546075085</v>
      </c>
      <c r="F62" s="15"/>
      <c r="G62" s="15">
        <f>G61/G63</f>
        <v>3824.5222929936303</v>
      </c>
      <c r="J62" s="3"/>
      <c r="K62" s="1"/>
    </row>
    <row r="63" spans="1:11" ht="15.75" x14ac:dyDescent="0.25">
      <c r="D63" s="9" t="s">
        <v>19</v>
      </c>
      <c r="E63" s="116">
        <v>2.93</v>
      </c>
      <c r="F63" s="116"/>
      <c r="G63" s="116">
        <v>3.14</v>
      </c>
      <c r="J63" s="3"/>
      <c r="K63" s="1"/>
    </row>
    <row r="64" spans="1:11" ht="15.75" x14ac:dyDescent="0.25">
      <c r="D64" s="1" t="s">
        <v>20</v>
      </c>
      <c r="E64" s="117"/>
      <c r="F64" s="117"/>
      <c r="G64" s="118"/>
      <c r="J64" s="3"/>
      <c r="K64" s="1"/>
    </row>
    <row r="65" spans="1:11" ht="16.5" thickBot="1" x14ac:dyDescent="0.3">
      <c r="D65" s="1" t="s">
        <v>53</v>
      </c>
      <c r="E65" s="102"/>
      <c r="F65" s="102"/>
      <c r="G65" s="102"/>
      <c r="J65" s="3"/>
      <c r="K65" s="1"/>
    </row>
    <row r="66" spans="1:11" x14ac:dyDescent="0.25">
      <c r="D66" s="1" t="s">
        <v>130</v>
      </c>
      <c r="E66" s="51" t="e">
        <f>E62/(E60*E58)</f>
        <v>#DIV/0!</v>
      </c>
      <c r="F66" s="51" t="e">
        <f>F62/(F60*F58)</f>
        <v>#DIV/0!</v>
      </c>
      <c r="G66" s="51" t="e">
        <f>G62/(G60*G58)</f>
        <v>#DIV/0!</v>
      </c>
      <c r="I66" s="1"/>
      <c r="J66" s="3"/>
      <c r="K66" s="1"/>
    </row>
    <row r="67" spans="1:11" x14ac:dyDescent="0.25">
      <c r="D67" s="1" t="s">
        <v>131</v>
      </c>
      <c r="E67" s="104">
        <f>E61/(E60*2112)</f>
        <v>0.59895033795718045</v>
      </c>
      <c r="F67" s="104" t="e">
        <f>F61/(F60*2112)</f>
        <v>#DIV/0!</v>
      </c>
      <c r="G67" s="104">
        <f>G61/(G60*2112)</f>
        <v>0.61349281024359947</v>
      </c>
      <c r="I67" s="1"/>
      <c r="J67" s="3"/>
      <c r="K67" s="1"/>
    </row>
    <row r="68" spans="1:11" x14ac:dyDescent="0.25">
      <c r="D68" s="9" t="s">
        <v>132</v>
      </c>
      <c r="E68" s="22">
        <f>E61</f>
        <v>11998</v>
      </c>
      <c r="F68" s="22">
        <f>F61</f>
        <v>0</v>
      </c>
      <c r="G68" s="119"/>
      <c r="I68" s="1"/>
      <c r="J68" s="3"/>
      <c r="K68" s="1"/>
    </row>
    <row r="69" spans="1:11" x14ac:dyDescent="0.25">
      <c r="D69" s="9" t="s">
        <v>133</v>
      </c>
      <c r="E69" s="22">
        <f>E62</f>
        <v>4094.880546075085</v>
      </c>
      <c r="F69" s="22">
        <f>F62</f>
        <v>0</v>
      </c>
      <c r="G69" s="119"/>
      <c r="I69" s="1"/>
      <c r="J69" s="3"/>
      <c r="K69" s="1"/>
    </row>
    <row r="70" spans="1:11" x14ac:dyDescent="0.25">
      <c r="D70" s="9" t="s">
        <v>34</v>
      </c>
      <c r="E70" s="22">
        <v>0</v>
      </c>
      <c r="F70" s="22">
        <v>0</v>
      </c>
      <c r="G70" s="22"/>
      <c r="I70" s="1"/>
      <c r="J70" s="3"/>
      <c r="K70" s="1"/>
    </row>
    <row r="71" spans="1:11" x14ac:dyDescent="0.25">
      <c r="D71" s="1"/>
      <c r="E71" s="22"/>
      <c r="F71" s="22"/>
      <c r="G71" s="22"/>
      <c r="H71" s="1"/>
      <c r="I71" s="1"/>
      <c r="J71" s="3"/>
      <c r="K71" s="1"/>
    </row>
    <row r="72" spans="1:11" x14ac:dyDescent="0.25">
      <c r="D72" s="1"/>
      <c r="E72" s="51"/>
      <c r="F72" s="51"/>
      <c r="G72" s="51"/>
      <c r="H72" s="1"/>
      <c r="I72" s="1"/>
      <c r="J72" s="3"/>
      <c r="K72" s="1"/>
    </row>
    <row r="73" spans="1:11" ht="15.75" thickBot="1" x14ac:dyDescent="0.3">
      <c r="A73" s="1"/>
      <c r="B73" s="1"/>
      <c r="C73" s="1"/>
      <c r="D73" s="1"/>
      <c r="E73" s="1"/>
      <c r="F73" s="1"/>
      <c r="G73" s="1"/>
      <c r="J73" s="33"/>
    </row>
    <row r="74" spans="1:11" x14ac:dyDescent="0.25">
      <c r="B74" s="65"/>
      <c r="C74" s="66"/>
      <c r="D74" s="66"/>
      <c r="E74" s="66"/>
      <c r="F74" s="66"/>
      <c r="G74" s="67"/>
      <c r="H74" s="33"/>
    </row>
    <row r="75" spans="1:11" x14ac:dyDescent="0.25">
      <c r="B75" s="68" t="s">
        <v>89</v>
      </c>
      <c r="C75" s="120"/>
      <c r="D75" s="70"/>
      <c r="E75" s="70"/>
      <c r="F75" s="120" t="s">
        <v>90</v>
      </c>
      <c r="G75" s="121"/>
      <c r="H75" s="3" t="s">
        <v>136</v>
      </c>
      <c r="I75" s="46">
        <f>SUM(E27,H27,E44)</f>
        <v>8024</v>
      </c>
    </row>
    <row r="76" spans="1:11" x14ac:dyDescent="0.25">
      <c r="B76" s="73" t="s">
        <v>17</v>
      </c>
      <c r="C76" s="54">
        <f>SUM(B10:I10,F27:I27,B44:I44,B27:E27)</f>
        <v>192864</v>
      </c>
      <c r="D76" s="70"/>
      <c r="E76" s="70"/>
      <c r="F76" s="70" t="s">
        <v>17</v>
      </c>
      <c r="G76" s="74">
        <f>SUM(F61:G61)</f>
        <v>12009</v>
      </c>
      <c r="H76" s="1" t="s">
        <v>137</v>
      </c>
      <c r="I76" s="46">
        <f>SUM(B10:I10,F27:G27,I27,C27:D27,B44:C44,G44,I44)</f>
        <v>165397</v>
      </c>
    </row>
    <row r="77" spans="1:11" x14ac:dyDescent="0.25">
      <c r="B77" s="73" t="s">
        <v>18</v>
      </c>
      <c r="C77" s="54">
        <f>SUM(B11:I11,B28:I28,B45:I45)</f>
        <v>39134.049237236555</v>
      </c>
      <c r="D77" s="70"/>
      <c r="E77" s="70"/>
      <c r="F77" s="70" t="s">
        <v>18</v>
      </c>
      <c r="G77" s="74">
        <f>SUM(F62:G62,)</f>
        <v>3824.5222929936303</v>
      </c>
      <c r="H77" s="122"/>
      <c r="I77" s="123">
        <f>SUM(I75:I76)</f>
        <v>173421</v>
      </c>
    </row>
    <row r="78" spans="1:11" ht="15.75" thickBot="1" x14ac:dyDescent="0.3">
      <c r="B78" s="75" t="s">
        <v>34</v>
      </c>
      <c r="C78" s="76">
        <f>SUM(B19:I19,B36:I36,B53:I53)</f>
        <v>0</v>
      </c>
      <c r="D78" s="77"/>
      <c r="E78" s="77"/>
      <c r="F78" s="77" t="s">
        <v>34</v>
      </c>
      <c r="G78" s="78">
        <f>SUM(G70)</f>
        <v>0</v>
      </c>
      <c r="H78" s="33"/>
    </row>
    <row r="79" spans="1:11" ht="15.75" thickBot="1" x14ac:dyDescent="0.3">
      <c r="J79" s="33"/>
    </row>
    <row r="80" spans="1:11" x14ac:dyDescent="0.25">
      <c r="D80" s="65" t="s">
        <v>91</v>
      </c>
      <c r="E80" s="66"/>
      <c r="F80" s="66"/>
      <c r="G80" s="79"/>
      <c r="J80" s="33"/>
    </row>
    <row r="81" spans="1:10" x14ac:dyDescent="0.25">
      <c r="A81" s="1"/>
      <c r="D81" s="73" t="s">
        <v>138</v>
      </c>
      <c r="E81" s="70"/>
      <c r="F81" s="80"/>
      <c r="G81" s="124">
        <f>SUM(C76,G76)</f>
        <v>204873</v>
      </c>
      <c r="H81" s="1"/>
      <c r="J81" s="33"/>
    </row>
    <row r="82" spans="1:10" x14ac:dyDescent="0.25">
      <c r="A82" s="1"/>
      <c r="D82" s="73" t="s">
        <v>139</v>
      </c>
      <c r="E82" s="70"/>
      <c r="F82" s="80"/>
      <c r="G82" s="124">
        <f>SUM(C77,G77)</f>
        <v>42958.571530230183</v>
      </c>
      <c r="H82" s="1"/>
      <c r="J82" s="33"/>
    </row>
    <row r="83" spans="1:10" ht="15.75" thickBot="1" x14ac:dyDescent="0.3">
      <c r="A83" s="1"/>
      <c r="D83" s="75"/>
      <c r="E83" s="77"/>
      <c r="F83" s="81"/>
      <c r="G83" s="125"/>
      <c r="H83" s="1"/>
      <c r="J83" s="33"/>
    </row>
  </sheetData>
  <mergeCells count="2">
    <mergeCell ref="B75:C75"/>
    <mergeCell ref="F75:G75"/>
  </mergeCells>
  <pageMargins left="0.7" right="0.7" top="0.75" bottom="0.75" header="0.3" footer="0.3"/>
  <pageSetup fitToWidth="0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654D-AE0D-437A-9047-DD7EFC20B5BA}">
  <dimension ref="A1:O82"/>
  <sheetViews>
    <sheetView workbookViewId="0">
      <selection activeCell="C27" sqref="C27"/>
    </sheetView>
  </sheetViews>
  <sheetFormatPr defaultRowHeight="15" x14ac:dyDescent="0.25"/>
  <cols>
    <col min="1" max="1" width="13.5703125" bestFit="1" customWidth="1"/>
    <col min="2" max="2" width="15.28515625" customWidth="1"/>
    <col min="3" max="3" width="15.140625" customWidth="1"/>
    <col min="4" max="4" width="16" customWidth="1"/>
    <col min="5" max="5" width="16.28515625" customWidth="1"/>
    <col min="6" max="6" width="16.140625" customWidth="1"/>
    <col min="7" max="7" width="16.28515625" customWidth="1"/>
    <col min="8" max="8" width="16.42578125" customWidth="1"/>
    <col min="9" max="9" width="16.5703125" customWidth="1"/>
    <col min="10" max="10" width="10.85546875" bestFit="1" customWidth="1"/>
  </cols>
  <sheetData>
    <row r="1" spans="1:13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</row>
    <row r="2" spans="1:13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</row>
    <row r="3" spans="1:13" ht="18" x14ac:dyDescent="0.25">
      <c r="A3" s="1"/>
      <c r="B3" s="1"/>
      <c r="C3" s="1"/>
      <c r="D3" s="1"/>
      <c r="E3" s="4" t="s">
        <v>140</v>
      </c>
      <c r="F3" s="1"/>
      <c r="G3" s="1"/>
      <c r="H3" s="5"/>
      <c r="J3" s="3"/>
      <c r="K3" s="1"/>
      <c r="L3" s="1"/>
    </row>
    <row r="4" spans="1:13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</row>
    <row r="6" spans="1:13" ht="15.75" thickBot="1" x14ac:dyDescent="0.3">
      <c r="A6" s="1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</row>
    <row r="7" spans="1:13" x14ac:dyDescent="0.25">
      <c r="A7" s="9" t="s">
        <v>13</v>
      </c>
      <c r="B7" s="10" t="s">
        <v>14</v>
      </c>
      <c r="C7" s="10" t="s">
        <v>14</v>
      </c>
      <c r="D7" s="10" t="s">
        <v>43</v>
      </c>
      <c r="E7" s="10" t="s">
        <v>14</v>
      </c>
      <c r="F7" s="82" t="s">
        <v>14</v>
      </c>
      <c r="G7" s="10" t="s">
        <v>14</v>
      </c>
      <c r="H7" s="82" t="s">
        <v>14</v>
      </c>
      <c r="I7" s="10" t="s">
        <v>14</v>
      </c>
      <c r="J7" s="3" t="s">
        <v>15</v>
      </c>
      <c r="K7" s="8"/>
      <c r="L7" s="1"/>
      <c r="M7" s="1"/>
    </row>
    <row r="8" spans="1:13" ht="15.75" x14ac:dyDescent="0.25">
      <c r="A8" s="1" t="s">
        <v>16</v>
      </c>
      <c r="B8" s="11">
        <f>((1/B11)/0.0004)^(1/3)</f>
        <v>11.035932143766303</v>
      </c>
      <c r="C8" s="11">
        <f t="shared" ref="C8:I8" si="0">((1/C11)/0.0004)^(1/3)</f>
        <v>11.05578098535263</v>
      </c>
      <c r="D8" s="11">
        <f t="shared" si="0"/>
        <v>10.957937084221749</v>
      </c>
      <c r="E8" s="11">
        <f t="shared" si="0"/>
        <v>11.219898137773402</v>
      </c>
      <c r="F8" s="12" t="e">
        <f t="shared" si="0"/>
        <v>#DIV/0!</v>
      </c>
      <c r="G8" s="11">
        <f t="shared" si="0"/>
        <v>10.882101179818642</v>
      </c>
      <c r="H8" s="12">
        <f t="shared" si="0"/>
        <v>11.05578098535263</v>
      </c>
      <c r="I8" s="11">
        <f t="shared" si="0"/>
        <v>11.016225080149219</v>
      </c>
      <c r="J8" s="3" t="s">
        <v>16</v>
      </c>
      <c r="K8" s="12"/>
      <c r="L8" s="1"/>
      <c r="M8" s="1"/>
    </row>
    <row r="9" spans="1:13" ht="15.75" x14ac:dyDescent="0.25">
      <c r="A9" s="9" t="s">
        <v>17</v>
      </c>
      <c r="B9" s="83">
        <f>B16+B15</f>
        <v>7850.8</v>
      </c>
      <c r="C9" s="83">
        <f>C16+C15</f>
        <v>7204</v>
      </c>
      <c r="D9" s="43">
        <f t="shared" ref="D9:I9" si="1">D16+D15</f>
        <v>7260</v>
      </c>
      <c r="E9" s="83">
        <f t="shared" si="1"/>
        <v>6199</v>
      </c>
      <c r="F9" s="43">
        <f t="shared" si="1"/>
        <v>0</v>
      </c>
      <c r="G9" s="83">
        <f t="shared" si="1"/>
        <v>5287</v>
      </c>
      <c r="H9" s="43">
        <f t="shared" si="1"/>
        <v>8835</v>
      </c>
      <c r="I9" s="83">
        <f t="shared" si="1"/>
        <v>5011</v>
      </c>
      <c r="J9" s="3" t="s">
        <v>17</v>
      </c>
      <c r="L9" s="14">
        <f>SUM(B9:I9)</f>
        <v>47646.8</v>
      </c>
      <c r="M9" s="84">
        <v>50400</v>
      </c>
    </row>
    <row r="10" spans="1:13" ht="15.75" x14ac:dyDescent="0.25">
      <c r="A10" s="1" t="s">
        <v>18</v>
      </c>
      <c r="B10" s="15">
        <f>B9/B11</f>
        <v>4220.8602150537636</v>
      </c>
      <c r="C10" s="15">
        <f>C9/C11</f>
        <v>3894.0540540540537</v>
      </c>
      <c r="D10" s="14">
        <f t="shared" ref="D10:I10" si="2">D9/D11</f>
        <v>3821.0526315789475</v>
      </c>
      <c r="E10" s="15">
        <f t="shared" si="2"/>
        <v>3502.2598870056495</v>
      </c>
      <c r="F10" s="14" t="e">
        <f t="shared" si="2"/>
        <v>#DIV/0!</v>
      </c>
      <c r="G10" s="15">
        <f t="shared" si="2"/>
        <v>2725.2577319587631</v>
      </c>
      <c r="H10" s="14">
        <f t="shared" si="2"/>
        <v>4775.6756756756758</v>
      </c>
      <c r="I10" s="15">
        <f t="shared" si="2"/>
        <v>2679.6791443850266</v>
      </c>
      <c r="J10" s="3" t="s">
        <v>18</v>
      </c>
      <c r="L10" s="14"/>
      <c r="M10" s="16"/>
    </row>
    <row r="11" spans="1:13" ht="15.75" x14ac:dyDescent="0.25">
      <c r="A11" s="9" t="s">
        <v>19</v>
      </c>
      <c r="B11" s="11">
        <v>1.86</v>
      </c>
      <c r="C11" s="11">
        <v>1.85</v>
      </c>
      <c r="D11" s="12">
        <v>1.9</v>
      </c>
      <c r="E11" s="11">
        <v>1.77</v>
      </c>
      <c r="F11" s="12"/>
      <c r="G11" s="11">
        <v>1.94</v>
      </c>
      <c r="H11" s="12">
        <v>1.85</v>
      </c>
      <c r="I11" s="11">
        <v>1.87</v>
      </c>
      <c r="J11" s="3" t="s">
        <v>19</v>
      </c>
      <c r="L11" s="12"/>
      <c r="M11" s="8"/>
    </row>
    <row r="12" spans="1:13" ht="15.75" x14ac:dyDescent="0.25">
      <c r="A12" s="1" t="s">
        <v>20</v>
      </c>
      <c r="B12" s="17" t="s">
        <v>141</v>
      </c>
      <c r="C12" s="17" t="s">
        <v>142</v>
      </c>
      <c r="D12" s="87" t="s">
        <v>143</v>
      </c>
      <c r="E12" s="17" t="s">
        <v>144</v>
      </c>
      <c r="F12" s="87"/>
      <c r="G12" s="17" t="s">
        <v>145</v>
      </c>
      <c r="H12" s="87" t="s">
        <v>146</v>
      </c>
      <c r="I12" s="17" t="s">
        <v>147</v>
      </c>
      <c r="J12" s="3" t="s">
        <v>20</v>
      </c>
      <c r="L12" s="18"/>
      <c r="M12" s="8"/>
    </row>
    <row r="13" spans="1:13" ht="20.25" thickBot="1" x14ac:dyDescent="0.45">
      <c r="A13" s="1" t="s">
        <v>29</v>
      </c>
      <c r="B13" s="38">
        <f t="shared" ref="B13:I13" si="3">B16/B17</f>
        <v>1.2341671944268524</v>
      </c>
      <c r="C13" s="19">
        <f t="shared" si="3"/>
        <v>0.79734366353071384</v>
      </c>
      <c r="D13" s="38">
        <f t="shared" si="3"/>
        <v>1.0350727117194183</v>
      </c>
      <c r="E13" s="19">
        <f t="shared" si="3"/>
        <v>0.88380382092956944</v>
      </c>
      <c r="F13" s="37">
        <f t="shared" si="3"/>
        <v>0</v>
      </c>
      <c r="G13" s="19">
        <f t="shared" si="3"/>
        <v>0.69703361898483851</v>
      </c>
      <c r="H13" s="19">
        <f t="shared" si="3"/>
        <v>0.86456600450141896</v>
      </c>
      <c r="I13" s="37">
        <f t="shared" si="3"/>
        <v>0.45197077658518986</v>
      </c>
      <c r="J13" s="3" t="s">
        <v>20</v>
      </c>
      <c r="L13" s="20"/>
      <c r="M13" s="12"/>
    </row>
    <row r="14" spans="1:13" ht="15.75" x14ac:dyDescent="0.25">
      <c r="A14" s="1" t="s">
        <v>30</v>
      </c>
      <c r="B14" s="21">
        <v>30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</row>
    <row r="15" spans="1:13" ht="15.75" x14ac:dyDescent="0.25">
      <c r="A15" s="1" t="s">
        <v>31</v>
      </c>
      <c r="B15" s="21">
        <f>B14*B11</f>
        <v>55.800000000000004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</row>
    <row r="16" spans="1:13" ht="15.75" x14ac:dyDescent="0.25">
      <c r="A16" s="1" t="s">
        <v>17</v>
      </c>
      <c r="B16" s="22">
        <v>7795</v>
      </c>
      <c r="C16" s="22">
        <v>7204</v>
      </c>
      <c r="D16" s="22">
        <v>7260</v>
      </c>
      <c r="E16" s="22">
        <v>6199</v>
      </c>
      <c r="F16" s="23"/>
      <c r="G16" s="23">
        <v>5287</v>
      </c>
      <c r="H16" s="22">
        <v>8835</v>
      </c>
      <c r="I16" s="22">
        <v>5011</v>
      </c>
      <c r="J16" s="3" t="s">
        <v>17</v>
      </c>
      <c r="L16" s="14">
        <f>SUM(B16:I16)</f>
        <v>47591</v>
      </c>
    </row>
    <row r="17" spans="1:15" ht="15.75" x14ac:dyDescent="0.25">
      <c r="A17" s="1" t="s">
        <v>32</v>
      </c>
      <c r="B17" s="14">
        <v>6316</v>
      </c>
      <c r="C17" s="14">
        <v>9035</v>
      </c>
      <c r="D17" s="14">
        <v>7014</v>
      </c>
      <c r="E17" s="14">
        <v>7014</v>
      </c>
      <c r="F17" s="14">
        <v>8103</v>
      </c>
      <c r="G17" s="14">
        <v>7585</v>
      </c>
      <c r="H17" s="14">
        <v>10219</v>
      </c>
      <c r="I17" s="14">
        <v>11087</v>
      </c>
      <c r="J17" s="3" t="s">
        <v>18</v>
      </c>
      <c r="L17" s="14">
        <f>SUM(B17:I17)</f>
        <v>66373</v>
      </c>
    </row>
    <row r="18" spans="1:15" ht="19.5" x14ac:dyDescent="0.4">
      <c r="A18" s="1" t="s">
        <v>33</v>
      </c>
      <c r="B18" s="126">
        <f t="shared" ref="B18:I18" si="5">B16-B17</f>
        <v>1479</v>
      </c>
      <c r="C18" s="127">
        <f t="shared" si="5"/>
        <v>-1831</v>
      </c>
      <c r="D18" s="126">
        <f t="shared" si="5"/>
        <v>246</v>
      </c>
      <c r="E18" s="127">
        <f t="shared" si="5"/>
        <v>-815</v>
      </c>
      <c r="F18" s="90">
        <f t="shared" si="5"/>
        <v>-8103</v>
      </c>
      <c r="G18" s="127">
        <f t="shared" si="5"/>
        <v>-2298</v>
      </c>
      <c r="H18" s="127">
        <f t="shared" si="5"/>
        <v>-1384</v>
      </c>
      <c r="I18" s="90">
        <f t="shared" si="5"/>
        <v>-6076</v>
      </c>
      <c r="J18" s="27"/>
      <c r="K18" s="28"/>
      <c r="L18" s="14">
        <f>SUM(B18:I18)</f>
        <v>-18782</v>
      </c>
      <c r="M18" s="29"/>
      <c r="N18" s="28"/>
      <c r="O18" s="28"/>
    </row>
    <row r="19" spans="1:15" x14ac:dyDescent="0.25">
      <c r="A19" s="1" t="s">
        <v>34</v>
      </c>
      <c r="B19" s="22" t="e">
        <f>SUM(#REF!+#REF!+[3]March!B19+[3]April!B19+[3]May!B19+[3]June!B19+[3]July!B19+'[3]August '!B19+[3]September!B19+[3]October!B19+[3]November!B19+[3]December!B19)</f>
        <v>#REF!</v>
      </c>
      <c r="C19" s="22" t="e">
        <f>SUM(#REF!+#REF!+[3]March!C19+[3]April!C19+[3]May!C19+[3]June!C19+[3]July!C19+'[3]August '!C19+[3]September!C19+[3]October!C19+[3]November!C19+[3]December!C19)</f>
        <v>#REF!</v>
      </c>
      <c r="D19" s="22" t="e">
        <f>SUM(#REF!+#REF!+[3]March!D19+[3]April!D19+[3]May!D19+[3]June!D19+[3]July!D19+'[3]August '!D19+[3]September!D19+[3]October!D19+[3]November!D19+[3]December!D19)</f>
        <v>#REF!</v>
      </c>
      <c r="E19" s="22" t="e">
        <f>SUM(#REF!+#REF!+[3]March!E19+[3]April!E19+[3]May!E19+[3]June!E19+[3]July!E19+'[3]August '!E19+[3]September!E19+[3]October!E19+[3]November!E19+[3]December!E19)</f>
        <v>#REF!</v>
      </c>
      <c r="F19" s="23" t="e">
        <f>SUM(#REF!+#REF!+[3]March!F19+[3]April!F19+[3]May!F19+[3]June!F19+[3]July!F19+'[3]August '!F19+[3]September!F19+[3]October!F19+[3]November!F19+[3]December!F19)</f>
        <v>#REF!</v>
      </c>
      <c r="G19" s="23" t="e">
        <f>SUM(#REF!+#REF!+[3]March!G19+[3]April!G19+[3]May!G19+[3]June!G19+[3]July!G19+'[3]August '!G19+[3]September!G19+[3]October!G19+[3]November!G19+[3]December!G19)</f>
        <v>#REF!</v>
      </c>
      <c r="H19" s="22" t="e">
        <f>SUM(#REF!+#REF!+[3]March!H19+[3]April!H19+[3]May!H19+[3]June!H19+[3]July!H19+'[3]August '!H19+[3]September!H19+[3]October!H19+[3]November!H19+[3]December!H19)</f>
        <v>#REF!</v>
      </c>
      <c r="I19" s="22" t="e">
        <f>SUM(#REF!+#REF!+[3]March!I19+[3]April!I19+[3]May!I19+[3]June!I19+[3]July!I19+'[3]August '!I19+[3]September!I19+[3]October!I19+[3]November!I19+[3]December!I19)</f>
        <v>#REF!</v>
      </c>
      <c r="J19" s="3"/>
      <c r="L19" s="24"/>
    </row>
    <row r="20" spans="1:15" x14ac:dyDescent="0.25">
      <c r="B20" s="30" t="s">
        <v>148</v>
      </c>
      <c r="C20" s="31"/>
      <c r="D20" s="30"/>
      <c r="E20" s="30"/>
      <c r="F20" s="32"/>
      <c r="G20" s="32"/>
      <c r="H20" s="31"/>
      <c r="I20" s="30"/>
      <c r="J20" s="33"/>
    </row>
    <row r="21" spans="1:15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</row>
    <row r="22" spans="1:15" x14ac:dyDescent="0.25">
      <c r="A22" s="9" t="s">
        <v>13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43</v>
      </c>
      <c r="G22" s="10" t="s">
        <v>43</v>
      </c>
      <c r="H22" s="10" t="s">
        <v>104</v>
      </c>
      <c r="I22" s="10" t="s">
        <v>104</v>
      </c>
      <c r="J22" s="3" t="s">
        <v>15</v>
      </c>
    </row>
    <row r="23" spans="1:15" ht="15.75" x14ac:dyDescent="0.25">
      <c r="A23" s="1" t="s">
        <v>16</v>
      </c>
      <c r="B23" s="11">
        <f t="shared" ref="B23:H23" si="6">((1/B26)/0.0004)^(1/3)</f>
        <v>9.1532249599194575</v>
      </c>
      <c r="C23" s="34">
        <f t="shared" si="6"/>
        <v>10.86346740846674</v>
      </c>
      <c r="D23" s="34">
        <f t="shared" si="6"/>
        <v>10.93877981248815</v>
      </c>
      <c r="E23" s="34">
        <f t="shared" si="6"/>
        <v>10.808321954133797</v>
      </c>
      <c r="F23" s="11">
        <f t="shared" si="6"/>
        <v>10.7188449853527</v>
      </c>
      <c r="G23" s="11">
        <f t="shared" si="6"/>
        <v>10.7188449853527</v>
      </c>
      <c r="H23" s="11" t="e">
        <f t="shared" si="6"/>
        <v>#DIV/0!</v>
      </c>
      <c r="I23" s="11"/>
      <c r="J23" s="3" t="s">
        <v>16</v>
      </c>
    </row>
    <row r="24" spans="1:15" ht="15.75" x14ac:dyDescent="0.25">
      <c r="A24" s="9" t="s">
        <v>17</v>
      </c>
      <c r="B24" s="83">
        <f t="shared" ref="B24:G24" si="7">B31+B30</f>
        <v>15751</v>
      </c>
      <c r="C24" s="83">
        <f t="shared" si="7"/>
        <v>7665</v>
      </c>
      <c r="D24" s="83">
        <f t="shared" si="7"/>
        <v>5706</v>
      </c>
      <c r="E24" s="15">
        <f t="shared" si="7"/>
        <v>6380</v>
      </c>
      <c r="F24" s="83">
        <f t="shared" si="7"/>
        <v>8201</v>
      </c>
      <c r="G24" s="83">
        <f t="shared" si="7"/>
        <v>9008</v>
      </c>
      <c r="H24" s="83">
        <f>H31+H30</f>
        <v>0</v>
      </c>
      <c r="I24" s="83"/>
      <c r="J24" s="3" t="s">
        <v>17</v>
      </c>
      <c r="L24" s="14">
        <f>SUM(B24:I24)</f>
        <v>52711</v>
      </c>
      <c r="M24" s="91">
        <v>38600</v>
      </c>
    </row>
    <row r="25" spans="1:15" ht="15.75" x14ac:dyDescent="0.25">
      <c r="A25" s="1" t="s">
        <v>18</v>
      </c>
      <c r="B25" s="15">
        <f t="shared" ref="B25:G25" si="8">B24/B26</f>
        <v>4831.5950920245405</v>
      </c>
      <c r="C25" s="35">
        <f t="shared" si="8"/>
        <v>3930.7692307692309</v>
      </c>
      <c r="D25" s="35">
        <f t="shared" si="8"/>
        <v>2987.4345549738223</v>
      </c>
      <c r="E25" s="35">
        <f t="shared" si="8"/>
        <v>3222.2222222222222</v>
      </c>
      <c r="F25" s="35">
        <f t="shared" si="8"/>
        <v>4039.9014778325127</v>
      </c>
      <c r="G25" s="35">
        <f t="shared" si="8"/>
        <v>4437.4384236453207</v>
      </c>
      <c r="H25" s="35" t="e">
        <f>H24/H26</f>
        <v>#DIV/0!</v>
      </c>
      <c r="I25" s="15"/>
      <c r="J25" s="3" t="s">
        <v>18</v>
      </c>
      <c r="L25" s="14">
        <f>SUM(C25,E25:F25,I25)</f>
        <v>11192.892930823966</v>
      </c>
    </row>
    <row r="26" spans="1:15" ht="15.75" x14ac:dyDescent="0.25">
      <c r="A26" s="9" t="s">
        <v>19</v>
      </c>
      <c r="B26" s="11">
        <v>3.26</v>
      </c>
      <c r="C26" s="11">
        <v>1.95</v>
      </c>
      <c r="D26" s="11">
        <v>1.91</v>
      </c>
      <c r="E26" s="34">
        <v>1.98</v>
      </c>
      <c r="F26" s="34">
        <v>2.0299999999999998</v>
      </c>
      <c r="G26" s="11">
        <v>2.0299999999999998</v>
      </c>
      <c r="H26" s="11"/>
      <c r="I26" s="11"/>
      <c r="J26" s="3" t="s">
        <v>19</v>
      </c>
    </row>
    <row r="27" spans="1:15" ht="15.75" x14ac:dyDescent="0.25">
      <c r="A27" s="1" t="s">
        <v>20</v>
      </c>
      <c r="B27" s="17" t="s">
        <v>149</v>
      </c>
      <c r="C27" s="17" t="s">
        <v>150</v>
      </c>
      <c r="D27" s="17" t="s">
        <v>151</v>
      </c>
      <c r="E27" s="17" t="s">
        <v>152</v>
      </c>
      <c r="F27" s="36" t="s">
        <v>153</v>
      </c>
      <c r="G27" s="17" t="s">
        <v>154</v>
      </c>
      <c r="H27" s="17"/>
      <c r="I27" s="17"/>
      <c r="J27" s="3" t="s">
        <v>20</v>
      </c>
    </row>
    <row r="28" spans="1:15" ht="20.25" thickBot="1" x14ac:dyDescent="0.45">
      <c r="A28" s="1" t="s">
        <v>29</v>
      </c>
      <c r="B28" s="19">
        <f>B24/B32</f>
        <v>0.99256411872203665</v>
      </c>
      <c r="C28" s="19">
        <f t="shared" ref="C28:H28" si="9">C31/C32</f>
        <v>0.81847303790710091</v>
      </c>
      <c r="D28" s="19">
        <f t="shared" si="9"/>
        <v>0.85253249663827879</v>
      </c>
      <c r="E28" s="19">
        <f t="shared" si="9"/>
        <v>0.79511465603190423</v>
      </c>
      <c r="F28" s="19">
        <f t="shared" si="9"/>
        <v>0.85382613222280057</v>
      </c>
      <c r="G28" s="19">
        <f t="shared" si="9"/>
        <v>0.70617748510504863</v>
      </c>
      <c r="H28" s="37" t="e">
        <f t="shared" si="9"/>
        <v>#DIV/0!</v>
      </c>
      <c r="I28" s="37"/>
      <c r="J28" s="3" t="s">
        <v>53</v>
      </c>
    </row>
    <row r="29" spans="1:15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/>
      <c r="I29" s="8">
        <v>0</v>
      </c>
      <c r="J29" s="3" t="s">
        <v>30</v>
      </c>
    </row>
    <row r="30" spans="1:15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/>
      <c r="I30" s="21">
        <f>(I26*I29)</f>
        <v>0</v>
      </c>
      <c r="J30" s="3" t="s">
        <v>31</v>
      </c>
    </row>
    <row r="31" spans="1:15" ht="15.75" x14ac:dyDescent="0.25">
      <c r="A31" s="9" t="s">
        <v>17</v>
      </c>
      <c r="B31" s="22">
        <v>15751</v>
      </c>
      <c r="C31" s="22">
        <v>7665</v>
      </c>
      <c r="D31" s="22">
        <v>5706</v>
      </c>
      <c r="E31" s="22">
        <v>6380</v>
      </c>
      <c r="F31" s="22">
        <v>8201</v>
      </c>
      <c r="G31" s="22">
        <v>9008</v>
      </c>
      <c r="H31" s="22"/>
      <c r="I31" s="22"/>
      <c r="J31" s="3" t="s">
        <v>17</v>
      </c>
      <c r="M31" s="39"/>
    </row>
    <row r="32" spans="1:15" ht="15.75" x14ac:dyDescent="0.25">
      <c r="A32" s="9" t="s">
        <v>32</v>
      </c>
      <c r="B32" s="25">
        <v>15869</v>
      </c>
      <c r="C32" s="25">
        <v>9365</v>
      </c>
      <c r="D32" s="25">
        <v>6693</v>
      </c>
      <c r="E32" s="25">
        <v>8024</v>
      </c>
      <c r="F32" s="25">
        <v>9605</v>
      </c>
      <c r="G32" s="25">
        <v>12756</v>
      </c>
      <c r="H32" s="25"/>
      <c r="I32" s="25"/>
      <c r="J32" s="3" t="s">
        <v>18</v>
      </c>
      <c r="L32" s="14">
        <f>SUM(B32:G32)+I32</f>
        <v>62312</v>
      </c>
      <c r="M32">
        <v>30600</v>
      </c>
    </row>
    <row r="33" spans="1:15" ht="19.5" x14ac:dyDescent="0.4">
      <c r="A33" s="9" t="s">
        <v>33</v>
      </c>
      <c r="B33" s="127">
        <f t="shared" ref="B33:I33" si="11">B31-B32</f>
        <v>-118</v>
      </c>
      <c r="C33" s="127">
        <f t="shared" si="11"/>
        <v>-1700</v>
      </c>
      <c r="D33" s="127">
        <f t="shared" si="11"/>
        <v>-987</v>
      </c>
      <c r="E33" s="127">
        <f t="shared" si="11"/>
        <v>-1644</v>
      </c>
      <c r="F33" s="127">
        <f t="shared" si="11"/>
        <v>-1404</v>
      </c>
      <c r="G33" s="127">
        <f t="shared" si="11"/>
        <v>-3748</v>
      </c>
      <c r="H33" s="90">
        <f t="shared" si="11"/>
        <v>0</v>
      </c>
      <c r="I33" s="90">
        <f t="shared" si="11"/>
        <v>0</v>
      </c>
      <c r="J33" s="27"/>
      <c r="K33" s="28"/>
      <c r="L33" s="43">
        <f>SUM(B33:I33)</f>
        <v>-9601</v>
      </c>
      <c r="M33" s="28"/>
      <c r="N33" s="28"/>
      <c r="O33" s="28"/>
    </row>
    <row r="34" spans="1:15" x14ac:dyDescent="0.25">
      <c r="A34" s="1" t="s">
        <v>34</v>
      </c>
      <c r="B34" s="22" t="e">
        <f>SUM(#REF!+#REF!+[3]March!B36+[3]April!B36+[3]May!B36+[3]June!B36+[3]July!B36+'[3]August '!B36+[3]September!B36+[3]October!B36+[3]November!B36+[3]December!B36)</f>
        <v>#REF!</v>
      </c>
      <c r="C34" s="22" t="e">
        <f>SUM(#REF!+#REF!+[3]March!C36+[3]April!C36+[3]May!C36+[3]June!C36+[3]July!C36+'[3]August '!C36+[3]September!C36+[3]October!C36+[3]November!C36+[3]December!C36)</f>
        <v>#REF!</v>
      </c>
      <c r="D34" s="22" t="e">
        <f>SUM(#REF!+#REF!+[3]March!D36+[3]April!D36+[3]May!D36+[3]June!D36+[3]July!D36+'[3]August '!D36+[3]September!D36+[3]October!D36+[3]November!D36+[3]December!D36)</f>
        <v>#REF!</v>
      </c>
      <c r="E34" s="22" t="e">
        <f>SUM(#REF!+#REF!+[3]March!E36+[3]April!E36+[3]May!E36+[3]June!E36+[3]July!E36+'[3]August '!E36+[3]September!E36+[3]October!E36+[3]November!E36+[3]December!E36)</f>
        <v>#REF!</v>
      </c>
      <c r="F34" s="22" t="e">
        <f>SUM(#REF!+#REF!+[3]March!F36+[3]April!F36+[3]May!F36+[3]June!F36+[3]July!F36+'[3]August '!F36+[3]September!F36+[3]October!F36+[3]November!F36+[3]December!F36)</f>
        <v>#REF!</v>
      </c>
      <c r="G34" s="22" t="e">
        <f>SUM(#REF!+#REF!+[3]March!G36+[3]April!G36+[3]May!G36+[3]June!G36+[3]July!G36+'[3]August '!G36+[3]September!G36+[3]October!G36+[3]November!G36+[3]December!G36)</f>
        <v>#REF!</v>
      </c>
      <c r="H34" s="22" t="e">
        <f>SUM(#REF!+#REF!+[3]March!H36+[3]April!H36+[3]May!H36+[3]June!H36+[3]July!H36+'[3]August '!H36+[3]September!H36+[3]October!H36+[3]November!H36+[3]December!H36)</f>
        <v>#REF!</v>
      </c>
      <c r="I34" s="22" t="e">
        <f>SUM(#REF!+#REF!+[3]March!I36+[3]April!I36+[3]May!I36+[3]June!I36+[3]July!I36+'[3]August '!I36+[3]September!I36+[3]October!I36+[3]November!I36+[3]December!I36)</f>
        <v>#REF!</v>
      </c>
      <c r="J34" s="3"/>
      <c r="N34" s="46">
        <f>SUM(L17,L32,L48)</f>
        <v>194978</v>
      </c>
      <c r="O34" s="1"/>
    </row>
    <row r="35" spans="1:15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</row>
    <row r="36" spans="1:15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</row>
    <row r="37" spans="1:15" ht="15.75" thickBot="1" x14ac:dyDescent="0.3">
      <c r="A37" s="1" t="s">
        <v>4</v>
      </c>
      <c r="B37" s="6" t="s">
        <v>155</v>
      </c>
      <c r="C37" s="6" t="s">
        <v>56</v>
      </c>
      <c r="D37" s="6" t="s">
        <v>57</v>
      </c>
      <c r="E37" s="6" t="s">
        <v>58</v>
      </c>
      <c r="F37" s="7" t="s">
        <v>59</v>
      </c>
      <c r="G37" s="7" t="s">
        <v>60</v>
      </c>
      <c r="H37" s="6" t="s">
        <v>61</v>
      </c>
      <c r="I37" s="6" t="s">
        <v>62</v>
      </c>
      <c r="J37" s="3" t="s">
        <v>4</v>
      </c>
      <c r="L37" s="1"/>
      <c r="M37" s="1"/>
      <c r="N37" s="93" t="e">
        <f>#REF!/N34</f>
        <v>#REF!</v>
      </c>
      <c r="O37" s="1" t="s">
        <v>63</v>
      </c>
    </row>
    <row r="38" spans="1:15" ht="15.75" x14ac:dyDescent="0.25">
      <c r="A38" s="9" t="s">
        <v>13</v>
      </c>
      <c r="B38" s="128" t="s">
        <v>156</v>
      </c>
      <c r="C38" s="128" t="s">
        <v>156</v>
      </c>
      <c r="D38" s="128" t="s">
        <v>156</v>
      </c>
      <c r="E38" s="128" t="s">
        <v>156</v>
      </c>
      <c r="F38" s="10" t="s">
        <v>157</v>
      </c>
      <c r="G38" s="128" t="s">
        <v>156</v>
      </c>
      <c r="H38" s="128" t="s">
        <v>156</v>
      </c>
      <c r="I38" s="128" t="s">
        <v>156</v>
      </c>
      <c r="J38" s="3" t="s">
        <v>15</v>
      </c>
      <c r="L38" s="1"/>
      <c r="M38" s="1"/>
      <c r="N38" s="1"/>
      <c r="O38" s="1"/>
    </row>
    <row r="39" spans="1:15" ht="15.75" x14ac:dyDescent="0.25">
      <c r="A39" s="1" t="s">
        <v>16</v>
      </c>
      <c r="B39" s="11">
        <f t="shared" ref="B39:I39" si="12">((1/B42)/0.0004)^(1/3)</f>
        <v>10.919755809203734</v>
      </c>
      <c r="C39" s="11">
        <f t="shared" si="12"/>
        <v>11.157215834702827</v>
      </c>
      <c r="D39" s="11">
        <f t="shared" si="12"/>
        <v>10.615274788449538</v>
      </c>
      <c r="E39" s="11" t="e">
        <f t="shared" si="12"/>
        <v>#DIV/0!</v>
      </c>
      <c r="F39" s="34">
        <f t="shared" si="12"/>
        <v>10.919755809203734</v>
      </c>
      <c r="G39" s="34">
        <f t="shared" si="12"/>
        <v>10.701301836183271</v>
      </c>
      <c r="H39" s="34">
        <f t="shared" si="12"/>
        <v>11.262478804436061</v>
      </c>
      <c r="I39" s="11">
        <f t="shared" si="12"/>
        <v>10.649352950906913</v>
      </c>
      <c r="J39" s="3" t="s">
        <v>16</v>
      </c>
      <c r="L39" s="1"/>
      <c r="M39" s="1"/>
      <c r="N39" s="1"/>
      <c r="O39" s="1"/>
    </row>
    <row r="40" spans="1:15" ht="15.75" x14ac:dyDescent="0.25">
      <c r="A40" s="1" t="s">
        <v>17</v>
      </c>
      <c r="B40" s="15">
        <f t="shared" ref="B40:I40" si="13">B47+B46</f>
        <v>6411</v>
      </c>
      <c r="C40" s="15">
        <f t="shared" si="13"/>
        <v>6107</v>
      </c>
      <c r="D40" s="15">
        <f t="shared" si="13"/>
        <v>7842</v>
      </c>
      <c r="E40" s="15">
        <f t="shared" si="13"/>
        <v>0</v>
      </c>
      <c r="F40" s="83">
        <f t="shared" si="13"/>
        <v>7477</v>
      </c>
      <c r="G40" s="15">
        <f t="shared" si="13"/>
        <v>6366</v>
      </c>
      <c r="H40" s="15">
        <f t="shared" si="13"/>
        <v>0</v>
      </c>
      <c r="I40" s="15">
        <f t="shared" si="13"/>
        <v>8120</v>
      </c>
      <c r="J40" s="3" t="s">
        <v>17</v>
      </c>
      <c r="L40" s="14">
        <f>SUM(B40:I40)</f>
        <v>42323</v>
      </c>
      <c r="M40" s="1"/>
      <c r="N40" s="1"/>
      <c r="O40" s="1"/>
    </row>
    <row r="41" spans="1:15" ht="15.75" x14ac:dyDescent="0.25">
      <c r="A41" s="1" t="s">
        <v>18</v>
      </c>
      <c r="B41" s="15">
        <f t="shared" ref="B41:G41" si="14">B40/B42</f>
        <v>3339.0625</v>
      </c>
      <c r="C41" s="15">
        <f t="shared" si="14"/>
        <v>3392.7777777777778</v>
      </c>
      <c r="D41" s="15">
        <f t="shared" si="14"/>
        <v>3752.1531100478473</v>
      </c>
      <c r="E41" s="15" t="e">
        <f t="shared" si="14"/>
        <v>#DIV/0!</v>
      </c>
      <c r="F41" s="35">
        <f t="shared" si="14"/>
        <v>3894.2708333333335</v>
      </c>
      <c r="G41" s="35">
        <f t="shared" si="14"/>
        <v>3120.5882352941176</v>
      </c>
      <c r="H41" s="15" t="s">
        <v>45</v>
      </c>
      <c r="I41" s="15" t="s">
        <v>45</v>
      </c>
      <c r="J41" s="3" t="s">
        <v>18</v>
      </c>
      <c r="L41" s="14" t="e">
        <f>SUM(B41:I41)</f>
        <v>#DIV/0!</v>
      </c>
      <c r="M41" s="1"/>
      <c r="N41" s="1"/>
      <c r="O41" s="1"/>
    </row>
    <row r="42" spans="1:15" ht="15.75" x14ac:dyDescent="0.25">
      <c r="A42" s="1" t="s">
        <v>19</v>
      </c>
      <c r="B42" s="11">
        <v>1.92</v>
      </c>
      <c r="C42" s="11">
        <v>1.8</v>
      </c>
      <c r="D42" s="11">
        <v>2.09</v>
      </c>
      <c r="E42" s="11"/>
      <c r="F42" s="11">
        <v>1.92</v>
      </c>
      <c r="G42" s="11">
        <v>2.04</v>
      </c>
      <c r="H42" s="11">
        <v>1.75</v>
      </c>
      <c r="I42" s="11">
        <v>2.0699999999999998</v>
      </c>
      <c r="J42" s="3" t="s">
        <v>19</v>
      </c>
      <c r="K42" s="1"/>
      <c r="L42" s="1"/>
      <c r="M42" s="1"/>
      <c r="N42" s="1"/>
      <c r="O42" s="1"/>
    </row>
    <row r="43" spans="1:15" ht="15.75" x14ac:dyDescent="0.25">
      <c r="A43" s="1" t="s">
        <v>20</v>
      </c>
      <c r="B43" s="17" t="s">
        <v>158</v>
      </c>
      <c r="C43" s="17" t="s">
        <v>159</v>
      </c>
      <c r="D43" s="17" t="s">
        <v>160</v>
      </c>
      <c r="E43" s="17"/>
      <c r="F43" s="17" t="s">
        <v>161</v>
      </c>
      <c r="G43" s="17" t="s">
        <v>162</v>
      </c>
      <c r="H43" s="17" t="s">
        <v>163</v>
      </c>
      <c r="I43" s="17" t="s">
        <v>164</v>
      </c>
      <c r="J43" s="3" t="s">
        <v>20</v>
      </c>
      <c r="K43" s="1"/>
      <c r="L43" s="1"/>
      <c r="M43" s="1"/>
      <c r="N43" s="1"/>
      <c r="O43" s="1"/>
    </row>
    <row r="44" spans="1:15" ht="20.25" thickBot="1" x14ac:dyDescent="0.45">
      <c r="A44" s="1" t="s">
        <v>29</v>
      </c>
      <c r="B44" s="19">
        <f t="shared" ref="B44:I44" si="15">B47/B48</f>
        <v>0.80137499999999995</v>
      </c>
      <c r="C44" s="19">
        <f t="shared" si="15"/>
        <v>0.99381611065907238</v>
      </c>
      <c r="D44" s="19">
        <f t="shared" si="15"/>
        <v>0.78837840554941185</v>
      </c>
      <c r="E44" s="19">
        <f t="shared" si="15"/>
        <v>0</v>
      </c>
      <c r="F44" s="19">
        <f t="shared" si="15"/>
        <v>0.78738416175231674</v>
      </c>
      <c r="G44" s="19">
        <f t="shared" si="15"/>
        <v>0.88025442477876104</v>
      </c>
      <c r="H44" s="19">
        <f t="shared" si="15"/>
        <v>0</v>
      </c>
      <c r="I44" s="19">
        <f t="shared" si="15"/>
        <v>0.8850136239782016</v>
      </c>
      <c r="J44" s="3" t="s">
        <v>53</v>
      </c>
      <c r="K44" s="1"/>
      <c r="L44" s="1"/>
      <c r="M44" s="1"/>
      <c r="N44" s="1"/>
      <c r="O44" s="1"/>
    </row>
    <row r="45" spans="1:15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</row>
    <row r="46" spans="1:15" x14ac:dyDescent="0.25">
      <c r="A46" s="1" t="s">
        <v>31</v>
      </c>
      <c r="B46" s="21">
        <f t="shared" ref="B46:I46" si="16">(B42*B45)</f>
        <v>0</v>
      </c>
      <c r="C46" s="21">
        <f t="shared" si="16"/>
        <v>0</v>
      </c>
      <c r="D46" s="21">
        <v>0</v>
      </c>
      <c r="E46" s="21">
        <f t="shared" si="16"/>
        <v>0</v>
      </c>
      <c r="F46" s="21"/>
      <c r="G46" s="21">
        <f t="shared" si="16"/>
        <v>0</v>
      </c>
      <c r="H46" s="21">
        <f t="shared" si="16"/>
        <v>0</v>
      </c>
      <c r="I46" s="21">
        <f t="shared" si="16"/>
        <v>0</v>
      </c>
      <c r="J46" s="3" t="s">
        <v>31</v>
      </c>
      <c r="K46" s="1"/>
      <c r="L46" s="1"/>
      <c r="M46" s="1"/>
      <c r="N46" s="1"/>
      <c r="O46" s="1"/>
    </row>
    <row r="47" spans="1:15" ht="15.75" x14ac:dyDescent="0.25">
      <c r="A47" s="1" t="s">
        <v>17</v>
      </c>
      <c r="B47" s="22">
        <v>6411</v>
      </c>
      <c r="C47" s="22">
        <v>6107</v>
      </c>
      <c r="D47" s="22">
        <v>7842</v>
      </c>
      <c r="E47" s="22"/>
      <c r="F47" s="22">
        <v>7477</v>
      </c>
      <c r="G47" s="22">
        <v>6366</v>
      </c>
      <c r="H47" s="22"/>
      <c r="I47" s="22">
        <v>8120</v>
      </c>
      <c r="J47" s="3" t="s">
        <v>17</v>
      </c>
      <c r="K47" s="1"/>
      <c r="L47" s="14">
        <f>SUM(B47:I47)</f>
        <v>42323</v>
      </c>
      <c r="M47" s="1"/>
      <c r="N47" s="1"/>
      <c r="O47" s="1"/>
    </row>
    <row r="48" spans="1:15" ht="15.75" x14ac:dyDescent="0.25">
      <c r="A48" s="1" t="s">
        <v>32</v>
      </c>
      <c r="B48" s="14">
        <v>8000</v>
      </c>
      <c r="C48" s="25">
        <v>6145</v>
      </c>
      <c r="D48" s="14">
        <v>9947</v>
      </c>
      <c r="E48" s="14">
        <v>8000</v>
      </c>
      <c r="F48" s="14">
        <v>9496</v>
      </c>
      <c r="G48" s="14">
        <v>7232</v>
      </c>
      <c r="H48" s="14">
        <v>8298</v>
      </c>
      <c r="I48" s="14">
        <v>9175</v>
      </c>
      <c r="J48" s="3" t="s">
        <v>18</v>
      </c>
      <c r="K48" s="1"/>
      <c r="L48" s="14">
        <f>SUM(B48:I48)</f>
        <v>66293</v>
      </c>
      <c r="M48" s="39">
        <v>28000</v>
      </c>
      <c r="N48" s="39"/>
      <c r="O48" s="39"/>
    </row>
    <row r="49" spans="1:15" ht="19.5" x14ac:dyDescent="0.4">
      <c r="A49" s="1" t="s">
        <v>33</v>
      </c>
      <c r="B49" s="41">
        <f t="shared" ref="B49:I49" si="17">B47-B48</f>
        <v>-1589</v>
      </c>
      <c r="C49" s="41">
        <f t="shared" si="17"/>
        <v>-38</v>
      </c>
      <c r="D49" s="41">
        <f t="shared" si="17"/>
        <v>-2105</v>
      </c>
      <c r="E49" s="40">
        <f t="shared" si="17"/>
        <v>-8000</v>
      </c>
      <c r="F49" s="41">
        <f t="shared" si="17"/>
        <v>-2019</v>
      </c>
      <c r="G49" s="41">
        <f t="shared" si="17"/>
        <v>-866</v>
      </c>
      <c r="H49" s="41">
        <f t="shared" si="17"/>
        <v>-8298</v>
      </c>
      <c r="I49" s="41">
        <f t="shared" si="17"/>
        <v>-1055</v>
      </c>
      <c r="J49" s="27"/>
      <c r="K49" s="45"/>
      <c r="L49" s="14">
        <f>SUM(B49:I49)</f>
        <v>-23970</v>
      </c>
      <c r="M49" s="45"/>
      <c r="N49" s="45"/>
      <c r="O49" s="45"/>
    </row>
    <row r="50" spans="1:15" x14ac:dyDescent="0.25">
      <c r="A50" s="1" t="s">
        <v>34</v>
      </c>
      <c r="B50" s="22" t="e">
        <f>SUM(#REF!+#REF!+[3]March!B53+[3]April!B53+[3]May!B53+[3]June!B53+[3]July!B53+'[3]August '!B53+[3]September!B53+[3]October!B53+[3]November!B53+[3]December!B53)</f>
        <v>#REF!</v>
      </c>
      <c r="C50" s="22" t="e">
        <f>SUM(#REF!+#REF!+[3]March!C53+[3]April!C53+[3]May!C53+[3]June!C53+[3]July!C53+'[3]August '!C53+[3]September!C53+[3]October!C53+[3]November!C53+[3]December!C53)</f>
        <v>#REF!</v>
      </c>
      <c r="D50" s="22" t="e">
        <f>SUM(#REF!+#REF!+[3]March!D53+[3]April!D53+[3]May!D53+[3]June!D53+[3]July!D53+'[3]August '!D53+[3]September!D53+[3]October!D53+[3]November!D53+[3]December!D53)</f>
        <v>#REF!</v>
      </c>
      <c r="E50" s="22" t="e">
        <f>SUM(#REF!+#REF!+[3]March!E53+[3]April!E53+[3]May!E53+[3]June!E53+[3]July!E53+'[3]August '!E53+[3]September!E53+[3]October!E53+[3]November!E53+[3]December!E53)</f>
        <v>#REF!</v>
      </c>
      <c r="F50" s="22" t="e">
        <f>SUM(#REF!+#REF!+[3]March!F53+[3]April!F53+[3]May!F53+[3]June!F53+[3]July!F53+'[3]August '!F53+[3]September!F53+[3]October!F53+[3]November!F53+[3]December!F53)</f>
        <v>#REF!</v>
      </c>
      <c r="G50" s="22" t="e">
        <f>SUM(#REF!+#REF!+[3]March!G53+[3]April!G53+[3]May!G53+[3]June!G53+[3]July!G53+'[3]August '!G53+[3]September!G53+[3]October!G53+[3]November!G53+[3]December!G53)</f>
        <v>#REF!</v>
      </c>
      <c r="H50" s="22" t="e">
        <f>SUM(#REF!+#REF!+[3]March!H53+[3]April!H53+[3]May!H53+[3]June!H53+[3]July!H53+'[3]August '!H53+[3]September!H53+[3]October!H53+[3]November!H53+[3]December!H53)</f>
        <v>#REF!</v>
      </c>
      <c r="I50" s="22" t="e">
        <f>SUM(#REF!+#REF!+[3]March!I53+[3]April!I53+[3]May!I53+[3]June!I53+[3]July!I53+'[3]August '!I53+[3]September!I53+[3]October!I53+[3]November!I53+[3]December!I53)</f>
        <v>#REF!</v>
      </c>
      <c r="J50" s="3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</row>
    <row r="52" spans="1:15" x14ac:dyDescent="0.25">
      <c r="A52" s="1"/>
      <c r="C52" s="1"/>
      <c r="D52" s="1"/>
      <c r="E52" s="1"/>
      <c r="F52" s="1"/>
      <c r="H52" s="1"/>
      <c r="I52" s="6" t="s">
        <v>69</v>
      </c>
      <c r="J52" s="3"/>
      <c r="K52" s="1"/>
      <c r="L52" s="1"/>
      <c r="M52" s="1" t="s">
        <v>165</v>
      </c>
      <c r="N52" s="1"/>
      <c r="O52" s="1"/>
    </row>
    <row r="53" spans="1:15" ht="16.5" thickBot="1" x14ac:dyDescent="0.3">
      <c r="A53" s="1"/>
      <c r="B53" s="1"/>
      <c r="C53" s="1"/>
      <c r="D53" s="1" t="s">
        <v>70</v>
      </c>
      <c r="E53" s="7" t="s">
        <v>135</v>
      </c>
      <c r="F53" s="129" t="s">
        <v>166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1"/>
      <c r="M53" s="1" t="s">
        <v>167</v>
      </c>
      <c r="N53" s="1" t="s">
        <v>75</v>
      </c>
      <c r="O53" s="1"/>
    </row>
    <row r="54" spans="1:15" x14ac:dyDescent="0.25">
      <c r="A54" s="1"/>
      <c r="B54" s="1"/>
      <c r="C54" s="1"/>
      <c r="D54" s="1" t="s">
        <v>15</v>
      </c>
      <c r="E54" s="10" t="s">
        <v>76</v>
      </c>
      <c r="F54" s="130" t="s">
        <v>168</v>
      </c>
      <c r="G54" s="10" t="s">
        <v>76</v>
      </c>
      <c r="H54" s="3" t="s">
        <v>77</v>
      </c>
      <c r="I54" s="22">
        <v>1088</v>
      </c>
      <c r="J54" s="51">
        <v>1.96</v>
      </c>
      <c r="K54" s="52">
        <f t="shared" ref="K54:K60" si="18">I54/J54</f>
        <v>555.10204081632651</v>
      </c>
      <c r="L54" s="131" t="s">
        <v>169</v>
      </c>
      <c r="M54" s="132">
        <f>SUM(I54:I56)</f>
        <v>7475</v>
      </c>
      <c r="N54" s="132">
        <f>SUM(K54:K56)</f>
        <v>3826.6718995290421</v>
      </c>
      <c r="O54" s="1"/>
    </row>
    <row r="55" spans="1:15" ht="15.75" x14ac:dyDescent="0.25">
      <c r="A55" s="1"/>
      <c r="B55" s="1"/>
      <c r="C55" s="1"/>
      <c r="D55" s="1" t="s">
        <v>16</v>
      </c>
      <c r="E55" s="11">
        <f>((1/E58)/0.0004)^(1/3)</f>
        <v>10.86346740846674</v>
      </c>
      <c r="F55" s="133">
        <f>((1/F58)/0.0004)^(1/3)</f>
        <v>11.035932143766303</v>
      </c>
      <c r="G55" s="11" t="e">
        <f>((1/G58)/0.0004)^(1/3)</f>
        <v>#DIV/0!</v>
      </c>
      <c r="H55" s="3" t="s">
        <v>78</v>
      </c>
      <c r="I55" s="22">
        <v>1458</v>
      </c>
      <c r="J55" s="51">
        <v>1.96</v>
      </c>
      <c r="K55" s="52">
        <f t="shared" si="18"/>
        <v>743.87755102040819</v>
      </c>
      <c r="L55" s="134"/>
      <c r="M55" s="135"/>
      <c r="N55" s="135"/>
      <c r="O55" s="1"/>
    </row>
    <row r="56" spans="1:15" ht="15.75" x14ac:dyDescent="0.25">
      <c r="A56" s="1"/>
      <c r="B56" s="1"/>
      <c r="C56" s="1"/>
      <c r="D56" s="1" t="s">
        <v>17</v>
      </c>
      <c r="E56" s="83">
        <f>E63+E62</f>
        <v>8075</v>
      </c>
      <c r="F56" s="136">
        <f>F63+F62</f>
        <v>3750</v>
      </c>
      <c r="G56" s="83">
        <f>G63+G62</f>
        <v>12218</v>
      </c>
      <c r="H56" s="3" t="s">
        <v>125</v>
      </c>
      <c r="I56" s="22">
        <v>4929</v>
      </c>
      <c r="J56" s="51">
        <v>1.95</v>
      </c>
      <c r="K56" s="52">
        <f t="shared" si="18"/>
        <v>2527.6923076923076</v>
      </c>
      <c r="L56" s="137"/>
      <c r="M56" s="138"/>
      <c r="N56" s="138"/>
      <c r="O56" s="1"/>
    </row>
    <row r="57" spans="1:15" ht="15.75" x14ac:dyDescent="0.25">
      <c r="D57" s="1" t="s">
        <v>18</v>
      </c>
      <c r="E57" s="15">
        <f>E56/E58</f>
        <v>4141.0256410256416</v>
      </c>
      <c r="F57" s="139">
        <f>F56/F58</f>
        <v>2016.1290322580644</v>
      </c>
      <c r="G57" s="15" t="e">
        <f>G56/G58</f>
        <v>#DIV/0!</v>
      </c>
      <c r="H57" s="3" t="s">
        <v>125</v>
      </c>
      <c r="I57" s="22">
        <v>2278</v>
      </c>
      <c r="J57" s="51">
        <v>2.1800000000000002</v>
      </c>
      <c r="K57" s="52">
        <f t="shared" si="18"/>
        <v>1044.954128440367</v>
      </c>
      <c r="L57" s="140" t="s">
        <v>170</v>
      </c>
      <c r="M57" s="141">
        <f>SUM(I57:I60)</f>
        <v>12218</v>
      </c>
      <c r="N57" s="142">
        <f>SUM(K57:K60)</f>
        <v>6352.8935951407329</v>
      </c>
      <c r="O57" s="1"/>
    </row>
    <row r="58" spans="1:15" ht="15.75" x14ac:dyDescent="0.25">
      <c r="D58" s="1" t="s">
        <v>19</v>
      </c>
      <c r="E58" s="11">
        <v>1.95</v>
      </c>
      <c r="F58" s="143">
        <v>1.86</v>
      </c>
      <c r="G58" s="11"/>
      <c r="H58" s="3" t="s">
        <v>81</v>
      </c>
      <c r="I58" s="22">
        <v>6219</v>
      </c>
      <c r="J58" s="51">
        <v>1.93</v>
      </c>
      <c r="K58" s="52">
        <f t="shared" si="18"/>
        <v>3222.2797927461143</v>
      </c>
      <c r="L58" s="144"/>
      <c r="M58" s="145"/>
      <c r="N58" s="146"/>
      <c r="O58" s="1"/>
    </row>
    <row r="59" spans="1:15" ht="15.75" x14ac:dyDescent="0.25">
      <c r="D59" s="1" t="s">
        <v>20</v>
      </c>
      <c r="E59" s="17" t="s">
        <v>76</v>
      </c>
      <c r="F59" s="147" t="s">
        <v>171</v>
      </c>
      <c r="G59" s="17" t="s">
        <v>76</v>
      </c>
      <c r="H59" s="94" t="s">
        <v>82</v>
      </c>
      <c r="I59" s="54">
        <v>2000</v>
      </c>
      <c r="J59" s="55">
        <v>1.93</v>
      </c>
      <c r="K59" s="95">
        <f t="shared" si="18"/>
        <v>1036.2694300518135</v>
      </c>
      <c r="L59" s="144"/>
      <c r="M59" s="145"/>
      <c r="N59" s="146"/>
      <c r="O59" s="1"/>
    </row>
    <row r="60" spans="1:15" ht="20.25" thickBot="1" x14ac:dyDescent="0.45">
      <c r="D60" s="1" t="s">
        <v>29</v>
      </c>
      <c r="E60" s="19">
        <f>E56/E64</f>
        <v>0.67302883813968994</v>
      </c>
      <c r="F60" s="148">
        <f>F56/F64</f>
        <v>0.93237195425161612</v>
      </c>
      <c r="G60" s="19">
        <f>G56/G64</f>
        <v>1.0174036139561995</v>
      </c>
      <c r="H60" s="96" t="s">
        <v>82</v>
      </c>
      <c r="I60" s="76">
        <v>1721</v>
      </c>
      <c r="J60" s="97">
        <v>1.64</v>
      </c>
      <c r="K60" s="98">
        <f t="shared" si="18"/>
        <v>1049.3902439024391</v>
      </c>
      <c r="L60" s="149"/>
      <c r="M60" s="150"/>
      <c r="N60" s="151"/>
      <c r="O60" s="1"/>
    </row>
    <row r="61" spans="1:15" ht="15.75" x14ac:dyDescent="0.25">
      <c r="D61" s="1" t="s">
        <v>84</v>
      </c>
      <c r="E61" s="20">
        <v>325</v>
      </c>
      <c r="F61" s="152">
        <v>0</v>
      </c>
      <c r="G61" s="20">
        <v>0</v>
      </c>
      <c r="H61" s="3" t="s">
        <v>127</v>
      </c>
      <c r="I61" s="54">
        <f>SUM(I54:I60)</f>
        <v>19693</v>
      </c>
      <c r="J61" s="6"/>
      <c r="K61" s="54">
        <f>SUM(K54:K60)</f>
        <v>10179.565494669776</v>
      </c>
      <c r="L61" s="1"/>
      <c r="M61" s="1"/>
      <c r="N61" s="1"/>
      <c r="O61" s="1"/>
    </row>
    <row r="62" spans="1:15" ht="15.75" x14ac:dyDescent="0.25">
      <c r="D62" s="1" t="s">
        <v>86</v>
      </c>
      <c r="E62" s="20">
        <v>600</v>
      </c>
      <c r="F62" s="152">
        <v>0</v>
      </c>
      <c r="G62" s="20">
        <v>0</v>
      </c>
      <c r="H62" s="1" t="s">
        <v>32</v>
      </c>
      <c r="I62" s="22">
        <v>24007</v>
      </c>
      <c r="J62" s="1"/>
      <c r="K62" s="52"/>
      <c r="L62" s="60">
        <f>I61/K61</f>
        <v>1.934561942777582</v>
      </c>
      <c r="M62" s="1"/>
      <c r="N62" s="1"/>
      <c r="O62" s="1"/>
    </row>
    <row r="63" spans="1:15" ht="19.5" x14ac:dyDescent="0.4">
      <c r="D63" s="1" t="s">
        <v>17</v>
      </c>
      <c r="E63" s="23">
        <v>7475</v>
      </c>
      <c r="F63" s="153">
        <v>3750</v>
      </c>
      <c r="G63" s="22">
        <v>12218</v>
      </c>
      <c r="H63" s="1" t="s">
        <v>29</v>
      </c>
      <c r="I63" s="154">
        <f>I61/I62</f>
        <v>0.82030241179655938</v>
      </c>
      <c r="J63" s="64"/>
      <c r="L63" s="1"/>
      <c r="M63" s="1"/>
      <c r="N63" s="1"/>
      <c r="O63" s="1"/>
    </row>
    <row r="64" spans="1:15" ht="15.75" x14ac:dyDescent="0.25">
      <c r="D64" s="1" t="s">
        <v>32</v>
      </c>
      <c r="E64" s="23">
        <v>11998</v>
      </c>
      <c r="F64" s="155">
        <v>4022</v>
      </c>
      <c r="G64" s="14">
        <v>12009</v>
      </c>
      <c r="H64" s="1"/>
      <c r="I64" s="3"/>
      <c r="J64" s="1"/>
      <c r="K64" s="1"/>
      <c r="L64" s="1"/>
      <c r="M64" s="1"/>
      <c r="N64" s="1"/>
      <c r="O64" s="1"/>
    </row>
    <row r="65" spans="1:15" ht="19.5" x14ac:dyDescent="0.4">
      <c r="D65" s="1" t="s">
        <v>88</v>
      </c>
      <c r="E65" s="26">
        <f>E63-E64</f>
        <v>-4523</v>
      </c>
      <c r="F65" s="156">
        <f>F63-F64</f>
        <v>-272</v>
      </c>
      <c r="G65" s="127">
        <f>G63-G64</f>
        <v>209</v>
      </c>
      <c r="H65" s="1"/>
      <c r="I65" s="1"/>
      <c r="J65" s="3"/>
      <c r="K65" s="1"/>
      <c r="L65" s="1"/>
      <c r="M65" s="1"/>
      <c r="N65" s="1"/>
      <c r="O65" s="1"/>
    </row>
    <row r="66" spans="1:15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</row>
    <row r="67" spans="1:15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</row>
    <row r="68" spans="1:15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</row>
    <row r="69" spans="1:15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</row>
    <row r="70" spans="1:15" x14ac:dyDescent="0.25">
      <c r="D70" s="1"/>
      <c r="E70" s="22"/>
      <c r="F70" s="22"/>
      <c r="G70" s="22"/>
      <c r="J70" s="33"/>
      <c r="L70" s="1"/>
      <c r="M70" s="1"/>
      <c r="N70" s="1"/>
      <c r="O70" s="1"/>
    </row>
    <row r="71" spans="1:15" x14ac:dyDescent="0.25">
      <c r="D71" s="1"/>
      <c r="E71" s="51"/>
      <c r="F71" s="51"/>
      <c r="G71" s="51"/>
      <c r="M71" s="1"/>
      <c r="N71" s="1"/>
      <c r="O71" s="1"/>
    </row>
    <row r="72" spans="1:15" ht="15.75" thickBot="1" x14ac:dyDescent="0.3">
      <c r="A72" s="1"/>
      <c r="B72" s="1"/>
      <c r="C72" s="1"/>
      <c r="D72" s="1"/>
      <c r="E72" s="1"/>
      <c r="F72" s="1"/>
      <c r="G72" s="1"/>
    </row>
    <row r="73" spans="1:15" ht="15.75" thickBot="1" x14ac:dyDescent="0.3">
      <c r="D73" s="65"/>
      <c r="E73" s="66"/>
      <c r="F73" s="66"/>
      <c r="G73" s="66"/>
      <c r="M73" s="1"/>
      <c r="N73" s="1"/>
    </row>
    <row r="74" spans="1:15" x14ac:dyDescent="0.25">
      <c r="D74" s="68" t="s">
        <v>89</v>
      </c>
      <c r="E74" s="69"/>
      <c r="F74" s="70"/>
      <c r="G74" s="71" t="s">
        <v>90</v>
      </c>
      <c r="H74" s="67"/>
    </row>
    <row r="75" spans="1:15" x14ac:dyDescent="0.25">
      <c r="D75" s="73" t="s">
        <v>17</v>
      </c>
      <c r="E75" s="54">
        <f>SUM(B17:I17,B24:I24,B40:I40)</f>
        <v>161407</v>
      </c>
      <c r="F75" s="70"/>
      <c r="G75" s="70" t="s">
        <v>17</v>
      </c>
      <c r="H75" s="72"/>
    </row>
    <row r="76" spans="1:15" x14ac:dyDescent="0.25">
      <c r="D76" s="73" t="s">
        <v>18</v>
      </c>
      <c r="E76" s="54" t="e">
        <f>SUM(B10:I10,B25:D25,F22,H25,B41:D41,H41)</f>
        <v>#DIV/0!</v>
      </c>
      <c r="F76" s="70"/>
      <c r="G76" s="70" t="s">
        <v>18</v>
      </c>
      <c r="H76" s="74">
        <f>SUM(F56)</f>
        <v>3750</v>
      </c>
      <c r="J76" s="33"/>
    </row>
    <row r="77" spans="1:15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2016.1290322580644</v>
      </c>
      <c r="J77" s="33"/>
    </row>
    <row r="78" spans="1:15" ht="15.75" thickBot="1" x14ac:dyDescent="0.3">
      <c r="H78" s="78">
        <f>B66</f>
        <v>0</v>
      </c>
      <c r="J78" s="33"/>
    </row>
    <row r="79" spans="1:15" x14ac:dyDescent="0.25">
      <c r="D79" s="65" t="s">
        <v>91</v>
      </c>
      <c r="E79" s="66"/>
      <c r="F79" s="66"/>
      <c r="G79" s="79"/>
      <c r="H79" s="1"/>
      <c r="J79" s="33"/>
    </row>
    <row r="80" spans="1:15" x14ac:dyDescent="0.25">
      <c r="A80" s="1"/>
      <c r="D80" s="73" t="s">
        <v>92</v>
      </c>
      <c r="E80" s="70"/>
      <c r="F80" s="80"/>
      <c r="G80" s="74">
        <f>SUM(E75,H76)</f>
        <v>165157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 t="e">
        <f>SUM(E76,H77)</f>
        <v>#DIV/0!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SUM(B18:I18,B33:I33,B49:E49,H49)</f>
        <v>-48413</v>
      </c>
      <c r="J82" s="33"/>
    </row>
  </sheetData>
  <mergeCells count="7">
    <mergeCell ref="D74:E74"/>
    <mergeCell ref="L54:L56"/>
    <mergeCell ref="M54:M56"/>
    <mergeCell ref="N54:N56"/>
    <mergeCell ref="L57:L60"/>
    <mergeCell ref="M57:M60"/>
    <mergeCell ref="N57:N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672-36AD-4BC5-B69B-4CD995102AC8}">
  <dimension ref="A1:O85"/>
  <sheetViews>
    <sheetView workbookViewId="0">
      <selection activeCell="P33" sqref="P33"/>
    </sheetView>
  </sheetViews>
  <sheetFormatPr defaultRowHeight="15" x14ac:dyDescent="0.25"/>
  <cols>
    <col min="1" max="1" width="13.5703125" bestFit="1" customWidth="1"/>
    <col min="2" max="3" width="14.28515625" bestFit="1" customWidth="1"/>
    <col min="4" max="4" width="16.5703125" customWidth="1"/>
    <col min="5" max="5" width="15.85546875" customWidth="1"/>
    <col min="6" max="6" width="16.28515625" customWidth="1"/>
    <col min="7" max="7" width="15.7109375" customWidth="1"/>
    <col min="8" max="8" width="15.42578125" customWidth="1"/>
    <col min="9" max="9" width="13.5703125" customWidth="1"/>
    <col min="10" max="10" width="14.42578125" customWidth="1"/>
  </cols>
  <sheetData>
    <row r="1" spans="1:13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</row>
    <row r="2" spans="1:13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</row>
    <row r="3" spans="1:13" ht="18" x14ac:dyDescent="0.25">
      <c r="A3" s="1"/>
      <c r="B3" s="1"/>
      <c r="C3" s="1"/>
      <c r="D3" s="1"/>
      <c r="E3" s="4" t="s">
        <v>172</v>
      </c>
      <c r="F3" s="1"/>
      <c r="G3" s="1"/>
      <c r="H3" s="5"/>
      <c r="J3" s="3"/>
      <c r="K3" s="1"/>
      <c r="L3" s="1"/>
    </row>
    <row r="4" spans="1:13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</row>
    <row r="6" spans="1:13" ht="15.75" thickBot="1" x14ac:dyDescent="0.3">
      <c r="A6" s="1" t="s">
        <v>4</v>
      </c>
      <c r="B6" s="6" t="s">
        <v>5</v>
      </c>
      <c r="C6" s="6" t="s">
        <v>6</v>
      </c>
      <c r="D6" s="129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</row>
    <row r="7" spans="1:13" x14ac:dyDescent="0.25">
      <c r="A7" s="9" t="s">
        <v>13</v>
      </c>
      <c r="B7" s="10" t="s">
        <v>173</v>
      </c>
      <c r="C7" s="10" t="s">
        <v>174</v>
      </c>
      <c r="D7" s="10" t="s">
        <v>173</v>
      </c>
      <c r="E7" s="10" t="s">
        <v>174</v>
      </c>
      <c r="F7" s="10" t="s">
        <v>175</v>
      </c>
      <c r="G7" s="10" t="s">
        <v>174</v>
      </c>
      <c r="H7" s="10" t="s">
        <v>173</v>
      </c>
      <c r="I7" s="10" t="s">
        <v>176</v>
      </c>
      <c r="J7" s="3" t="s">
        <v>15</v>
      </c>
      <c r="K7" s="8"/>
      <c r="L7" s="1"/>
      <c r="M7" s="1"/>
    </row>
    <row r="8" spans="1:13" ht="15.75" x14ac:dyDescent="0.25">
      <c r="A8" s="1" t="s">
        <v>16</v>
      </c>
      <c r="B8" s="11">
        <f>((1/B11)/0.0004)^(1/3)</f>
        <v>10.683872974985421</v>
      </c>
      <c r="C8" s="11">
        <f t="shared" ref="C8:I8" si="0">((1/C11)/0.0004)^(1/3)</f>
        <v>10.93877981248815</v>
      </c>
      <c r="D8" s="11">
        <f t="shared" si="0"/>
        <v>11.075773399575761</v>
      </c>
      <c r="E8" s="11">
        <f t="shared" si="0"/>
        <v>11.327581283990412</v>
      </c>
      <c r="F8" s="12">
        <f t="shared" si="0"/>
        <v>10.86346740846674</v>
      </c>
      <c r="G8" s="11">
        <f t="shared" si="0"/>
        <v>10.82657928943258</v>
      </c>
      <c r="H8" s="12">
        <f t="shared" si="0"/>
        <v>10.701301836183271</v>
      </c>
      <c r="I8" s="11">
        <f t="shared" si="0"/>
        <v>11.198847622778755</v>
      </c>
      <c r="J8" s="3" t="s">
        <v>16</v>
      </c>
      <c r="K8" s="12"/>
      <c r="L8" s="1"/>
      <c r="M8" s="1"/>
    </row>
    <row r="9" spans="1:13" ht="15.75" x14ac:dyDescent="0.25">
      <c r="A9" s="9" t="s">
        <v>17</v>
      </c>
      <c r="B9" s="83">
        <f>B16+B15</f>
        <v>8090</v>
      </c>
      <c r="C9" s="83">
        <f t="shared" ref="C9:I9" si="1">C16+C15</f>
        <v>8745</v>
      </c>
      <c r="D9" s="83">
        <f t="shared" si="1"/>
        <v>7852</v>
      </c>
      <c r="E9" s="83">
        <f t="shared" si="1"/>
        <v>8312</v>
      </c>
      <c r="F9" s="83">
        <f t="shared" si="1"/>
        <v>8672</v>
      </c>
      <c r="G9" s="83">
        <f t="shared" si="1"/>
        <v>0</v>
      </c>
      <c r="H9" s="83">
        <f t="shared" si="1"/>
        <v>9058</v>
      </c>
      <c r="I9" s="83">
        <f t="shared" si="1"/>
        <v>3553</v>
      </c>
      <c r="J9" s="3" t="s">
        <v>17</v>
      </c>
      <c r="L9" s="14">
        <f>SUM(B9:I9)</f>
        <v>54282</v>
      </c>
      <c r="M9" s="84">
        <v>50400</v>
      </c>
    </row>
    <row r="10" spans="1:13" ht="15.75" x14ac:dyDescent="0.25">
      <c r="A10" s="1" t="s">
        <v>18</v>
      </c>
      <c r="B10" s="15">
        <f>B9/B11</f>
        <v>3946.3414634146343</v>
      </c>
      <c r="C10" s="15">
        <f>C9/C11</f>
        <v>4578.5340314136129</v>
      </c>
      <c r="D10" s="14">
        <f t="shared" ref="D10:I10" si="2">D9/D11</f>
        <v>4267.391304347826</v>
      </c>
      <c r="E10" s="15">
        <f t="shared" si="2"/>
        <v>4832.5581395348836</v>
      </c>
      <c r="F10" s="14">
        <f t="shared" si="2"/>
        <v>4447.1794871794873</v>
      </c>
      <c r="G10" s="15">
        <f t="shared" si="2"/>
        <v>0</v>
      </c>
      <c r="H10" s="14">
        <f t="shared" si="2"/>
        <v>4440.1960784313724</v>
      </c>
      <c r="I10" s="15">
        <f t="shared" si="2"/>
        <v>1996.067415730337</v>
      </c>
      <c r="J10" s="3" t="s">
        <v>18</v>
      </c>
      <c r="L10" s="14">
        <f>SUM(B10:I10)</f>
        <v>28508.267920052152</v>
      </c>
      <c r="M10" s="16"/>
    </row>
    <row r="11" spans="1:13" ht="15.75" x14ac:dyDescent="0.25">
      <c r="A11" s="9" t="s">
        <v>19</v>
      </c>
      <c r="B11" s="11">
        <v>2.0499999999999998</v>
      </c>
      <c r="C11" s="11">
        <v>1.91</v>
      </c>
      <c r="D11" s="12">
        <v>1.84</v>
      </c>
      <c r="E11" s="11">
        <v>1.72</v>
      </c>
      <c r="F11" s="12">
        <v>1.95</v>
      </c>
      <c r="G11" s="11">
        <v>1.97</v>
      </c>
      <c r="H11" s="12">
        <v>2.04</v>
      </c>
      <c r="I11" s="11">
        <v>1.78</v>
      </c>
      <c r="J11" s="3" t="s">
        <v>19</v>
      </c>
      <c r="L11" s="12"/>
      <c r="M11" s="8"/>
    </row>
    <row r="12" spans="1:13" ht="15.75" x14ac:dyDescent="0.25">
      <c r="A12" s="1" t="s">
        <v>20</v>
      </c>
      <c r="B12" s="17" t="s">
        <v>177</v>
      </c>
      <c r="C12" s="17" t="s">
        <v>178</v>
      </c>
      <c r="D12" s="87" t="s">
        <v>179</v>
      </c>
      <c r="E12" s="17" t="s">
        <v>180</v>
      </c>
      <c r="F12" s="87" t="s">
        <v>181</v>
      </c>
      <c r="G12" s="17" t="s">
        <v>182</v>
      </c>
      <c r="H12" s="87" t="s">
        <v>183</v>
      </c>
      <c r="I12" s="17" t="s">
        <v>184</v>
      </c>
      <c r="J12" s="3" t="s">
        <v>20</v>
      </c>
      <c r="L12" s="18"/>
      <c r="M12" s="8"/>
    </row>
    <row r="13" spans="1:13" ht="20.25" thickBot="1" x14ac:dyDescent="0.45">
      <c r="A13" s="1" t="s">
        <v>29</v>
      </c>
      <c r="B13" s="19">
        <f t="shared" ref="B13:I13" si="3">B16/B17</f>
        <v>0.86951848667239895</v>
      </c>
      <c r="C13" s="19">
        <f t="shared" si="3"/>
        <v>0.85768928991761473</v>
      </c>
      <c r="D13" s="37">
        <f t="shared" si="3"/>
        <v>0.88373663477771525</v>
      </c>
      <c r="E13" s="37">
        <f t="shared" si="3"/>
        <v>0.86800334168755222</v>
      </c>
      <c r="F13" s="38">
        <f t="shared" si="3"/>
        <v>1.0702209058373442</v>
      </c>
      <c r="G13" s="37">
        <f t="shared" si="3"/>
        <v>0</v>
      </c>
      <c r="H13" s="19">
        <f t="shared" si="3"/>
        <v>0.85468956406869223</v>
      </c>
      <c r="I13" s="37">
        <f t="shared" si="3"/>
        <v>0.39787234042553193</v>
      </c>
      <c r="J13" s="3" t="s">
        <v>20</v>
      </c>
      <c r="L13" s="20"/>
      <c r="M13" s="12"/>
    </row>
    <row r="14" spans="1:13" ht="15.75" x14ac:dyDescent="0.25">
      <c r="A14" s="1" t="s">
        <v>30</v>
      </c>
      <c r="B14" s="21"/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</row>
    <row r="15" spans="1:13" ht="15.75" x14ac:dyDescent="0.25">
      <c r="A15" s="1" t="s">
        <v>31</v>
      </c>
      <c r="B15" s="21">
        <f>B14*B11</f>
        <v>0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</row>
    <row r="16" spans="1:13" ht="15.75" x14ac:dyDescent="0.25">
      <c r="A16" s="1" t="s">
        <v>17</v>
      </c>
      <c r="B16" s="6">
        <v>8090</v>
      </c>
      <c r="C16" s="6">
        <v>8745</v>
      </c>
      <c r="D16" s="6">
        <v>7852</v>
      </c>
      <c r="E16" s="6">
        <v>8312</v>
      </c>
      <c r="F16" s="49">
        <v>8672</v>
      </c>
      <c r="G16" s="6"/>
      <c r="H16" s="6">
        <v>9058</v>
      </c>
      <c r="I16" s="129">
        <v>3553</v>
      </c>
      <c r="J16" s="3" t="s">
        <v>17</v>
      </c>
      <c r="L16" s="14">
        <f>SUM(B17:I17)</f>
        <v>74860</v>
      </c>
    </row>
    <row r="17" spans="1:15" ht="15.75" x14ac:dyDescent="0.25">
      <c r="A17" s="1" t="s">
        <v>32</v>
      </c>
      <c r="B17" s="25">
        <v>9304</v>
      </c>
      <c r="C17" s="25">
        <v>10196</v>
      </c>
      <c r="D17" s="25">
        <v>8885</v>
      </c>
      <c r="E17" s="25">
        <v>9576</v>
      </c>
      <c r="F17" s="39">
        <v>8103</v>
      </c>
      <c r="G17" s="25">
        <v>9268</v>
      </c>
      <c r="H17" s="25">
        <v>10598</v>
      </c>
      <c r="I17" s="25">
        <v>8930</v>
      </c>
      <c r="J17" s="3" t="s">
        <v>18</v>
      </c>
      <c r="L17" s="14"/>
    </row>
    <row r="18" spans="1:15" ht="19.5" x14ac:dyDescent="0.4">
      <c r="A18" s="1" t="s">
        <v>33</v>
      </c>
      <c r="B18" s="127">
        <f t="shared" ref="B18:I18" si="5">B16-B17</f>
        <v>-1214</v>
      </c>
      <c r="C18" s="127">
        <f t="shared" si="5"/>
        <v>-1451</v>
      </c>
      <c r="D18" s="127">
        <f t="shared" si="5"/>
        <v>-1033</v>
      </c>
      <c r="E18" s="127">
        <f t="shared" si="5"/>
        <v>-1264</v>
      </c>
      <c r="F18" s="127">
        <f t="shared" si="5"/>
        <v>569</v>
      </c>
      <c r="G18" s="127">
        <f t="shared" si="5"/>
        <v>-9268</v>
      </c>
      <c r="H18" s="127">
        <f t="shared" si="5"/>
        <v>-1540</v>
      </c>
      <c r="I18" s="127">
        <f t="shared" si="5"/>
        <v>-5377</v>
      </c>
      <c r="J18" s="27"/>
      <c r="K18" s="28"/>
      <c r="L18" s="14">
        <f>SUM(B18:I18)</f>
        <v>-20578</v>
      </c>
      <c r="M18" s="29"/>
      <c r="N18" s="28"/>
      <c r="O18" s="28"/>
    </row>
    <row r="19" spans="1:15" x14ac:dyDescent="0.25">
      <c r="A19" s="1" t="s">
        <v>34</v>
      </c>
      <c r="B19" s="22" t="e">
        <f>SUM(#REF!+#REF!+[4]March!B19+[4]April!B19+[4]May!B19+[4]June!B19+[4]July!B19+'[4]August '!B19+[4]September!B19+[4]October!B19+[4]November!B19+[4]December!B19)</f>
        <v>#REF!</v>
      </c>
      <c r="C19" s="22" t="e">
        <f>SUM(#REF!+#REF!+[4]March!C19+[4]April!C19+[4]May!C19+[4]June!C19+[4]July!C19+'[4]August '!C19+[4]September!C19+[4]October!C19+[4]November!C19+[4]December!C19)</f>
        <v>#REF!</v>
      </c>
      <c r="D19" s="22" t="e">
        <f>SUM(#REF!+#REF!+[4]March!D19+[4]April!D19+[4]May!D19+[4]June!D19+[4]July!D19+'[4]August '!D19+[4]September!D19+[4]October!D19+[4]November!D19+[4]December!D19)</f>
        <v>#REF!</v>
      </c>
      <c r="E19" s="22" t="e">
        <f>SUM(#REF!+#REF!+[4]March!E19+[4]April!E19+[4]May!E19+[4]June!E19+[4]July!E19+'[4]August '!E19+[4]September!E19+[4]October!E19+[4]November!E19+[4]December!E19)</f>
        <v>#REF!</v>
      </c>
      <c r="F19" s="23" t="e">
        <f>SUM(#REF!+#REF!+[4]March!F19+[4]April!F19+[4]May!F19+[4]June!F19+[4]July!F19+'[4]August '!F19+[4]September!F19+[4]October!F19+[4]November!F19+[4]December!F19)</f>
        <v>#REF!</v>
      </c>
      <c r="G19" s="23" t="e">
        <f>SUM(#REF!+#REF!+[4]March!G19+[4]April!G19+[4]May!G19+[4]June!G19+[4]July!G19+'[4]August '!G19+[4]September!G19+[4]October!G19+[4]November!G19+[4]December!G19)</f>
        <v>#REF!</v>
      </c>
      <c r="H19" s="22" t="e">
        <f>SUM(#REF!+#REF!+[4]March!H19+[4]April!H19+[4]May!H19+[4]June!H19+[4]July!H19+'[4]August '!H19+[4]September!H19+[4]October!H19+[4]November!H19+[4]December!H19)</f>
        <v>#REF!</v>
      </c>
      <c r="I19" s="22" t="e">
        <f>SUM(#REF!+#REF!+[4]March!I19+[4]April!I19+[4]May!I19+[4]June!I19+[4]July!I19+'[4]August '!I19+[4]September!I19+[4]October!I19+[4]November!I19+[4]December!I19)</f>
        <v>#REF!</v>
      </c>
      <c r="J19" s="3"/>
      <c r="L19" s="24"/>
    </row>
    <row r="20" spans="1:15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5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</row>
    <row r="22" spans="1:15" x14ac:dyDescent="0.25">
      <c r="A22" s="9" t="s">
        <v>13</v>
      </c>
      <c r="B22" s="10" t="s">
        <v>174</v>
      </c>
      <c r="C22" s="10" t="s">
        <v>174</v>
      </c>
      <c r="D22" s="10" t="s">
        <v>174</v>
      </c>
      <c r="E22" s="10" t="s">
        <v>176</v>
      </c>
      <c r="F22" s="10" t="s">
        <v>174</v>
      </c>
      <c r="G22" s="10" t="s">
        <v>173</v>
      </c>
      <c r="H22" s="10" t="s">
        <v>173</v>
      </c>
      <c r="I22" s="10" t="s">
        <v>104</v>
      </c>
      <c r="J22" s="3" t="s">
        <v>15</v>
      </c>
    </row>
    <row r="23" spans="1:15" ht="15.75" x14ac:dyDescent="0.25">
      <c r="A23" s="1" t="s">
        <v>16</v>
      </c>
      <c r="B23" s="11">
        <f t="shared" ref="B23:H23" si="6">((1/B26)/0.0004)^(1/3)</f>
        <v>11.075773399575761</v>
      </c>
      <c r="C23" s="34">
        <f t="shared" si="6"/>
        <v>11.095911213733805</v>
      </c>
      <c r="D23" s="34" t="e">
        <f t="shared" si="6"/>
        <v>#DIV/0!</v>
      </c>
      <c r="E23" s="34">
        <f t="shared" si="6"/>
        <v>10.996658031710911</v>
      </c>
      <c r="F23" s="11">
        <f t="shared" si="6"/>
        <v>10.790187151690485</v>
      </c>
      <c r="G23" s="11">
        <f t="shared" si="6"/>
        <v>11.035932143766303</v>
      </c>
      <c r="H23" s="11">
        <f t="shared" si="6"/>
        <v>11.116196288530926</v>
      </c>
      <c r="I23" s="11"/>
      <c r="J23" s="3" t="s">
        <v>16</v>
      </c>
    </row>
    <row r="24" spans="1:15" ht="15.75" x14ac:dyDescent="0.25">
      <c r="A24" s="9" t="s">
        <v>17</v>
      </c>
      <c r="B24" s="83">
        <f t="shared" ref="B24:H24" si="7">B31+B30</f>
        <v>0</v>
      </c>
      <c r="C24" s="83">
        <f t="shared" si="7"/>
        <v>7936</v>
      </c>
      <c r="D24" s="83">
        <f t="shared" si="7"/>
        <v>0</v>
      </c>
      <c r="E24" s="15">
        <f t="shared" si="7"/>
        <v>0</v>
      </c>
      <c r="F24" s="83">
        <f t="shared" si="7"/>
        <v>0</v>
      </c>
      <c r="G24" s="83">
        <f t="shared" si="7"/>
        <v>7334</v>
      </c>
      <c r="H24" s="83">
        <f t="shared" si="7"/>
        <v>6163</v>
      </c>
      <c r="I24" s="83"/>
      <c r="J24" s="3" t="s">
        <v>17</v>
      </c>
      <c r="L24" s="14">
        <f>SUM(B24:I24)</f>
        <v>21433</v>
      </c>
      <c r="M24" s="91">
        <v>38600</v>
      </c>
    </row>
    <row r="25" spans="1:15" ht="15.75" x14ac:dyDescent="0.25">
      <c r="A25" s="1" t="s">
        <v>18</v>
      </c>
      <c r="B25" s="15">
        <f t="shared" ref="B25:G25" si="8">B24/B26</f>
        <v>0</v>
      </c>
      <c r="C25" s="35">
        <f t="shared" si="8"/>
        <v>4336.6120218579235</v>
      </c>
      <c r="D25" s="35" t="e">
        <f t="shared" si="8"/>
        <v>#DIV/0!</v>
      </c>
      <c r="E25" s="35">
        <f t="shared" si="8"/>
        <v>0</v>
      </c>
      <c r="F25" s="35">
        <f t="shared" si="8"/>
        <v>0</v>
      </c>
      <c r="G25" s="35">
        <f t="shared" si="8"/>
        <v>3943.010752688172</v>
      </c>
      <c r="H25" s="35">
        <f>H24/H26</f>
        <v>3386.2637362637361</v>
      </c>
      <c r="I25" s="15"/>
      <c r="J25" s="3" t="s">
        <v>18</v>
      </c>
      <c r="L25" s="14">
        <f>SUM(C25,E25:F25,I25)</f>
        <v>4336.6120218579235</v>
      </c>
    </row>
    <row r="26" spans="1:15" ht="15.75" x14ac:dyDescent="0.25">
      <c r="A26" s="9" t="s">
        <v>19</v>
      </c>
      <c r="B26" s="11">
        <v>1.84</v>
      </c>
      <c r="C26" s="11">
        <v>1.83</v>
      </c>
      <c r="D26" s="11"/>
      <c r="E26" s="34">
        <v>1.88</v>
      </c>
      <c r="F26" s="34">
        <v>1.99</v>
      </c>
      <c r="G26" s="11">
        <v>1.86</v>
      </c>
      <c r="H26" s="11">
        <v>1.82</v>
      </c>
      <c r="I26" s="11"/>
      <c r="J26" s="3" t="s">
        <v>19</v>
      </c>
    </row>
    <row r="27" spans="1:15" ht="15.75" x14ac:dyDescent="0.25">
      <c r="A27" s="1" t="s">
        <v>20</v>
      </c>
      <c r="B27" s="17" t="s">
        <v>185</v>
      </c>
      <c r="C27" s="17" t="s">
        <v>186</v>
      </c>
      <c r="D27" s="17"/>
      <c r="E27" s="17" t="s">
        <v>187</v>
      </c>
      <c r="F27" s="36" t="s">
        <v>188</v>
      </c>
      <c r="G27" s="17" t="s">
        <v>189</v>
      </c>
      <c r="H27" s="17" t="s">
        <v>190</v>
      </c>
      <c r="I27" s="17"/>
      <c r="J27" s="3" t="s">
        <v>20</v>
      </c>
    </row>
    <row r="28" spans="1:15" ht="20.25" thickBot="1" x14ac:dyDescent="0.45">
      <c r="A28" s="1" t="s">
        <v>29</v>
      </c>
      <c r="B28" s="37">
        <f>B24/B32</f>
        <v>0</v>
      </c>
      <c r="C28" s="19">
        <f t="shared" ref="C28:H28" si="9">C31/C32</f>
        <v>0.83335083482095973</v>
      </c>
      <c r="D28" s="37">
        <f t="shared" si="9"/>
        <v>0</v>
      </c>
      <c r="E28" s="37">
        <f t="shared" si="9"/>
        <v>0</v>
      </c>
      <c r="F28" s="37">
        <f t="shared" si="9"/>
        <v>0</v>
      </c>
      <c r="G28" s="19">
        <f t="shared" si="9"/>
        <v>0.90711193568336423</v>
      </c>
      <c r="H28" s="19">
        <f t="shared" si="9"/>
        <v>0.79491809622081777</v>
      </c>
      <c r="I28" s="37"/>
      <c r="J28" s="3" t="s">
        <v>53</v>
      </c>
    </row>
    <row r="29" spans="1:15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/>
      <c r="I29" s="8">
        <v>0</v>
      </c>
      <c r="J29" s="3" t="s">
        <v>30</v>
      </c>
    </row>
    <row r="30" spans="1:15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/>
      <c r="I30" s="21">
        <f>(I26*I29)</f>
        <v>0</v>
      </c>
      <c r="J30" s="3" t="s">
        <v>31</v>
      </c>
    </row>
    <row r="31" spans="1:15" ht="15.75" x14ac:dyDescent="0.25">
      <c r="A31" s="9" t="s">
        <v>17</v>
      </c>
      <c r="B31" s="23"/>
      <c r="C31" s="23">
        <v>7936</v>
      </c>
      <c r="D31" s="23"/>
      <c r="E31" s="23"/>
      <c r="F31" s="23"/>
      <c r="G31" s="23">
        <v>7334</v>
      </c>
      <c r="H31" s="23">
        <v>6163</v>
      </c>
      <c r="I31" s="23"/>
      <c r="J31" s="3" t="s">
        <v>17</v>
      </c>
      <c r="M31" s="39"/>
    </row>
    <row r="32" spans="1:15" ht="15.75" x14ac:dyDescent="0.25">
      <c r="A32" s="9" t="s">
        <v>32</v>
      </c>
      <c r="B32" s="25">
        <v>9343</v>
      </c>
      <c r="C32" s="25">
        <v>9523</v>
      </c>
      <c r="D32" s="25">
        <v>9169</v>
      </c>
      <c r="E32" s="39">
        <v>10143</v>
      </c>
      <c r="F32" s="25">
        <v>9429</v>
      </c>
      <c r="G32" s="25">
        <v>8085</v>
      </c>
      <c r="H32" s="25">
        <v>7753</v>
      </c>
      <c r="I32" s="25"/>
      <c r="J32" s="3" t="s">
        <v>18</v>
      </c>
      <c r="L32" s="14">
        <f>SUM(B32:G32)+I32</f>
        <v>55692</v>
      </c>
      <c r="M32">
        <v>30600</v>
      </c>
    </row>
    <row r="33" spans="1:15" ht="19.5" x14ac:dyDescent="0.4">
      <c r="A33" s="9" t="s">
        <v>33</v>
      </c>
      <c r="B33" s="127">
        <f t="shared" ref="B33:I33" si="11">B31-B32</f>
        <v>-9343</v>
      </c>
      <c r="C33" s="127">
        <f t="shared" si="11"/>
        <v>-1587</v>
      </c>
      <c r="D33" s="127">
        <f t="shared" si="11"/>
        <v>-9169</v>
      </c>
      <c r="E33" s="127">
        <f t="shared" si="11"/>
        <v>-10143</v>
      </c>
      <c r="F33" s="127">
        <f t="shared" si="11"/>
        <v>-9429</v>
      </c>
      <c r="G33" s="127">
        <f t="shared" si="11"/>
        <v>-751</v>
      </c>
      <c r="H33" s="127">
        <f t="shared" si="11"/>
        <v>-1590</v>
      </c>
      <c r="I33" s="90">
        <f t="shared" si="11"/>
        <v>0</v>
      </c>
      <c r="J33" s="27"/>
      <c r="K33" s="28"/>
      <c r="L33" s="43">
        <f>SUM(B33:I33)</f>
        <v>-42012</v>
      </c>
      <c r="M33" s="28"/>
      <c r="N33" s="28"/>
      <c r="O33" s="28"/>
    </row>
    <row r="34" spans="1:15" x14ac:dyDescent="0.25">
      <c r="A34" s="1" t="s">
        <v>34</v>
      </c>
      <c r="B34" s="22" t="e">
        <f>SUM(#REF!+#REF!+[4]March!B36+[4]April!B36+[4]May!B36+[4]June!B36+[4]July!B36+'[4]August '!B36+[4]September!B36+[4]October!B36+[4]November!B36+[4]December!B36)</f>
        <v>#REF!</v>
      </c>
      <c r="C34" s="22" t="e">
        <f>SUM(#REF!+#REF!+[4]March!C36+[4]April!C36+[4]May!C36+[4]June!C36+[4]July!C36+'[4]August '!C36+[4]September!C36+[4]October!C36+[4]November!C36+[4]December!C36)</f>
        <v>#REF!</v>
      </c>
      <c r="D34" s="22" t="e">
        <f>SUM(#REF!+#REF!+[4]March!D36+[4]April!D36+[4]May!D36+[4]June!D36+[4]July!D36+'[4]August '!D36+[4]September!D36+[4]October!D36+[4]November!D36+[4]December!D36)</f>
        <v>#REF!</v>
      </c>
      <c r="E34" s="22" t="e">
        <f>SUM(#REF!+#REF!+[4]March!E36+[4]April!E36+[4]May!E36+[4]June!E36+[4]July!E36+'[4]August '!E36+[4]September!E36+[4]October!E36+[4]November!E36+[4]December!E36)</f>
        <v>#REF!</v>
      </c>
      <c r="F34" s="22" t="e">
        <f>SUM(#REF!+#REF!+[4]March!F36+[4]April!F36+[4]May!F36+[4]June!F36+[4]July!F36+'[4]August '!F36+[4]September!F36+[4]October!F36+[4]November!F36+[4]December!F36)</f>
        <v>#REF!</v>
      </c>
      <c r="G34" s="22" t="e">
        <f>SUM(#REF!+#REF!+[4]March!G36+[4]April!G36+[4]May!G36+[4]June!G36+[4]July!G36+'[4]August '!G36+[4]September!G36+[4]October!G36+[4]November!G36+[4]December!G36)</f>
        <v>#REF!</v>
      </c>
      <c r="H34" s="22" t="e">
        <f>SUM(#REF!+#REF!+[4]March!H36+[4]April!H36+[4]May!H36+[4]June!H36+[4]July!H36+'[4]August '!H36+[4]September!H36+[4]October!H36+[4]November!H36+[4]December!H36)</f>
        <v>#REF!</v>
      </c>
      <c r="I34" s="22" t="e">
        <f>SUM(#REF!+#REF!+[4]March!I36+[4]April!I36+[4]May!I36+[4]June!I36+[4]July!I36+'[4]August '!I36+[4]September!I36+[4]October!I36+[4]November!I36+[4]December!I36)</f>
        <v>#REF!</v>
      </c>
      <c r="J34" s="3"/>
      <c r="N34" s="46">
        <f>SUM(L17,L32,L48)</f>
        <v>111732</v>
      </c>
      <c r="O34" s="1"/>
    </row>
    <row r="35" spans="1:15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</row>
    <row r="36" spans="1:15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</row>
    <row r="37" spans="1:15" ht="15.75" thickBot="1" x14ac:dyDescent="0.3">
      <c r="A37" s="1" t="s">
        <v>4</v>
      </c>
      <c r="B37" s="6" t="s">
        <v>191</v>
      </c>
      <c r="C37" s="6" t="s">
        <v>56</v>
      </c>
      <c r="D37" s="6" t="s">
        <v>57</v>
      </c>
      <c r="E37" s="6" t="s">
        <v>58</v>
      </c>
      <c r="F37" s="7" t="s">
        <v>59</v>
      </c>
      <c r="G37" s="7" t="s">
        <v>60</v>
      </c>
      <c r="H37" s="6" t="s">
        <v>61</v>
      </c>
      <c r="I37" s="6" t="s">
        <v>62</v>
      </c>
      <c r="J37" s="3" t="s">
        <v>4</v>
      </c>
      <c r="L37" s="1"/>
      <c r="M37" s="1"/>
      <c r="N37" s="93" t="e">
        <f>#REF!/N34</f>
        <v>#REF!</v>
      </c>
      <c r="O37" s="1" t="s">
        <v>63</v>
      </c>
    </row>
    <row r="38" spans="1:15" x14ac:dyDescent="0.25">
      <c r="A38" s="9" t="s">
        <v>13</v>
      </c>
      <c r="B38" s="10" t="s">
        <v>175</v>
      </c>
      <c r="C38" s="10" t="s">
        <v>174</v>
      </c>
      <c r="D38" s="10" t="s">
        <v>173</v>
      </c>
      <c r="E38" s="10" t="s">
        <v>175</v>
      </c>
      <c r="F38" s="10" t="s">
        <v>176</v>
      </c>
      <c r="G38" s="10" t="s">
        <v>173</v>
      </c>
      <c r="H38" s="10" t="s">
        <v>173</v>
      </c>
      <c r="I38" s="10"/>
      <c r="J38" s="3" t="s">
        <v>15</v>
      </c>
      <c r="L38" s="1"/>
      <c r="M38" s="1"/>
      <c r="N38" s="1"/>
      <c r="O38" s="1"/>
    </row>
    <row r="39" spans="1:15" ht="15.75" x14ac:dyDescent="0.25">
      <c r="A39" s="1" t="s">
        <v>16</v>
      </c>
      <c r="B39" s="11">
        <f t="shared" ref="B39:I39" si="12">((1/B42)/0.0004)^(1/3)</f>
        <v>11.016225080149219</v>
      </c>
      <c r="C39" s="11">
        <f t="shared" si="12"/>
        <v>11.035932143766303</v>
      </c>
      <c r="D39" s="11">
        <f t="shared" si="12"/>
        <v>11.177954201819915</v>
      </c>
      <c r="E39" s="11">
        <f t="shared" si="12"/>
        <v>11.05578098535263</v>
      </c>
      <c r="F39" s="34">
        <f t="shared" si="12"/>
        <v>11.136630518875656</v>
      </c>
      <c r="G39" s="34">
        <f t="shared" si="12"/>
        <v>11.095911213733805</v>
      </c>
      <c r="H39" s="34">
        <f t="shared" si="12"/>
        <v>10.63225925707475</v>
      </c>
      <c r="I39" s="11" t="e">
        <f t="shared" si="12"/>
        <v>#DIV/0!</v>
      </c>
      <c r="J39" s="3" t="s">
        <v>16</v>
      </c>
      <c r="L39" s="1"/>
      <c r="M39" s="1"/>
      <c r="N39" s="1"/>
      <c r="O39" s="1"/>
    </row>
    <row r="40" spans="1:15" ht="15.75" x14ac:dyDescent="0.25">
      <c r="A40" s="1" t="s">
        <v>17</v>
      </c>
      <c r="B40" s="15">
        <f t="shared" ref="B40:I40" si="13">B47+B46</f>
        <v>3090</v>
      </c>
      <c r="C40" s="15">
        <f t="shared" si="13"/>
        <v>6117</v>
      </c>
      <c r="D40" s="15">
        <f t="shared" si="13"/>
        <v>5060</v>
      </c>
      <c r="E40" s="15">
        <f t="shared" si="13"/>
        <v>6515</v>
      </c>
      <c r="F40" s="83">
        <f t="shared" si="13"/>
        <v>0</v>
      </c>
      <c r="G40" s="15">
        <f t="shared" si="13"/>
        <v>6672</v>
      </c>
      <c r="H40" s="15">
        <f t="shared" si="13"/>
        <v>6464</v>
      </c>
      <c r="I40" s="15">
        <f t="shared" si="13"/>
        <v>0</v>
      </c>
      <c r="J40" s="3" t="s">
        <v>17</v>
      </c>
      <c r="L40" s="14">
        <f>SUM(B40:I40)</f>
        <v>33918</v>
      </c>
      <c r="M40" s="1"/>
      <c r="N40" s="1"/>
      <c r="O40" s="1"/>
    </row>
    <row r="41" spans="1:15" ht="15.75" x14ac:dyDescent="0.25">
      <c r="A41" s="1" t="s">
        <v>18</v>
      </c>
      <c r="B41" s="15">
        <f t="shared" ref="B41:H41" si="14">B40/B42</f>
        <v>1652.4064171122993</v>
      </c>
      <c r="C41" s="15">
        <f t="shared" si="14"/>
        <v>3288.7096774193546</v>
      </c>
      <c r="D41" s="15">
        <f t="shared" si="14"/>
        <v>2826.8156424581007</v>
      </c>
      <c r="E41" s="15">
        <f t="shared" si="14"/>
        <v>3521.6216216216217</v>
      </c>
      <c r="F41" s="35">
        <f t="shared" si="14"/>
        <v>0</v>
      </c>
      <c r="G41" s="35">
        <f t="shared" si="14"/>
        <v>3645.9016393442621</v>
      </c>
      <c r="H41" s="35">
        <f t="shared" si="14"/>
        <v>3107.6923076923076</v>
      </c>
      <c r="I41" s="15" t="s">
        <v>45</v>
      </c>
      <c r="J41" s="3" t="s">
        <v>18</v>
      </c>
      <c r="L41" s="14">
        <f>SUM(B41:I41)</f>
        <v>18043.147305647944</v>
      </c>
      <c r="M41" s="1"/>
      <c r="N41" s="1"/>
      <c r="O41" s="1"/>
    </row>
    <row r="42" spans="1:15" ht="15.75" x14ac:dyDescent="0.25">
      <c r="A42" s="1" t="s">
        <v>19</v>
      </c>
      <c r="B42" s="11">
        <v>1.87</v>
      </c>
      <c r="C42" s="11">
        <v>1.86</v>
      </c>
      <c r="D42" s="11">
        <v>1.79</v>
      </c>
      <c r="E42" s="11">
        <v>1.85</v>
      </c>
      <c r="F42" s="11">
        <v>1.81</v>
      </c>
      <c r="G42" s="11">
        <v>1.83</v>
      </c>
      <c r="H42" s="11">
        <v>2.08</v>
      </c>
      <c r="I42" s="11"/>
      <c r="J42" s="3" t="s">
        <v>19</v>
      </c>
      <c r="K42" s="1"/>
      <c r="L42" s="1"/>
      <c r="M42" s="1"/>
      <c r="N42" s="1"/>
      <c r="O42" s="1"/>
    </row>
    <row r="43" spans="1:15" ht="15.75" x14ac:dyDescent="0.25">
      <c r="A43" s="1" t="s">
        <v>20</v>
      </c>
      <c r="B43" s="17">
        <v>43497</v>
      </c>
      <c r="C43" s="17" t="s">
        <v>192</v>
      </c>
      <c r="D43" s="17" t="s">
        <v>193</v>
      </c>
      <c r="E43" s="17" t="s">
        <v>194</v>
      </c>
      <c r="F43" s="17" t="s">
        <v>195</v>
      </c>
      <c r="G43" s="17" t="s">
        <v>196</v>
      </c>
      <c r="H43" s="17" t="s">
        <v>197</v>
      </c>
      <c r="I43" s="17"/>
      <c r="J43" s="3" t="s">
        <v>20</v>
      </c>
      <c r="K43" s="1"/>
      <c r="L43" s="1"/>
      <c r="M43" s="1"/>
      <c r="N43" s="1"/>
      <c r="O43" s="1"/>
    </row>
    <row r="44" spans="1:15" ht="20.25" thickBot="1" x14ac:dyDescent="0.45">
      <c r="A44" s="1" t="s">
        <v>29</v>
      </c>
      <c r="B44" s="19">
        <f t="shared" ref="B44:I44" si="15">B47/B48</f>
        <v>0.8828571428571429</v>
      </c>
      <c r="C44" s="37">
        <f t="shared" si="15"/>
        <v>0.56544647809206883</v>
      </c>
      <c r="D44" s="37">
        <f t="shared" si="15"/>
        <v>0.63147385498564834</v>
      </c>
      <c r="E44" s="19">
        <f t="shared" si="15"/>
        <v>0.81437499999999996</v>
      </c>
      <c r="F44" s="37">
        <f t="shared" si="15"/>
        <v>0</v>
      </c>
      <c r="G44" s="19">
        <f t="shared" si="15"/>
        <v>0.78273111215391833</v>
      </c>
      <c r="H44" s="19">
        <f t="shared" si="15"/>
        <v>0.84375407910194489</v>
      </c>
      <c r="I44" s="37" t="e">
        <f t="shared" si="15"/>
        <v>#DIV/0!</v>
      </c>
      <c r="J44" s="3" t="s">
        <v>53</v>
      </c>
      <c r="K44" s="1"/>
      <c r="L44" s="1"/>
      <c r="M44" s="1"/>
      <c r="N44" s="1"/>
      <c r="O44" s="1"/>
    </row>
    <row r="45" spans="1:15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</row>
    <row r="46" spans="1:15" x14ac:dyDescent="0.25">
      <c r="A46" s="1" t="s">
        <v>31</v>
      </c>
      <c r="B46" s="21">
        <f t="shared" ref="B46:I46" si="16">(B42*B45)</f>
        <v>0</v>
      </c>
      <c r="C46" s="21">
        <f t="shared" si="16"/>
        <v>0</v>
      </c>
      <c r="D46" s="21">
        <v>0</v>
      </c>
      <c r="E46" s="21">
        <f t="shared" si="16"/>
        <v>0</v>
      </c>
      <c r="F46" s="21"/>
      <c r="G46" s="21">
        <f t="shared" si="16"/>
        <v>0</v>
      </c>
      <c r="H46" s="21">
        <f t="shared" si="16"/>
        <v>0</v>
      </c>
      <c r="I46" s="21">
        <f t="shared" si="16"/>
        <v>0</v>
      </c>
      <c r="J46" s="3" t="s">
        <v>31</v>
      </c>
      <c r="K46" s="1"/>
      <c r="L46" s="1"/>
      <c r="M46" s="1"/>
      <c r="N46" s="1"/>
      <c r="O46" s="1"/>
    </row>
    <row r="47" spans="1:15" ht="15.75" x14ac:dyDescent="0.25">
      <c r="A47" s="1" t="s">
        <v>17</v>
      </c>
      <c r="B47" s="22">
        <v>3090</v>
      </c>
      <c r="C47" s="22">
        <v>6117</v>
      </c>
      <c r="D47" s="22">
        <v>5060</v>
      </c>
      <c r="E47" s="22">
        <v>6515</v>
      </c>
      <c r="F47" s="22"/>
      <c r="G47" s="22">
        <v>6672</v>
      </c>
      <c r="H47" s="22">
        <v>6464</v>
      </c>
      <c r="I47" s="22"/>
      <c r="J47" s="3" t="s">
        <v>17</v>
      </c>
      <c r="K47" s="1"/>
      <c r="L47" s="14">
        <f>SUM(B47:I47)</f>
        <v>33918</v>
      </c>
      <c r="M47" s="1"/>
      <c r="N47" s="1"/>
      <c r="O47" s="1"/>
    </row>
    <row r="48" spans="1:15" ht="15.75" x14ac:dyDescent="0.25">
      <c r="A48" s="1" t="s">
        <v>32</v>
      </c>
      <c r="B48" s="25">
        <v>3500</v>
      </c>
      <c r="C48" s="25">
        <v>10818</v>
      </c>
      <c r="D48" s="25">
        <v>8013</v>
      </c>
      <c r="E48" s="25">
        <v>8000</v>
      </c>
      <c r="F48" s="25">
        <v>9524</v>
      </c>
      <c r="G48" s="39">
        <v>8524</v>
      </c>
      <c r="H48" s="39">
        <v>7661</v>
      </c>
      <c r="I48" s="14"/>
      <c r="J48" s="3" t="s">
        <v>18</v>
      </c>
      <c r="K48" s="1"/>
      <c r="L48" s="14">
        <f>SUM(B48:I48)</f>
        <v>56040</v>
      </c>
      <c r="M48" s="39">
        <v>28000</v>
      </c>
      <c r="N48" s="39"/>
      <c r="O48" s="39"/>
    </row>
    <row r="49" spans="1:15" ht="19.5" x14ac:dyDescent="0.4">
      <c r="A49" s="1" t="s">
        <v>33</v>
      </c>
      <c r="B49" s="41">
        <f t="shared" ref="B49:I49" si="17">B47-B48</f>
        <v>-410</v>
      </c>
      <c r="C49" s="41">
        <f t="shared" si="17"/>
        <v>-4701</v>
      </c>
      <c r="D49" s="41">
        <f t="shared" si="17"/>
        <v>-2953</v>
      </c>
      <c r="E49" s="41">
        <f t="shared" si="17"/>
        <v>-1485</v>
      </c>
      <c r="F49" s="41">
        <f t="shared" si="17"/>
        <v>-9524</v>
      </c>
      <c r="G49" s="41">
        <f t="shared" si="17"/>
        <v>-1852</v>
      </c>
      <c r="H49" s="41">
        <f t="shared" si="17"/>
        <v>-1197</v>
      </c>
      <c r="I49" s="41">
        <f t="shared" si="17"/>
        <v>0</v>
      </c>
      <c r="J49" s="27"/>
      <c r="K49" s="45"/>
      <c r="L49" s="14">
        <f>SUM(B49:I49)</f>
        <v>-22122</v>
      </c>
      <c r="M49" s="45"/>
      <c r="N49" s="45"/>
      <c r="O49" s="45"/>
    </row>
    <row r="50" spans="1:15" x14ac:dyDescent="0.25">
      <c r="A50" s="1" t="s">
        <v>34</v>
      </c>
      <c r="B50" s="22" t="e">
        <f>SUM(#REF!+#REF!+[4]March!B53+[4]April!B53+[4]May!B53+[4]June!B53+[4]July!B53+'[4]August '!B53+[4]September!B53+[4]October!B53+[4]November!B53+[4]December!B53)</f>
        <v>#REF!</v>
      </c>
      <c r="C50" s="22" t="e">
        <f>SUM(#REF!+#REF!+[4]March!C53+[4]April!C53+[4]May!C53+[4]June!C53+[4]July!C53+'[4]August '!C53+[4]September!C53+[4]October!C53+[4]November!C53+[4]December!C53)</f>
        <v>#REF!</v>
      </c>
      <c r="D50" s="22" t="e">
        <f>SUM(#REF!+#REF!+[4]March!D53+[4]April!D53+[4]May!D53+[4]June!D53+[4]July!D53+'[4]August '!D53+[4]September!D53+[4]October!D53+[4]November!D53+[4]December!D53)</f>
        <v>#REF!</v>
      </c>
      <c r="E50" s="22" t="e">
        <f>SUM(#REF!+#REF!+[4]March!E53+[4]April!E53+[4]May!E53+[4]June!E53+[4]July!E53+'[4]August '!E53+[4]September!E53+[4]October!E53+[4]November!E53+[4]December!E53)</f>
        <v>#REF!</v>
      </c>
      <c r="F50" s="22" t="e">
        <f>SUM(#REF!+#REF!+[4]March!F53+[4]April!F53+[4]May!F53+[4]June!F53+[4]July!F53+'[4]August '!F53+[4]September!F53+[4]October!F53+[4]November!F53+[4]December!F53)</f>
        <v>#REF!</v>
      </c>
      <c r="G50" s="22" t="e">
        <f>SUM(#REF!+#REF!+[4]March!G53+[4]April!G53+[4]May!G53+[4]June!G53+[4]July!G53+'[4]August '!G53+[4]September!G53+[4]October!G53+[4]November!G53+[4]December!G53)</f>
        <v>#REF!</v>
      </c>
      <c r="H50" s="22" t="e">
        <f>SUM(#REF!+#REF!+[4]March!H53+[4]April!H53+[4]May!H53+[4]June!H53+[4]July!H53+'[4]August '!H53+[4]September!H53+[4]October!H53+[4]November!H53+[4]December!H53)</f>
        <v>#REF!</v>
      </c>
      <c r="I50" s="22" t="e">
        <f>SUM(#REF!+#REF!+[4]March!I53+[4]April!I53+[4]May!I53+[4]June!I53+[4]July!I53+'[4]August '!I53+[4]September!I53+[4]October!I53+[4]November!I53+[4]December!I53)</f>
        <v>#REF!</v>
      </c>
      <c r="J50" s="3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</row>
    <row r="52" spans="1:15" x14ac:dyDescent="0.25">
      <c r="A52" s="1"/>
      <c r="C52" s="1"/>
      <c r="D52" s="1"/>
      <c r="E52" s="1"/>
      <c r="F52" s="1"/>
      <c r="H52" s="1"/>
      <c r="I52" s="6" t="s">
        <v>69</v>
      </c>
      <c r="J52" s="3"/>
      <c r="K52" s="1"/>
      <c r="L52" s="1"/>
      <c r="M52" s="1" t="s">
        <v>165</v>
      </c>
      <c r="N52" s="1"/>
      <c r="O52" s="1"/>
    </row>
    <row r="53" spans="1:15" ht="16.5" thickBot="1" x14ac:dyDescent="0.3">
      <c r="A53" s="1"/>
      <c r="B53" s="1"/>
      <c r="C53" s="1"/>
      <c r="D53" s="1" t="s">
        <v>70</v>
      </c>
      <c r="E53" s="7" t="s">
        <v>135</v>
      </c>
      <c r="F53" s="7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1"/>
      <c r="M53" s="1" t="s">
        <v>167</v>
      </c>
      <c r="N53" s="1" t="s">
        <v>75</v>
      </c>
      <c r="O53" s="1"/>
    </row>
    <row r="54" spans="1:15" x14ac:dyDescent="0.25">
      <c r="A54" s="1"/>
      <c r="B54" s="1"/>
      <c r="C54" s="1"/>
      <c r="D54" s="1" t="s">
        <v>15</v>
      </c>
      <c r="E54" s="10" t="s">
        <v>76</v>
      </c>
      <c r="F54" s="10" t="s">
        <v>76</v>
      </c>
      <c r="G54" s="10"/>
      <c r="H54" s="3" t="s">
        <v>77</v>
      </c>
      <c r="I54" s="22">
        <v>1080</v>
      </c>
      <c r="J54" s="51">
        <v>2.02</v>
      </c>
      <c r="K54" s="52">
        <f t="shared" ref="K54:K60" si="18">I54/J54</f>
        <v>534.65346534653463</v>
      </c>
      <c r="L54" s="131" t="s">
        <v>198</v>
      </c>
      <c r="M54" s="132">
        <f>SUM(I54:I56)</f>
        <v>2274</v>
      </c>
      <c r="N54" s="132">
        <f>SUM(K54:K56)</f>
        <v>1166.3994970925664</v>
      </c>
      <c r="O54" s="1"/>
    </row>
    <row r="55" spans="1:15" ht="15.75" x14ac:dyDescent="0.25">
      <c r="A55" s="1"/>
      <c r="B55" s="1"/>
      <c r="C55" s="1"/>
      <c r="D55" s="1" t="s">
        <v>16</v>
      </c>
      <c r="E55" s="11" t="e">
        <f>((1/E58)/0.0004)^(1/3)</f>
        <v>#DIV/0!</v>
      </c>
      <c r="F55" s="11">
        <f>((1/F58)/0.0004)^(1/3)</f>
        <v>10.882101179818642</v>
      </c>
      <c r="G55" s="11"/>
      <c r="H55" s="3" t="s">
        <v>78</v>
      </c>
      <c r="I55" s="22">
        <v>1194</v>
      </c>
      <c r="J55" s="51">
        <v>1.89</v>
      </c>
      <c r="K55" s="52">
        <f t="shared" si="18"/>
        <v>631.7460317460318</v>
      </c>
      <c r="L55" s="134"/>
      <c r="M55" s="135"/>
      <c r="N55" s="135"/>
      <c r="O55" s="1"/>
    </row>
    <row r="56" spans="1:15" ht="15.75" x14ac:dyDescent="0.25">
      <c r="A56" s="1"/>
      <c r="B56" s="1"/>
      <c r="C56" s="1"/>
      <c r="D56" s="1" t="s">
        <v>17</v>
      </c>
      <c r="E56" s="83" t="e">
        <f>E63+#REF!</f>
        <v>#REF!</v>
      </c>
      <c r="F56" s="83">
        <f>F63+F62</f>
        <v>0</v>
      </c>
      <c r="G56" s="83"/>
      <c r="H56" s="3" t="s">
        <v>125</v>
      </c>
      <c r="I56" s="22"/>
      <c r="J56" s="51">
        <v>2.04</v>
      </c>
      <c r="K56" s="52">
        <f t="shared" si="18"/>
        <v>0</v>
      </c>
      <c r="L56" s="137"/>
      <c r="M56" s="138"/>
      <c r="N56" s="138"/>
      <c r="O56" s="1"/>
    </row>
    <row r="57" spans="1:15" ht="15.75" x14ac:dyDescent="0.25">
      <c r="D57" s="1" t="s">
        <v>18</v>
      </c>
      <c r="E57" s="15" t="e">
        <f>E56/E58</f>
        <v>#REF!</v>
      </c>
      <c r="F57" s="15">
        <f>F56/F58</f>
        <v>0</v>
      </c>
      <c r="G57" s="15" t="s">
        <v>45</v>
      </c>
      <c r="H57" s="3" t="s">
        <v>125</v>
      </c>
      <c r="I57" s="22">
        <v>2358</v>
      </c>
      <c r="J57" s="51">
        <v>2.0099999999999998</v>
      </c>
      <c r="K57" s="52">
        <f t="shared" si="18"/>
        <v>1173.1343283582091</v>
      </c>
      <c r="L57" s="140" t="s">
        <v>170</v>
      </c>
      <c r="M57" s="141">
        <f>SUM(I57:I60)</f>
        <v>2358</v>
      </c>
      <c r="N57" s="142" t="e">
        <f>SUM(K57:K60)</f>
        <v>#DIV/0!</v>
      </c>
      <c r="O57" s="1"/>
    </row>
    <row r="58" spans="1:15" ht="15.75" x14ac:dyDescent="0.25">
      <c r="D58" s="1" t="s">
        <v>19</v>
      </c>
      <c r="E58" s="11"/>
      <c r="F58" s="11">
        <v>1.94</v>
      </c>
      <c r="G58" s="11"/>
      <c r="H58" s="3" t="s">
        <v>81</v>
      </c>
      <c r="I58" s="22"/>
      <c r="J58" s="51"/>
      <c r="K58" s="52" t="e">
        <f t="shared" si="18"/>
        <v>#DIV/0!</v>
      </c>
      <c r="L58" s="144"/>
      <c r="M58" s="145"/>
      <c r="N58" s="146"/>
      <c r="O58" s="1"/>
    </row>
    <row r="59" spans="1:15" ht="15.75" x14ac:dyDescent="0.25">
      <c r="D59" s="1" t="s">
        <v>20</v>
      </c>
      <c r="E59" s="17" t="s">
        <v>199</v>
      </c>
      <c r="F59" s="17" t="s">
        <v>200</v>
      </c>
      <c r="G59" s="17"/>
      <c r="H59" s="94" t="s">
        <v>82</v>
      </c>
      <c r="I59" s="54"/>
      <c r="J59" s="55"/>
      <c r="K59" s="95" t="e">
        <f t="shared" si="18"/>
        <v>#DIV/0!</v>
      </c>
      <c r="L59" s="144"/>
      <c r="M59" s="145"/>
      <c r="N59" s="146"/>
      <c r="O59" s="1"/>
    </row>
    <row r="60" spans="1:15" ht="20.25" thickBot="1" x14ac:dyDescent="0.45">
      <c r="D60" s="1" t="s">
        <v>29</v>
      </c>
      <c r="E60" s="37">
        <f>E63/E64</f>
        <v>0</v>
      </c>
      <c r="F60" s="37">
        <f>F63/F64</f>
        <v>0</v>
      </c>
      <c r="G60" s="19"/>
      <c r="H60" s="96" t="s">
        <v>82</v>
      </c>
      <c r="I60" s="76"/>
      <c r="J60" s="97"/>
      <c r="K60" s="98" t="e">
        <f t="shared" si="18"/>
        <v>#DIV/0!</v>
      </c>
      <c r="L60" s="149"/>
      <c r="M60" s="150"/>
      <c r="N60" s="151"/>
      <c r="O60" s="1"/>
    </row>
    <row r="61" spans="1:15" ht="15.75" x14ac:dyDescent="0.25">
      <c r="D61" s="1" t="s">
        <v>84</v>
      </c>
      <c r="F61" s="20">
        <v>0</v>
      </c>
      <c r="G61" s="20">
        <v>0</v>
      </c>
      <c r="H61" s="3" t="s">
        <v>127</v>
      </c>
      <c r="I61" s="54">
        <f>SUM(I54:I60)</f>
        <v>4632</v>
      </c>
      <c r="J61" s="6"/>
      <c r="K61" s="54" t="e">
        <f>SUM(K54:K60)</f>
        <v>#DIV/0!</v>
      </c>
      <c r="L61" s="1"/>
      <c r="M61" s="1"/>
      <c r="N61" s="1"/>
      <c r="O61" s="1"/>
    </row>
    <row r="62" spans="1:15" ht="15.75" x14ac:dyDescent="0.25">
      <c r="D62" s="1" t="s">
        <v>86</v>
      </c>
      <c r="E62" s="20"/>
      <c r="F62" s="20">
        <v>0</v>
      </c>
      <c r="G62" s="20">
        <v>0</v>
      </c>
      <c r="H62" s="1" t="s">
        <v>32</v>
      </c>
      <c r="I62" s="157">
        <v>30603</v>
      </c>
      <c r="J62" s="1"/>
      <c r="K62" s="52"/>
      <c r="L62" s="60" t="e">
        <f>I61/K61</f>
        <v>#DIV/0!</v>
      </c>
      <c r="M62" s="1"/>
      <c r="N62" s="1"/>
      <c r="O62" s="1"/>
    </row>
    <row r="63" spans="1:15" ht="19.5" x14ac:dyDescent="0.4">
      <c r="D63" s="1" t="s">
        <v>17</v>
      </c>
      <c r="E63" s="23"/>
      <c r="F63" s="23"/>
      <c r="G63" s="22"/>
      <c r="H63" s="1" t="s">
        <v>29</v>
      </c>
      <c r="I63" s="154">
        <f>I61/I62</f>
        <v>0.1513577100284286</v>
      </c>
      <c r="J63" s="64"/>
      <c r="L63" s="1"/>
      <c r="M63" s="1"/>
      <c r="N63" s="1"/>
      <c r="O63" s="1"/>
    </row>
    <row r="64" spans="1:15" ht="15.75" x14ac:dyDescent="0.25">
      <c r="D64" s="1" t="s">
        <v>32</v>
      </c>
      <c r="E64" s="158">
        <v>15107</v>
      </c>
      <c r="F64" s="39">
        <v>15496</v>
      </c>
      <c r="G64" s="14"/>
      <c r="H64" s="1"/>
      <c r="I64" s="3"/>
      <c r="J64" s="1"/>
      <c r="K64" s="1"/>
      <c r="L64" s="1"/>
      <c r="M64" s="1"/>
      <c r="N64" s="1"/>
      <c r="O64" s="1"/>
    </row>
    <row r="65" spans="1:15" ht="19.5" x14ac:dyDescent="0.4">
      <c r="D65" s="1" t="s">
        <v>88</v>
      </c>
      <c r="E65" s="26">
        <f>E63-E64</f>
        <v>-15107</v>
      </c>
      <c r="F65" s="159">
        <f>F63-F64</f>
        <v>-15496</v>
      </c>
      <c r="G65" s="127">
        <f>G63-G64</f>
        <v>0</v>
      </c>
      <c r="H65" s="1"/>
      <c r="I65" s="1"/>
      <c r="J65" s="3"/>
      <c r="K65" s="1"/>
      <c r="L65" s="1"/>
      <c r="M65" s="1"/>
      <c r="N65" s="1"/>
      <c r="O65" s="1"/>
    </row>
    <row r="66" spans="1:15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</row>
    <row r="67" spans="1:15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</row>
    <row r="68" spans="1:15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</row>
    <row r="69" spans="1:15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</row>
    <row r="70" spans="1:15" x14ac:dyDescent="0.25">
      <c r="D70" s="1"/>
      <c r="E70" s="22"/>
      <c r="F70" s="22"/>
      <c r="G70" s="22"/>
      <c r="J70" s="33"/>
      <c r="L70" s="1"/>
      <c r="M70" s="1"/>
      <c r="N70" s="1"/>
      <c r="O70" s="1"/>
    </row>
    <row r="71" spans="1:15" x14ac:dyDescent="0.25">
      <c r="D71" s="1"/>
      <c r="E71" s="51"/>
      <c r="F71" s="51"/>
      <c r="G71" s="51"/>
      <c r="M71" s="1"/>
      <c r="N71" s="1"/>
      <c r="O71" s="1"/>
    </row>
    <row r="72" spans="1:15" ht="15.75" thickBot="1" x14ac:dyDescent="0.3">
      <c r="A72" s="1"/>
      <c r="B72" s="1"/>
      <c r="C72" s="1"/>
      <c r="D72" s="1"/>
      <c r="E72" s="1"/>
      <c r="F72" s="1"/>
      <c r="G72" s="1"/>
    </row>
    <row r="73" spans="1:15" ht="15.75" thickBot="1" x14ac:dyDescent="0.3">
      <c r="D73" s="65"/>
      <c r="E73" s="66"/>
      <c r="F73" s="66"/>
      <c r="G73" s="66"/>
      <c r="M73" s="1"/>
      <c r="N73" s="1"/>
    </row>
    <row r="74" spans="1:15" x14ac:dyDescent="0.25">
      <c r="D74" s="68" t="s">
        <v>89</v>
      </c>
      <c r="E74" s="69"/>
      <c r="F74" s="70"/>
      <c r="G74" s="71" t="s">
        <v>90</v>
      </c>
      <c r="H74" s="67"/>
    </row>
    <row r="75" spans="1:15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2"/>
    </row>
    <row r="76" spans="1:15" x14ac:dyDescent="0.25">
      <c r="D76" s="73" t="s">
        <v>18</v>
      </c>
      <c r="E76" s="54" t="e">
        <f>SUM(B10:I10,B25:D25,F22,H25,B41:D41,H41)</f>
        <v>#DIV/0!</v>
      </c>
      <c r="F76" s="70"/>
      <c r="G76" s="70" t="s">
        <v>18</v>
      </c>
      <c r="H76" s="74">
        <f>SUM(F56)</f>
        <v>0</v>
      </c>
      <c r="J76" s="33"/>
    </row>
    <row r="77" spans="1:15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5" ht="15.75" thickBot="1" x14ac:dyDescent="0.3">
      <c r="H78" s="78">
        <f>B66</f>
        <v>0</v>
      </c>
      <c r="J78" s="33"/>
    </row>
    <row r="79" spans="1:15" x14ac:dyDescent="0.25">
      <c r="D79" s="65" t="s">
        <v>91</v>
      </c>
      <c r="E79" s="66"/>
      <c r="F79" s="66"/>
      <c r="G79" s="79"/>
      <c r="H79" s="1"/>
      <c r="J79" s="33"/>
    </row>
    <row r="80" spans="1:15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 t="e">
        <f>SUM(E76,H77)</f>
        <v>#DIV/0!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-84712</v>
      </c>
      <c r="J82" s="33"/>
    </row>
    <row r="83" spans="1:10" x14ac:dyDescent="0.25">
      <c r="J83" s="33"/>
    </row>
    <row r="84" spans="1:10" x14ac:dyDescent="0.25">
      <c r="J84" s="33"/>
    </row>
    <row r="85" spans="1:10" x14ac:dyDescent="0.25">
      <c r="J85" s="33"/>
    </row>
  </sheetData>
  <mergeCells count="7">
    <mergeCell ref="D74:E74"/>
    <mergeCell ref="L54:L56"/>
    <mergeCell ref="M54:M56"/>
    <mergeCell ref="N54:N56"/>
    <mergeCell ref="L57:L60"/>
    <mergeCell ref="M57:M60"/>
    <mergeCell ref="N57:N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6D8C-99C4-48DE-8362-AA4E9F2E2F33}">
  <dimension ref="A1:P83"/>
  <sheetViews>
    <sheetView topLeftCell="B1" workbookViewId="0">
      <selection activeCell="O3" sqref="O3"/>
    </sheetView>
  </sheetViews>
  <sheetFormatPr defaultRowHeight="15" x14ac:dyDescent="0.25"/>
  <cols>
    <col min="1" max="1" width="13.5703125" bestFit="1" customWidth="1"/>
    <col min="2" max="2" width="15" bestFit="1" customWidth="1"/>
    <col min="3" max="3" width="14.140625" bestFit="1" customWidth="1"/>
    <col min="4" max="4" width="13.5703125" customWidth="1"/>
    <col min="5" max="5" width="13.42578125" customWidth="1"/>
    <col min="6" max="7" width="14.140625" customWidth="1"/>
    <col min="8" max="8" width="13.140625" customWidth="1"/>
    <col min="9" max="9" width="12.7109375" customWidth="1"/>
    <col min="10" max="10" width="10.85546875" bestFit="1" customWidth="1"/>
  </cols>
  <sheetData>
    <row r="1" spans="1:16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</row>
    <row r="2" spans="1:16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</row>
    <row r="3" spans="1:16" ht="18" x14ac:dyDescent="0.25">
      <c r="A3" s="1"/>
      <c r="B3" s="1"/>
      <c r="C3" s="1"/>
      <c r="D3" s="1"/>
      <c r="E3" s="4" t="s">
        <v>201</v>
      </c>
      <c r="F3" s="1"/>
      <c r="G3" s="1"/>
      <c r="H3" s="5"/>
      <c r="J3" s="3"/>
      <c r="K3" s="1"/>
      <c r="L3" s="1"/>
      <c r="P3" s="1"/>
    </row>
    <row r="4" spans="1:16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</row>
    <row r="6" spans="1:16" ht="15.75" thickBot="1" x14ac:dyDescent="0.3">
      <c r="A6" s="1" t="s">
        <v>4</v>
      </c>
      <c r="B6" s="6" t="s">
        <v>5</v>
      </c>
      <c r="C6" s="6" t="s">
        <v>6</v>
      </c>
      <c r="D6" s="7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  <c r="P6" s="1"/>
    </row>
    <row r="7" spans="1:16" x14ac:dyDescent="0.25">
      <c r="A7" s="9" t="s">
        <v>13</v>
      </c>
      <c r="B7" s="10" t="s">
        <v>173</v>
      </c>
      <c r="C7" s="10" t="s">
        <v>176</v>
      </c>
      <c r="D7" s="10" t="s">
        <v>176</v>
      </c>
      <c r="E7" s="10" t="s">
        <v>202</v>
      </c>
      <c r="F7" s="10" t="s">
        <v>202</v>
      </c>
      <c r="G7" s="10" t="s">
        <v>176</v>
      </c>
      <c r="H7" s="10" t="s">
        <v>176</v>
      </c>
      <c r="I7" s="10" t="s">
        <v>176</v>
      </c>
      <c r="J7" s="3" t="s">
        <v>15</v>
      </c>
      <c r="K7" s="8"/>
      <c r="L7" s="1"/>
      <c r="M7" s="1"/>
      <c r="P7" s="1"/>
    </row>
    <row r="8" spans="1:16" ht="15.75" x14ac:dyDescent="0.25">
      <c r="A8" s="1" t="s">
        <v>16</v>
      </c>
      <c r="B8" s="11">
        <f>((1/B11)/0.0004)^(1/3)</f>
        <v>11.016225080149219</v>
      </c>
      <c r="C8" s="11">
        <f t="shared" ref="C8:I8" si="0">((1/C11)/0.0004)^(1/3)</f>
        <v>11.198847622778755</v>
      </c>
      <c r="D8" s="11">
        <f t="shared" si="0"/>
        <v>10.808321954133797</v>
      </c>
      <c r="E8" s="11">
        <f t="shared" si="0"/>
        <v>10.996658031710911</v>
      </c>
      <c r="F8" s="12">
        <f t="shared" si="0"/>
        <v>10.93877981248815</v>
      </c>
      <c r="G8" s="11">
        <f t="shared" si="0"/>
        <v>10.900863460382645</v>
      </c>
      <c r="H8" s="12">
        <f t="shared" si="0"/>
        <v>11.05578098535263</v>
      </c>
      <c r="I8" s="11">
        <f t="shared" si="0"/>
        <v>11.075773399575761</v>
      </c>
      <c r="J8" s="3" t="s">
        <v>16</v>
      </c>
      <c r="K8" s="12"/>
      <c r="L8" s="1"/>
      <c r="M8" s="1"/>
      <c r="P8" s="1"/>
    </row>
    <row r="9" spans="1:16" ht="15.75" x14ac:dyDescent="0.25">
      <c r="A9" s="9" t="s">
        <v>17</v>
      </c>
      <c r="B9" s="83">
        <f>B16+B15</f>
        <v>8623</v>
      </c>
      <c r="C9" s="83">
        <f t="shared" ref="C9:I9" si="1">C16+C15</f>
        <v>7481</v>
      </c>
      <c r="D9" s="83">
        <f t="shared" si="1"/>
        <v>9118</v>
      </c>
      <c r="E9" s="83">
        <f t="shared" si="1"/>
        <v>8289</v>
      </c>
      <c r="F9" s="83">
        <f t="shared" si="1"/>
        <v>9007</v>
      </c>
      <c r="G9" s="83">
        <f t="shared" si="1"/>
        <v>9826</v>
      </c>
      <c r="H9" s="83">
        <f t="shared" si="1"/>
        <v>8923</v>
      </c>
      <c r="I9" s="15">
        <f t="shared" si="1"/>
        <v>9515</v>
      </c>
      <c r="J9" s="3" t="s">
        <v>17</v>
      </c>
      <c r="L9" s="14">
        <f>SUM(B9:I9)</f>
        <v>70782</v>
      </c>
      <c r="M9" s="84"/>
      <c r="P9" s="8"/>
    </row>
    <row r="10" spans="1:16" ht="15.75" x14ac:dyDescent="0.25">
      <c r="A10" s="1" t="s">
        <v>18</v>
      </c>
      <c r="B10" s="15">
        <f>B9/B11</f>
        <v>4611.229946524064</v>
      </c>
      <c r="C10" s="15">
        <f>C9/C11</f>
        <v>4202.8089887640444</v>
      </c>
      <c r="D10" s="14">
        <f t="shared" ref="D10:I10" si="2">D9/D11</f>
        <v>4605.0505050505053</v>
      </c>
      <c r="E10" s="15">
        <f t="shared" si="2"/>
        <v>4409.0425531914898</v>
      </c>
      <c r="F10" s="14">
        <f t="shared" si="2"/>
        <v>4715.7068062827229</v>
      </c>
      <c r="G10" s="15">
        <f t="shared" si="2"/>
        <v>5091.1917098445601</v>
      </c>
      <c r="H10" s="14">
        <f t="shared" si="2"/>
        <v>4823.2432432432433</v>
      </c>
      <c r="I10" s="15">
        <f t="shared" si="2"/>
        <v>5171.195652173913</v>
      </c>
      <c r="J10" s="3" t="s">
        <v>18</v>
      </c>
      <c r="L10" s="14"/>
      <c r="M10" s="16"/>
      <c r="P10" s="16"/>
    </row>
    <row r="11" spans="1:16" ht="15.75" x14ac:dyDescent="0.25">
      <c r="A11" s="9" t="s">
        <v>19</v>
      </c>
      <c r="B11" s="11">
        <v>1.87</v>
      </c>
      <c r="C11" s="11">
        <v>1.78</v>
      </c>
      <c r="D11" s="12">
        <v>1.98</v>
      </c>
      <c r="E11" s="11">
        <v>1.88</v>
      </c>
      <c r="F11" s="12">
        <v>1.91</v>
      </c>
      <c r="G11" s="11">
        <v>1.93</v>
      </c>
      <c r="H11" s="12">
        <v>1.85</v>
      </c>
      <c r="I11" s="11">
        <v>1.84</v>
      </c>
      <c r="J11" s="3" t="s">
        <v>19</v>
      </c>
      <c r="L11" s="12"/>
      <c r="M11" s="8"/>
      <c r="P11" s="8"/>
    </row>
    <row r="12" spans="1:16" ht="15.75" x14ac:dyDescent="0.25">
      <c r="A12" s="1" t="s">
        <v>20</v>
      </c>
      <c r="B12" s="17" t="s">
        <v>203</v>
      </c>
      <c r="C12" s="17" t="s">
        <v>204</v>
      </c>
      <c r="D12" s="87" t="s">
        <v>205</v>
      </c>
      <c r="E12" s="17" t="s">
        <v>206</v>
      </c>
      <c r="F12" s="87" t="s">
        <v>207</v>
      </c>
      <c r="G12" s="17" t="s">
        <v>208</v>
      </c>
      <c r="H12" s="87" t="s">
        <v>209</v>
      </c>
      <c r="I12" s="17" t="s">
        <v>210</v>
      </c>
      <c r="J12" s="3" t="s">
        <v>20</v>
      </c>
      <c r="L12" s="18"/>
      <c r="M12" s="8"/>
      <c r="P12" s="8"/>
    </row>
    <row r="13" spans="1:16" ht="20.25" thickBot="1" x14ac:dyDescent="0.45">
      <c r="A13" s="1" t="s">
        <v>29</v>
      </c>
      <c r="B13" s="19">
        <f t="shared" ref="B13:I13" si="3">B16/B17</f>
        <v>0.81510539748558464</v>
      </c>
      <c r="C13" s="19">
        <f t="shared" si="3"/>
        <v>0.89937484972349124</v>
      </c>
      <c r="D13" s="19">
        <f t="shared" si="3"/>
        <v>0.9463414634146341</v>
      </c>
      <c r="E13" s="19">
        <f t="shared" si="3"/>
        <v>0.90728984238178634</v>
      </c>
      <c r="F13" s="38">
        <f t="shared" si="3"/>
        <v>0.99701129067965466</v>
      </c>
      <c r="G13" s="19">
        <f t="shared" si="3"/>
        <v>0.91952086842597791</v>
      </c>
      <c r="H13" s="19">
        <f t="shared" si="3"/>
        <v>0.89435702114864191</v>
      </c>
      <c r="I13" s="19">
        <f t="shared" si="3"/>
        <v>0.98356419268141415</v>
      </c>
      <c r="J13" s="3" t="s">
        <v>20</v>
      </c>
      <c r="L13" s="20"/>
      <c r="M13" s="160">
        <f>L9/L16</f>
        <v>1.9095691585507324</v>
      </c>
      <c r="P13" s="12"/>
    </row>
    <row r="14" spans="1:16" ht="15.75" x14ac:dyDescent="0.25">
      <c r="A14" s="1" t="s">
        <v>30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P14" s="12"/>
    </row>
    <row r="15" spans="1:16" ht="15.75" x14ac:dyDescent="0.25">
      <c r="A15" s="1" t="s">
        <v>31</v>
      </c>
      <c r="B15" s="21">
        <f>B14*B11</f>
        <v>0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  <c r="P15" s="12"/>
    </row>
    <row r="16" spans="1:16" ht="15.75" x14ac:dyDescent="0.25">
      <c r="A16" s="1" t="s">
        <v>17</v>
      </c>
      <c r="B16" s="7">
        <v>8623</v>
      </c>
      <c r="C16" s="7">
        <v>7481</v>
      </c>
      <c r="D16" s="7">
        <v>9118</v>
      </c>
      <c r="E16" s="7">
        <v>8289</v>
      </c>
      <c r="F16" s="161">
        <v>9007</v>
      </c>
      <c r="G16" s="7">
        <v>9826</v>
      </c>
      <c r="H16" s="7">
        <v>8923</v>
      </c>
      <c r="I16" s="7">
        <v>9515</v>
      </c>
      <c r="J16" s="3" t="s">
        <v>17</v>
      </c>
      <c r="L16" s="14">
        <f>SUM(B17:C17,E17:F17)</f>
        <v>37067</v>
      </c>
    </row>
    <row r="17" spans="1:16" ht="15.75" x14ac:dyDescent="0.25">
      <c r="A17" s="1" t="s">
        <v>32</v>
      </c>
      <c r="B17" s="25">
        <v>10579</v>
      </c>
      <c r="C17" s="25">
        <v>8318</v>
      </c>
      <c r="D17" s="25">
        <v>9635</v>
      </c>
      <c r="E17" s="25">
        <v>9136</v>
      </c>
      <c r="F17" s="39">
        <v>9034</v>
      </c>
      <c r="G17" s="25">
        <v>10686</v>
      </c>
      <c r="H17" s="25">
        <v>9977</v>
      </c>
      <c r="I17" s="25">
        <v>9674</v>
      </c>
      <c r="J17" s="3" t="s">
        <v>18</v>
      </c>
      <c r="L17" s="14" t="e">
        <f>SUM(#REF!)</f>
        <v>#REF!</v>
      </c>
    </row>
    <row r="18" spans="1:16" ht="19.5" x14ac:dyDescent="0.4">
      <c r="A18" s="1" t="s">
        <v>33</v>
      </c>
      <c r="B18" s="127">
        <f t="shared" ref="B18:I18" si="5">B16-B17</f>
        <v>-1956</v>
      </c>
      <c r="C18" s="127">
        <f t="shared" si="5"/>
        <v>-837</v>
      </c>
      <c r="D18" s="127">
        <f t="shared" si="5"/>
        <v>-517</v>
      </c>
      <c r="E18" s="127">
        <f t="shared" si="5"/>
        <v>-847</v>
      </c>
      <c r="F18" s="127">
        <f t="shared" si="5"/>
        <v>-27</v>
      </c>
      <c r="G18" s="127">
        <f t="shared" si="5"/>
        <v>-860</v>
      </c>
      <c r="H18" s="127">
        <f t="shared" si="5"/>
        <v>-1054</v>
      </c>
      <c r="I18" s="162">
        <f t="shared" si="5"/>
        <v>-159</v>
      </c>
      <c r="J18" s="27"/>
      <c r="K18" s="28"/>
      <c r="L18" s="14">
        <f>SUM(B18:I18)</f>
        <v>-6257</v>
      </c>
      <c r="M18" s="29"/>
      <c r="N18" s="28"/>
      <c r="O18" s="28"/>
      <c r="P18" s="29"/>
    </row>
    <row r="19" spans="1:16" x14ac:dyDescent="0.25">
      <c r="A19" s="1" t="s">
        <v>34</v>
      </c>
      <c r="B19" s="22" t="e">
        <f>SUM(#REF!+#REF!+[5]March!B19+[5]April!B19+[5]May!B19+[5]June!B19+[5]July!B19+'[5]August '!B19+[5]September!B19+[5]October!B19+[5]November!B19+[5]December!B19)</f>
        <v>#REF!</v>
      </c>
      <c r="C19" s="22" t="e">
        <f>SUM(#REF!+#REF!+[5]March!C19+[5]April!C19+[5]May!C19+[5]June!C19+[5]July!C19+'[5]August '!C19+[5]September!C19+[5]October!C19+[5]November!C19+[5]December!C19)</f>
        <v>#REF!</v>
      </c>
      <c r="D19" s="22" t="e">
        <f>SUM(#REF!+#REF!+[5]March!D19+[5]April!D19+[5]May!D19+[5]June!D19+[5]July!D19+'[5]August '!D19+[5]September!D19+[5]October!D19+[5]November!D19+[5]December!D19)</f>
        <v>#REF!</v>
      </c>
      <c r="E19" s="22" t="e">
        <f>SUM(#REF!+#REF!+[5]March!E19+[5]April!E19+[5]May!E19+[5]June!E19+[5]July!E19+'[5]August '!E19+[5]September!E19+[5]October!E19+[5]November!E19+[5]December!E19)</f>
        <v>#REF!</v>
      </c>
      <c r="F19" s="23" t="e">
        <f>SUM(#REF!+#REF!+[5]March!F19+[5]April!F19+[5]May!F19+[5]June!F19+[5]July!F19+'[5]August '!F19+[5]September!F19+[5]October!F19+[5]November!F19+[5]December!F19)</f>
        <v>#REF!</v>
      </c>
      <c r="G19" s="23" t="e">
        <f>SUM(#REF!+#REF!+[5]March!G19+[5]April!G19+[5]May!G19+[5]June!G19+[5]July!G19+'[5]August '!G19+[5]September!G19+[5]October!G19+[5]November!G19+[5]December!G19)</f>
        <v>#REF!</v>
      </c>
      <c r="H19" s="22" t="e">
        <f>SUM(#REF!+#REF!+[5]March!H19+[5]April!H19+[5]May!H19+[5]June!H19+[5]July!H19+'[5]August '!H19+[5]September!H19+[5]October!H19+[5]November!H19+[5]December!H19)</f>
        <v>#REF!</v>
      </c>
      <c r="I19" s="23" t="e">
        <f>SUM(#REF!+#REF!+[5]March!I19+[5]April!I19+[5]May!I19+[5]June!I19+[5]July!I19+'[5]August '!I19+[5]September!I19+[5]October!I19+[5]November!I19+[5]December!I19)</f>
        <v>#REF!</v>
      </c>
      <c r="J19" s="3"/>
      <c r="L19" s="24"/>
    </row>
    <row r="20" spans="1:16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6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</row>
    <row r="22" spans="1:16" x14ac:dyDescent="0.25">
      <c r="A22" s="9" t="s">
        <v>13</v>
      </c>
      <c r="B22" s="10"/>
      <c r="C22" s="163" t="s">
        <v>176</v>
      </c>
      <c r="D22" s="10" t="s">
        <v>174</v>
      </c>
      <c r="E22" s="164" t="s">
        <v>173</v>
      </c>
      <c r="F22" s="10" t="s">
        <v>176</v>
      </c>
      <c r="G22" s="10" t="s">
        <v>176</v>
      </c>
      <c r="H22" s="10" t="s">
        <v>211</v>
      </c>
      <c r="I22" s="10" t="s">
        <v>176</v>
      </c>
      <c r="J22" s="3" t="s">
        <v>15</v>
      </c>
    </row>
    <row r="23" spans="1:16" ht="15.75" x14ac:dyDescent="0.25">
      <c r="A23" s="1" t="s">
        <v>16</v>
      </c>
      <c r="B23" s="11"/>
      <c r="C23" s="12">
        <f t="shared" ref="C23:I23" si="6">((1/C26)/0.0004)^(1/3)</f>
        <v>11.219898137773402</v>
      </c>
      <c r="D23" s="11">
        <f t="shared" si="6"/>
        <v>10.977229266805823</v>
      </c>
      <c r="E23" s="34">
        <f t="shared" si="6"/>
        <v>11.05578098535263</v>
      </c>
      <c r="F23" s="11">
        <f t="shared" si="6"/>
        <v>11.05578098535263</v>
      </c>
      <c r="G23" s="11">
        <f t="shared" si="6"/>
        <v>11.075773399575761</v>
      </c>
      <c r="H23" s="11">
        <f t="shared" si="6"/>
        <v>10.957937084221749</v>
      </c>
      <c r="I23" s="11">
        <f t="shared" si="6"/>
        <v>10.996658031710911</v>
      </c>
      <c r="J23" s="3" t="s">
        <v>16</v>
      </c>
    </row>
    <row r="24" spans="1:16" ht="15.75" x14ac:dyDescent="0.25">
      <c r="A24" s="9" t="s">
        <v>17</v>
      </c>
      <c r="B24" s="83"/>
      <c r="C24" s="165">
        <f t="shared" ref="C24:H24" si="7">C31+C30</f>
        <v>0</v>
      </c>
      <c r="D24" s="83">
        <f t="shared" si="7"/>
        <v>10021</v>
      </c>
      <c r="E24" s="35">
        <f t="shared" si="7"/>
        <v>8231</v>
      </c>
      <c r="F24" s="15">
        <f t="shared" si="7"/>
        <v>7510</v>
      </c>
      <c r="G24" s="83">
        <f t="shared" si="7"/>
        <v>7356</v>
      </c>
      <c r="H24" s="83">
        <f t="shared" si="7"/>
        <v>7785</v>
      </c>
      <c r="I24" s="83">
        <f>I31+I30</f>
        <v>7787</v>
      </c>
      <c r="J24" s="3" t="s">
        <v>17</v>
      </c>
      <c r="L24" s="14">
        <f>SUM(E24:I24)</f>
        <v>38669</v>
      </c>
      <c r="M24" s="91"/>
    </row>
    <row r="25" spans="1:16" ht="15.75" x14ac:dyDescent="0.25">
      <c r="A25" s="1" t="s">
        <v>18</v>
      </c>
      <c r="B25" s="15" t="s">
        <v>45</v>
      </c>
      <c r="C25" s="14">
        <f t="shared" ref="C25:I25" si="8">C24/C26</f>
        <v>0</v>
      </c>
      <c r="D25" s="15">
        <f t="shared" si="8"/>
        <v>5302.1164021164022</v>
      </c>
      <c r="E25" s="35">
        <f t="shared" si="8"/>
        <v>4449.1891891891892</v>
      </c>
      <c r="F25" s="35">
        <f t="shared" si="8"/>
        <v>4059.4594594594591</v>
      </c>
      <c r="G25" s="35">
        <f t="shared" si="8"/>
        <v>3997.8260869565215</v>
      </c>
      <c r="H25" s="35">
        <f t="shared" si="8"/>
        <v>4097.3684210526317</v>
      </c>
      <c r="I25" s="35">
        <f t="shared" si="8"/>
        <v>4142.0212765957449</v>
      </c>
      <c r="J25" s="3" t="s">
        <v>18</v>
      </c>
      <c r="L25" s="14">
        <f>SUM(C25,E25:F25,I25)</f>
        <v>12650.669925244394</v>
      </c>
    </row>
    <row r="26" spans="1:16" ht="15.75" x14ac:dyDescent="0.25">
      <c r="A26" s="9" t="s">
        <v>19</v>
      </c>
      <c r="B26" s="11"/>
      <c r="C26" s="166">
        <v>1.77</v>
      </c>
      <c r="D26" s="11">
        <v>1.89</v>
      </c>
      <c r="E26" s="34">
        <v>1.85</v>
      </c>
      <c r="F26" s="34">
        <v>1.85</v>
      </c>
      <c r="G26" s="11">
        <v>1.84</v>
      </c>
      <c r="H26" s="11">
        <v>1.9</v>
      </c>
      <c r="I26" s="11">
        <v>1.88</v>
      </c>
      <c r="J26" s="3" t="s">
        <v>19</v>
      </c>
    </row>
    <row r="27" spans="1:16" ht="15.75" x14ac:dyDescent="0.25">
      <c r="A27" s="1" t="s">
        <v>20</v>
      </c>
      <c r="B27" s="17"/>
      <c r="C27" s="167"/>
      <c r="D27" s="17" t="s">
        <v>212</v>
      </c>
      <c r="E27" s="36" t="s">
        <v>213</v>
      </c>
      <c r="F27" s="36" t="s">
        <v>214</v>
      </c>
      <c r="G27" s="17" t="s">
        <v>215</v>
      </c>
      <c r="H27" s="17" t="s">
        <v>216</v>
      </c>
      <c r="I27" s="17" t="s">
        <v>217</v>
      </c>
      <c r="J27" s="3" t="s">
        <v>20</v>
      </c>
      <c r="M27" s="160">
        <f>L24/L32</f>
        <v>1.0299922755240658</v>
      </c>
    </row>
    <row r="28" spans="1:16" ht="20.25" thickBot="1" x14ac:dyDescent="0.45">
      <c r="A28" s="1" t="s">
        <v>29</v>
      </c>
      <c r="B28" s="37"/>
      <c r="C28" s="168">
        <f t="shared" ref="C28:I28" si="9">C31/C32</f>
        <v>0</v>
      </c>
      <c r="D28" s="38">
        <f t="shared" si="9"/>
        <v>1.0929218017231976</v>
      </c>
      <c r="E28" s="169">
        <f t="shared" si="9"/>
        <v>0.93089798688079617</v>
      </c>
      <c r="F28" s="19">
        <f t="shared" si="9"/>
        <v>0.78449806748145823</v>
      </c>
      <c r="G28" s="19">
        <f t="shared" si="9"/>
        <v>0.82061579651941097</v>
      </c>
      <c r="H28" s="19">
        <f t="shared" si="9"/>
        <v>0.73009472006002063</v>
      </c>
      <c r="I28" s="19">
        <f t="shared" si="9"/>
        <v>0.8581661891117478</v>
      </c>
      <c r="J28" s="3" t="s">
        <v>53</v>
      </c>
    </row>
    <row r="29" spans="1:16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>
        <v>0</v>
      </c>
      <c r="I29" s="8">
        <v>0</v>
      </c>
      <c r="J29" s="3" t="s">
        <v>30</v>
      </c>
    </row>
    <row r="30" spans="1:16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>
        <v>0</v>
      </c>
      <c r="I30" s="21">
        <f>(I26*I29)</f>
        <v>0</v>
      </c>
      <c r="J30" s="3" t="s">
        <v>31</v>
      </c>
    </row>
    <row r="31" spans="1:16" ht="15.75" x14ac:dyDescent="0.25">
      <c r="A31" s="9" t="s">
        <v>17</v>
      </c>
      <c r="B31" s="23"/>
      <c r="C31" s="23"/>
      <c r="D31" s="23">
        <v>10021</v>
      </c>
      <c r="E31" s="23">
        <v>8231</v>
      </c>
      <c r="F31" s="23">
        <v>7510</v>
      </c>
      <c r="G31" s="23">
        <v>7356</v>
      </c>
      <c r="H31" s="23">
        <v>7785</v>
      </c>
      <c r="I31" s="23">
        <v>7787</v>
      </c>
      <c r="J31" s="3" t="s">
        <v>17</v>
      </c>
      <c r="M31" s="39"/>
      <c r="P31" s="39"/>
    </row>
    <row r="32" spans="1:16" ht="15.75" x14ac:dyDescent="0.25">
      <c r="A32" s="9" t="s">
        <v>32</v>
      </c>
      <c r="B32" s="25"/>
      <c r="C32" s="25">
        <v>8138</v>
      </c>
      <c r="D32" s="25">
        <v>9169</v>
      </c>
      <c r="E32" s="39">
        <v>8842</v>
      </c>
      <c r="F32" s="25">
        <v>9573</v>
      </c>
      <c r="G32" s="25">
        <v>8964</v>
      </c>
      <c r="H32" s="25">
        <v>10663</v>
      </c>
      <c r="I32" s="25">
        <v>9074</v>
      </c>
      <c r="J32" s="3" t="s">
        <v>18</v>
      </c>
      <c r="L32" s="14">
        <f>SUM(E32, G32:I32)</f>
        <v>37543</v>
      </c>
    </row>
    <row r="33" spans="1:16" ht="19.5" x14ac:dyDescent="0.4">
      <c r="A33" s="9" t="s">
        <v>33</v>
      </c>
      <c r="B33" s="127">
        <f t="shared" ref="B33:I33" si="11">B31-B32</f>
        <v>0</v>
      </c>
      <c r="C33" s="127">
        <f t="shared" si="11"/>
        <v>-8138</v>
      </c>
      <c r="D33" s="127">
        <f t="shared" si="11"/>
        <v>852</v>
      </c>
      <c r="E33" s="127">
        <f t="shared" si="11"/>
        <v>-611</v>
      </c>
      <c r="F33" s="162">
        <f t="shared" si="11"/>
        <v>-2063</v>
      </c>
      <c r="G33" s="127">
        <f t="shared" si="11"/>
        <v>-1608</v>
      </c>
      <c r="H33" s="127">
        <f t="shared" si="11"/>
        <v>-2878</v>
      </c>
      <c r="I33" s="90">
        <f t="shared" si="11"/>
        <v>-1287</v>
      </c>
      <c r="J33" s="27"/>
      <c r="K33" s="28"/>
      <c r="L33" s="43">
        <f>SUM(B33:I33)</f>
        <v>-15733</v>
      </c>
      <c r="M33" s="28"/>
      <c r="N33" s="28" t="s">
        <v>218</v>
      </c>
      <c r="O33" s="28" t="s">
        <v>219</v>
      </c>
      <c r="P33" s="28"/>
    </row>
    <row r="34" spans="1:16" x14ac:dyDescent="0.25">
      <c r="A34" s="1" t="s">
        <v>34</v>
      </c>
      <c r="B34" s="22" t="e">
        <f>SUM(#REF!+#REF!+[5]March!B36+[5]April!B36+[5]May!B36+[5]June!B36+[5]July!B36+'[5]August '!B36+[5]September!B36+[5]October!B36+[5]November!B36+[5]December!B36)</f>
        <v>#REF!</v>
      </c>
      <c r="C34" s="22" t="e">
        <f>SUM(#REF!+#REF!+[5]March!C36+[5]April!C36+[5]May!C36+[5]June!C36+[5]July!C36+'[5]August '!C36+[5]September!C36+[5]October!C36+[5]November!C36+[5]December!C36)</f>
        <v>#REF!</v>
      </c>
      <c r="D34" s="22" t="e">
        <f>SUM(#REF!+#REF!+[5]March!D36+[5]April!D36+[5]May!D36+[5]June!D36+[5]July!D36+'[5]August '!D36+[5]September!D36+[5]October!D36+[5]November!D36+[5]December!D36)</f>
        <v>#REF!</v>
      </c>
      <c r="E34" s="22" t="e">
        <f>SUM(#REF!+#REF!+[5]March!E36+[5]April!E36+[5]May!E36+[5]June!E36+[5]July!E36+'[5]August '!E36+[5]September!E36+[5]October!E36+[5]November!E36+[5]December!E36)</f>
        <v>#REF!</v>
      </c>
      <c r="F34" s="23" t="e">
        <f>SUM(#REF!+#REF!+[5]March!F36+[5]April!F36+[5]May!F36+[5]June!F36+[5]July!F36+'[5]August '!F36+[5]September!F36+[5]October!F36+[5]November!F36+[5]December!F36)</f>
        <v>#REF!</v>
      </c>
      <c r="G34" s="22" t="e">
        <f>SUM(#REF!+#REF!+[5]March!G36+[5]April!G36+[5]May!G36+[5]June!G36+[5]July!G36+'[5]August '!G36+[5]September!G36+[5]October!G36+[5]November!G36+[5]December!G36)</f>
        <v>#REF!</v>
      </c>
      <c r="H34" s="22" t="e">
        <f>SUM(#REF!+#REF!+[5]March!H36+[5]April!H36+[5]May!H36+[5]June!H36+[5]July!H36+'[5]August '!H36+[5]September!H36+[5]October!H36+[5]November!H36+[5]December!H36)</f>
        <v>#REF!</v>
      </c>
      <c r="I34" s="22" t="e">
        <f>SUM(#REF!+#REF!+[5]March!I36+[5]April!I36+[5]May!I36+[5]June!I36+[5]July!I36+'[5]August '!I36+[5]September!I36+[5]October!I36+[5]November!I36+[5]December!I36)</f>
        <v>#REF!</v>
      </c>
      <c r="J34" s="3"/>
      <c r="N34" s="46">
        <f>SUM(L16,L32,L48)</f>
        <v>94091</v>
      </c>
      <c r="O34" s="46">
        <f>SUM(L9,L24,L40)</f>
        <v>131451</v>
      </c>
    </row>
    <row r="35" spans="1:16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</row>
    <row r="36" spans="1:16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</row>
    <row r="37" spans="1:16" ht="15.75" thickBot="1" x14ac:dyDescent="0.3">
      <c r="A37" s="1" t="s">
        <v>4</v>
      </c>
      <c r="B37" s="129" t="s">
        <v>61</v>
      </c>
      <c r="C37" s="6" t="s">
        <v>56</v>
      </c>
      <c r="D37" s="6" t="s">
        <v>57</v>
      </c>
      <c r="E37" s="6" t="s">
        <v>58</v>
      </c>
      <c r="F37" s="7" t="s">
        <v>59</v>
      </c>
      <c r="G37" s="7" t="s">
        <v>60</v>
      </c>
      <c r="H37" s="6" t="s">
        <v>61</v>
      </c>
      <c r="I37" s="129" t="s">
        <v>6</v>
      </c>
      <c r="J37" s="3" t="s">
        <v>4</v>
      </c>
      <c r="L37" s="1"/>
      <c r="M37" s="1"/>
      <c r="N37" s="170">
        <f>O34/N34</f>
        <v>1.3970624182971805</v>
      </c>
      <c r="O37" s="1" t="s">
        <v>220</v>
      </c>
      <c r="P37" s="1"/>
    </row>
    <row r="38" spans="1:16" x14ac:dyDescent="0.25">
      <c r="A38" s="9" t="s">
        <v>13</v>
      </c>
      <c r="B38" s="130" t="s">
        <v>221</v>
      </c>
      <c r="C38" s="10" t="s">
        <v>176</v>
      </c>
      <c r="D38" s="10"/>
      <c r="E38" s="10" t="s">
        <v>173</v>
      </c>
      <c r="F38" s="10" t="s">
        <v>176</v>
      </c>
      <c r="G38" s="10" t="s">
        <v>176</v>
      </c>
      <c r="H38" s="10" t="s">
        <v>211</v>
      </c>
      <c r="I38" s="130" t="s">
        <v>222</v>
      </c>
      <c r="J38" s="3" t="s">
        <v>15</v>
      </c>
      <c r="L38" s="1"/>
      <c r="M38" s="1"/>
      <c r="N38" s="1"/>
      <c r="O38" s="1"/>
      <c r="P38" s="1"/>
    </row>
    <row r="39" spans="1:16" ht="15.75" x14ac:dyDescent="0.25">
      <c r="A39" s="1" t="s">
        <v>16</v>
      </c>
      <c r="B39" s="171">
        <f t="shared" ref="B39:I39" si="12">((1/B42)/0.0004)^(1/3)</f>
        <v>10.237518412983126</v>
      </c>
      <c r="C39" s="11">
        <f t="shared" si="12"/>
        <v>11.116196288530926</v>
      </c>
      <c r="D39" s="11"/>
      <c r="E39" s="11">
        <f t="shared" si="12"/>
        <v>10.900863460382645</v>
      </c>
      <c r="F39" s="34">
        <f t="shared" si="12"/>
        <v>11.198847622778755</v>
      </c>
      <c r="G39" s="34">
        <f t="shared" si="12"/>
        <v>11.349619435430355</v>
      </c>
      <c r="H39" s="34">
        <f t="shared" si="12"/>
        <v>11.116196288530926</v>
      </c>
      <c r="I39" s="133">
        <f t="shared" si="12"/>
        <v>11.241107825565228</v>
      </c>
      <c r="J39" s="3" t="s">
        <v>16</v>
      </c>
      <c r="L39" s="1"/>
      <c r="M39" s="1"/>
      <c r="N39" s="1"/>
      <c r="O39" s="1"/>
      <c r="P39" s="1"/>
    </row>
    <row r="40" spans="1:16" ht="15.75" x14ac:dyDescent="0.25">
      <c r="A40" s="1" t="s">
        <v>17</v>
      </c>
      <c r="B40" s="136">
        <v>5198</v>
      </c>
      <c r="C40" s="15">
        <f t="shared" ref="C40:I40" si="13">C47+C46</f>
        <v>0</v>
      </c>
      <c r="D40" s="15"/>
      <c r="E40" s="15">
        <f t="shared" si="13"/>
        <v>7640</v>
      </c>
      <c r="F40" s="15">
        <f t="shared" si="13"/>
        <v>2289</v>
      </c>
      <c r="G40" s="15">
        <f t="shared" si="13"/>
        <v>4531</v>
      </c>
      <c r="H40" s="15">
        <f t="shared" si="13"/>
        <v>7540</v>
      </c>
      <c r="I40" s="136">
        <f t="shared" si="13"/>
        <v>3965</v>
      </c>
      <c r="J40" s="3" t="s">
        <v>17</v>
      </c>
      <c r="L40" s="14">
        <f>SUM(C40:H40)</f>
        <v>22000</v>
      </c>
      <c r="M40" s="1"/>
      <c r="N40" s="1"/>
      <c r="O40" s="1"/>
      <c r="P40" s="1"/>
    </row>
    <row r="41" spans="1:16" ht="15.75" x14ac:dyDescent="0.25">
      <c r="A41" s="1" t="s">
        <v>18</v>
      </c>
      <c r="B41" s="136">
        <f t="shared" ref="B41:I41" si="14">B40/B42</f>
        <v>2230.9012875536482</v>
      </c>
      <c r="C41" s="15">
        <f t="shared" si="14"/>
        <v>0</v>
      </c>
      <c r="D41" s="15" t="s">
        <v>45</v>
      </c>
      <c r="E41" s="15">
        <f t="shared" si="14"/>
        <v>3958.5492227979275</v>
      </c>
      <c r="F41" s="35">
        <f t="shared" si="14"/>
        <v>1285.9550561797753</v>
      </c>
      <c r="G41" s="35">
        <f t="shared" si="14"/>
        <v>2649.7076023391814</v>
      </c>
      <c r="H41" s="35">
        <f t="shared" si="14"/>
        <v>4142.8571428571431</v>
      </c>
      <c r="I41" s="139">
        <f t="shared" si="14"/>
        <v>2252.840909090909</v>
      </c>
      <c r="J41" s="3" t="s">
        <v>18</v>
      </c>
      <c r="L41" s="14">
        <f>SUM(B41:I41)</f>
        <v>16520.811220818585</v>
      </c>
      <c r="M41" s="1"/>
      <c r="N41" s="1"/>
      <c r="O41" s="1"/>
      <c r="P41" s="1"/>
    </row>
    <row r="42" spans="1:16" ht="15.75" x14ac:dyDescent="0.25">
      <c r="A42" s="1" t="s">
        <v>19</v>
      </c>
      <c r="B42" s="171">
        <v>2.33</v>
      </c>
      <c r="C42" s="11">
        <v>1.82</v>
      </c>
      <c r="D42" s="11"/>
      <c r="E42" s="11">
        <v>1.93</v>
      </c>
      <c r="F42" s="11">
        <v>1.78</v>
      </c>
      <c r="G42" s="11">
        <v>1.71</v>
      </c>
      <c r="H42" s="11">
        <v>1.82</v>
      </c>
      <c r="I42" s="171">
        <v>1.76</v>
      </c>
      <c r="J42" s="3" t="s">
        <v>19</v>
      </c>
      <c r="K42" s="1"/>
      <c r="L42" s="1"/>
      <c r="M42" s="1"/>
      <c r="N42" s="1"/>
      <c r="O42" s="1"/>
      <c r="P42" s="1"/>
    </row>
    <row r="43" spans="1:16" ht="15.75" x14ac:dyDescent="0.25">
      <c r="A43" s="1" t="s">
        <v>20</v>
      </c>
      <c r="B43" s="147" t="s">
        <v>223</v>
      </c>
      <c r="C43" s="17"/>
      <c r="D43" s="17"/>
      <c r="E43" s="17" t="s">
        <v>224</v>
      </c>
      <c r="F43" s="17" t="s">
        <v>225</v>
      </c>
      <c r="G43" s="17"/>
      <c r="H43" s="17" t="s">
        <v>226</v>
      </c>
      <c r="I43" s="147"/>
      <c r="J43" s="3" t="s">
        <v>20</v>
      </c>
      <c r="K43" s="1"/>
      <c r="L43" s="1"/>
      <c r="M43" s="160">
        <f>L40/L48</f>
        <v>1.129305477131564</v>
      </c>
      <c r="N43" s="1"/>
      <c r="O43" s="1"/>
      <c r="P43" s="1"/>
    </row>
    <row r="44" spans="1:16" ht="20.25" thickBot="1" x14ac:dyDescent="0.45">
      <c r="A44" s="1" t="s">
        <v>29</v>
      </c>
      <c r="B44" s="148"/>
      <c r="C44" s="37">
        <f t="shared" ref="C44:I44" si="15">C47/C48</f>
        <v>0</v>
      </c>
      <c r="D44" s="37"/>
      <c r="E44" s="19">
        <f t="shared" si="15"/>
        <v>0.86084507042253522</v>
      </c>
      <c r="F44" s="37" t="e">
        <f t="shared" si="15"/>
        <v>#DIV/0!</v>
      </c>
      <c r="G44" s="19">
        <f t="shared" si="15"/>
        <v>0.50722041867233847</v>
      </c>
      <c r="H44" s="19">
        <f t="shared" si="15"/>
        <v>0.71091834810484633</v>
      </c>
      <c r="I44" s="172">
        <f t="shared" si="15"/>
        <v>0.97515986227250373</v>
      </c>
      <c r="J44" s="3" t="s">
        <v>53</v>
      </c>
      <c r="K44" s="1"/>
      <c r="L44" s="1"/>
      <c r="M44" s="1"/>
      <c r="N44" s="1"/>
      <c r="O44" s="1"/>
      <c r="P44" s="1"/>
    </row>
    <row r="45" spans="1:16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</row>
    <row r="46" spans="1:16" x14ac:dyDescent="0.25">
      <c r="A46" s="1" t="s">
        <v>31</v>
      </c>
      <c r="B46" s="21">
        <f t="shared" ref="B46:I46" si="16">(B42*B45)</f>
        <v>0</v>
      </c>
      <c r="C46" s="21">
        <f t="shared" si="16"/>
        <v>0</v>
      </c>
      <c r="D46" s="21">
        <v>0</v>
      </c>
      <c r="E46" s="21">
        <f t="shared" si="16"/>
        <v>0</v>
      </c>
      <c r="F46" s="21"/>
      <c r="G46" s="21">
        <f t="shared" si="16"/>
        <v>0</v>
      </c>
      <c r="H46" s="21">
        <f t="shared" si="16"/>
        <v>0</v>
      </c>
      <c r="I46" s="21">
        <f t="shared" si="16"/>
        <v>0</v>
      </c>
      <c r="J46" s="3" t="s">
        <v>31</v>
      </c>
      <c r="K46" s="1"/>
      <c r="L46" s="1"/>
      <c r="M46" s="1"/>
      <c r="N46" s="1"/>
      <c r="O46" s="1"/>
      <c r="P46" s="1"/>
    </row>
    <row r="47" spans="1:16" ht="15.75" x14ac:dyDescent="0.25">
      <c r="A47" s="1" t="s">
        <v>17</v>
      </c>
      <c r="B47" s="22"/>
      <c r="C47" s="22"/>
      <c r="D47" s="22"/>
      <c r="E47" s="22">
        <v>7640</v>
      </c>
      <c r="F47" s="22">
        <v>2289</v>
      </c>
      <c r="G47" s="22">
        <v>4531</v>
      </c>
      <c r="H47" s="22">
        <v>7540</v>
      </c>
      <c r="I47" s="22">
        <v>3965</v>
      </c>
      <c r="J47" s="3" t="s">
        <v>17</v>
      </c>
      <c r="K47" s="1"/>
      <c r="L47" s="14">
        <f>SUM(B47:I47)</f>
        <v>25965</v>
      </c>
      <c r="M47" s="1"/>
      <c r="N47" s="1"/>
      <c r="O47" s="1"/>
      <c r="P47" s="1"/>
    </row>
    <row r="48" spans="1:16" ht="15.75" x14ac:dyDescent="0.25">
      <c r="A48" s="1" t="s">
        <v>32</v>
      </c>
      <c r="B48" s="25">
        <v>10435</v>
      </c>
      <c r="C48" s="25">
        <v>8429</v>
      </c>
      <c r="D48" s="25"/>
      <c r="E48" s="25">
        <v>8875</v>
      </c>
      <c r="F48" s="25"/>
      <c r="G48" s="39">
        <v>8933</v>
      </c>
      <c r="H48" s="39">
        <v>10606</v>
      </c>
      <c r="I48" s="14">
        <v>4066</v>
      </c>
      <c r="J48" s="3" t="s">
        <v>18</v>
      </c>
      <c r="K48" s="1"/>
      <c r="L48" s="14">
        <f>SUM(E48,H48)</f>
        <v>19481</v>
      </c>
      <c r="M48" s="39">
        <v>28000</v>
      </c>
      <c r="N48" s="39"/>
      <c r="O48" s="39"/>
      <c r="P48" s="39"/>
    </row>
    <row r="49" spans="1:16" ht="19.5" x14ac:dyDescent="0.4">
      <c r="A49" s="1" t="s">
        <v>33</v>
      </c>
      <c r="B49" s="41">
        <f t="shared" ref="B49:I49" si="17">B47-B48</f>
        <v>-10435</v>
      </c>
      <c r="C49" s="41">
        <f t="shared" si="17"/>
        <v>-8429</v>
      </c>
      <c r="D49" s="41">
        <f t="shared" si="17"/>
        <v>0</v>
      </c>
      <c r="E49" s="41">
        <f t="shared" si="17"/>
        <v>-1235</v>
      </c>
      <c r="F49" s="41">
        <f t="shared" si="17"/>
        <v>2289</v>
      </c>
      <c r="G49" s="41">
        <f t="shared" si="17"/>
        <v>-4402</v>
      </c>
      <c r="H49" s="41">
        <f t="shared" si="17"/>
        <v>-3066</v>
      </c>
      <c r="I49" s="41">
        <f t="shared" si="17"/>
        <v>-101</v>
      </c>
      <c r="J49" s="27"/>
      <c r="K49" s="45"/>
      <c r="L49" s="14">
        <f>SUM(B49:I49)</f>
        <v>-25379</v>
      </c>
      <c r="M49" s="45"/>
      <c r="N49" s="45"/>
      <c r="O49" s="45"/>
      <c r="P49" s="45"/>
    </row>
    <row r="50" spans="1:16" x14ac:dyDescent="0.25">
      <c r="A50" s="1" t="s">
        <v>34</v>
      </c>
      <c r="B50" s="22" t="e">
        <f>SUM(#REF!+#REF!+[5]March!B53+[5]April!B53+[5]May!B53+[5]June!B53+[5]July!B53+'[5]August '!B53+[5]September!B53+[5]October!B53+[5]November!B53+[5]December!B53)</f>
        <v>#REF!</v>
      </c>
      <c r="C50" s="22" t="e">
        <f>SUM(#REF!+#REF!+[5]March!C53+[5]April!C53+[5]May!C53+[5]June!C53+[5]July!C53+'[5]August '!C53+[5]September!C53+[5]October!C53+[5]November!C53+[5]December!C53)</f>
        <v>#REF!</v>
      </c>
      <c r="D50" s="22" t="e">
        <f>SUM(#REF!+#REF!+[5]March!D53+[5]April!D53+[5]May!D53+[5]June!D53+[5]July!D53+'[5]August '!D53+[5]September!D53+[5]October!D53+[5]November!D53+[5]December!D53)</f>
        <v>#REF!</v>
      </c>
      <c r="E50" s="22" t="e">
        <f>SUM(#REF!+#REF!+[5]March!E53+[5]April!E53+[5]May!E53+[5]June!E53+[5]July!E53+'[5]August '!E53+[5]September!E53+[5]October!E53+[5]November!E53+[5]December!E53)</f>
        <v>#REF!</v>
      </c>
      <c r="F50" s="22" t="e">
        <f>SUM(#REF!+#REF!+[5]March!F53+[5]April!F53+[5]May!F53+[5]June!F53+[5]July!F53+'[5]August '!F53+[5]September!F53+[5]October!F53+[5]November!F53+[5]December!F53)</f>
        <v>#REF!</v>
      </c>
      <c r="G50" s="22" t="e">
        <f>SUM(#REF!+#REF!+[5]March!G53+[5]April!G53+[5]May!G53+[5]June!G53+[5]July!G53+'[5]August '!G53+[5]September!G53+[5]October!G53+[5]November!G53+[5]December!G53)</f>
        <v>#REF!</v>
      </c>
      <c r="H50" s="22" t="e">
        <f>SUM(#REF!+#REF!+[5]March!H53+[5]April!H53+[5]May!H53+[5]June!H53+[5]July!H53+'[5]August '!H53+[5]September!H53+[5]October!H53+[5]November!H53+[5]December!H53)</f>
        <v>#REF!</v>
      </c>
      <c r="I50" s="22" t="e">
        <f>SUM(#REF!+#REF!+[5]March!I53+[5]April!I53+[5]May!I53+[5]June!I53+[5]July!I53+'[5]August '!I53+[5]September!I53+[5]October!I53+[5]November!I53+[5]December!I53)</f>
        <v>#REF!</v>
      </c>
      <c r="J50" s="3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</row>
    <row r="52" spans="1:16" x14ac:dyDescent="0.25">
      <c r="A52" s="1"/>
      <c r="C52" s="1"/>
      <c r="D52" s="1"/>
      <c r="E52" s="1"/>
      <c r="F52" s="1"/>
      <c r="H52" s="1"/>
      <c r="I52" s="6" t="s">
        <v>227</v>
      </c>
      <c r="J52" s="3"/>
      <c r="K52" s="1"/>
      <c r="L52" s="70"/>
      <c r="M52" s="70"/>
      <c r="N52" s="70"/>
      <c r="O52" s="1"/>
      <c r="P52" s="1"/>
    </row>
    <row r="53" spans="1:16" ht="16.5" thickBot="1" x14ac:dyDescent="0.3">
      <c r="A53" s="1"/>
      <c r="B53" s="1"/>
      <c r="C53" s="1"/>
      <c r="D53" s="1" t="s">
        <v>70</v>
      </c>
      <c r="E53" s="7" t="s">
        <v>61</v>
      </c>
      <c r="F53" s="7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70"/>
      <c r="M53" s="70"/>
      <c r="N53" s="70"/>
      <c r="O53" s="1"/>
      <c r="P53" s="1"/>
    </row>
    <row r="54" spans="1:16" x14ac:dyDescent="0.25">
      <c r="A54" s="1"/>
      <c r="B54" s="1"/>
      <c r="C54" s="1"/>
      <c r="D54" s="1" t="s">
        <v>15</v>
      </c>
      <c r="E54" s="130" t="s">
        <v>221</v>
      </c>
      <c r="F54" s="10" t="s">
        <v>228</v>
      </c>
      <c r="G54" s="10" t="s">
        <v>229</v>
      </c>
      <c r="H54" s="3" t="s">
        <v>77</v>
      </c>
      <c r="I54" s="22"/>
      <c r="J54" s="51"/>
      <c r="K54" s="52"/>
      <c r="L54" s="173"/>
      <c r="M54" s="174"/>
      <c r="N54" s="174"/>
      <c r="O54" s="1"/>
    </row>
    <row r="55" spans="1:16" ht="15.75" x14ac:dyDescent="0.25">
      <c r="A55" s="1"/>
      <c r="B55" s="1"/>
      <c r="C55" s="1"/>
      <c r="D55" s="1" t="s">
        <v>16</v>
      </c>
      <c r="E55" s="11">
        <f>((1/E58)/0.0004)^(1/3)</f>
        <v>11.579897383996608</v>
      </c>
      <c r="F55" s="11"/>
      <c r="G55" s="11">
        <f>((1/G58)/0.0004)^(1/3)</f>
        <v>11.016225080149219</v>
      </c>
      <c r="H55" s="3" t="s">
        <v>78</v>
      </c>
      <c r="I55" s="22"/>
      <c r="J55" s="51"/>
      <c r="K55" s="52"/>
      <c r="L55" s="175"/>
      <c r="M55" s="176"/>
      <c r="N55" s="176"/>
      <c r="O55" s="1"/>
    </row>
    <row r="56" spans="1:16" ht="15.75" x14ac:dyDescent="0.25">
      <c r="A56" s="1"/>
      <c r="B56" s="1"/>
      <c r="C56" s="1"/>
      <c r="D56" s="1" t="s">
        <v>17</v>
      </c>
      <c r="E56" s="83">
        <v>3500</v>
      </c>
      <c r="F56" s="83">
        <v>263</v>
      </c>
      <c r="G56" s="83">
        <f>G63+G62</f>
        <v>13920</v>
      </c>
      <c r="H56" s="3" t="s">
        <v>125</v>
      </c>
      <c r="I56" s="22"/>
      <c r="J56" s="51"/>
      <c r="K56" s="52"/>
      <c r="L56" s="175"/>
      <c r="M56" s="176"/>
      <c r="N56" s="176"/>
      <c r="O56" s="1"/>
    </row>
    <row r="57" spans="1:16" ht="15.75" x14ac:dyDescent="0.25">
      <c r="D57" s="1" t="s">
        <v>18</v>
      </c>
      <c r="E57" s="15">
        <f>E56/E58</f>
        <v>2173.9130434782605</v>
      </c>
      <c r="F57" s="15"/>
      <c r="G57" s="15">
        <v>8720</v>
      </c>
      <c r="H57" s="3" t="s">
        <v>125</v>
      </c>
      <c r="I57" s="22"/>
      <c r="J57" s="51"/>
      <c r="K57" s="52"/>
      <c r="L57" s="173"/>
      <c r="M57" s="174"/>
      <c r="N57" s="174"/>
      <c r="O57" s="1"/>
    </row>
    <row r="58" spans="1:16" ht="15.75" x14ac:dyDescent="0.25">
      <c r="D58" s="1" t="s">
        <v>19</v>
      </c>
      <c r="E58" s="11">
        <v>1.61</v>
      </c>
      <c r="F58" s="11"/>
      <c r="G58" s="11">
        <v>1.87</v>
      </c>
      <c r="H58" s="3" t="s">
        <v>81</v>
      </c>
      <c r="I58" s="22"/>
      <c r="J58" s="51"/>
      <c r="K58" s="52"/>
      <c r="L58" s="177"/>
      <c r="M58" s="178"/>
      <c r="N58" s="178"/>
      <c r="O58" s="1"/>
    </row>
    <row r="59" spans="1:16" ht="15.75" x14ac:dyDescent="0.25">
      <c r="D59" s="1" t="s">
        <v>20</v>
      </c>
      <c r="E59" s="17" t="s">
        <v>230</v>
      </c>
      <c r="F59" s="17"/>
      <c r="G59" s="17"/>
      <c r="H59" s="94" t="s">
        <v>82</v>
      </c>
      <c r="I59" s="54">
        <f>J59*K59</f>
        <v>10435.92</v>
      </c>
      <c r="J59" s="55">
        <v>2.36</v>
      </c>
      <c r="K59" s="95">
        <v>4422</v>
      </c>
      <c r="L59" s="177" t="s">
        <v>231</v>
      </c>
      <c r="M59" s="178"/>
      <c r="N59" s="178"/>
      <c r="O59" s="1"/>
    </row>
    <row r="60" spans="1:16" ht="20.25" thickBot="1" x14ac:dyDescent="0.45">
      <c r="D60" s="1" t="s">
        <v>29</v>
      </c>
      <c r="E60" s="37" t="s">
        <v>3</v>
      </c>
      <c r="F60" s="37" t="e">
        <f>F63/F64</f>
        <v>#DIV/0!</v>
      </c>
      <c r="G60" s="19">
        <f>G63/G64</f>
        <v>0.86320228202902149</v>
      </c>
      <c r="H60" s="96" t="s">
        <v>82</v>
      </c>
      <c r="I60" s="76">
        <f>J60*K60</f>
        <v>4066.92</v>
      </c>
      <c r="J60" s="97">
        <v>2.37</v>
      </c>
      <c r="K60" s="98">
        <v>1716</v>
      </c>
      <c r="L60" s="177" t="s">
        <v>232</v>
      </c>
      <c r="M60" s="178"/>
      <c r="N60" s="178"/>
      <c r="O60" s="1"/>
    </row>
    <row r="61" spans="1:16" ht="15.75" x14ac:dyDescent="0.25">
      <c r="D61" s="1" t="s">
        <v>84</v>
      </c>
      <c r="F61" s="20">
        <v>0</v>
      </c>
      <c r="G61" s="20">
        <v>0</v>
      </c>
      <c r="H61" s="3" t="s">
        <v>127</v>
      </c>
      <c r="I61" s="54">
        <f>SUM(I54:I60)</f>
        <v>14502.84</v>
      </c>
      <c r="J61" s="6"/>
      <c r="K61" s="54">
        <f>SUM(K54:K60)</f>
        <v>6138</v>
      </c>
      <c r="L61" s="1"/>
      <c r="M61" s="1"/>
      <c r="N61" s="1"/>
      <c r="O61" s="1"/>
    </row>
    <row r="62" spans="1:16" ht="15.75" x14ac:dyDescent="0.25">
      <c r="D62" s="1" t="s">
        <v>86</v>
      </c>
      <c r="E62" s="20"/>
      <c r="F62" s="20">
        <v>0</v>
      </c>
      <c r="G62" s="20">
        <v>0</v>
      </c>
      <c r="H62" s="1" t="s">
        <v>32</v>
      </c>
      <c r="I62" s="157">
        <v>16126</v>
      </c>
      <c r="J62" s="1"/>
      <c r="K62" s="52"/>
      <c r="L62" s="60">
        <f>I61/K61</f>
        <v>2.3627956989247312</v>
      </c>
      <c r="M62" s="1"/>
      <c r="N62" s="1"/>
      <c r="O62" s="1"/>
    </row>
    <row r="63" spans="1:16" ht="19.5" x14ac:dyDescent="0.4">
      <c r="D63" s="1" t="s">
        <v>17</v>
      </c>
      <c r="E63" s="23"/>
      <c r="F63" s="23"/>
      <c r="G63" s="22">
        <v>13920</v>
      </c>
      <c r="H63" s="1" t="s">
        <v>29</v>
      </c>
      <c r="I63" s="154">
        <f>I61/I62</f>
        <v>0.89934515688949523</v>
      </c>
      <c r="J63" s="64"/>
      <c r="L63" s="1"/>
      <c r="M63" s="1"/>
      <c r="N63" s="1"/>
      <c r="O63" s="1"/>
      <c r="P63" s="1"/>
    </row>
    <row r="64" spans="1:16" ht="15.75" x14ac:dyDescent="0.25">
      <c r="D64" s="1" t="s">
        <v>32</v>
      </c>
      <c r="E64" s="158"/>
      <c r="F64" s="39"/>
      <c r="G64" s="14">
        <v>16126</v>
      </c>
      <c r="H64" s="1"/>
      <c r="I64" s="3"/>
      <c r="J64" s="1"/>
      <c r="K64" s="1"/>
      <c r="L64" s="1"/>
      <c r="M64" s="1"/>
      <c r="N64" s="1"/>
      <c r="O64" s="1"/>
      <c r="P64" s="1"/>
    </row>
    <row r="65" spans="1:16" ht="19.5" x14ac:dyDescent="0.4">
      <c r="D65" s="1" t="s">
        <v>88</v>
      </c>
      <c r="E65" s="26"/>
      <c r="F65" s="159"/>
      <c r="G65" s="127">
        <f>G63-G64</f>
        <v>-2206</v>
      </c>
      <c r="H65" s="1"/>
      <c r="I65" s="1"/>
      <c r="J65" s="3"/>
      <c r="K65" s="1"/>
      <c r="L65" s="1"/>
      <c r="M65" s="1"/>
      <c r="N65" s="1"/>
      <c r="O65" s="1"/>
      <c r="P65" s="1"/>
    </row>
    <row r="66" spans="1:16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6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</row>
    <row r="68" spans="1:16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</row>
    <row r="69" spans="1:16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</row>
    <row r="70" spans="1:16" x14ac:dyDescent="0.25">
      <c r="D70" s="1"/>
      <c r="E70" s="22"/>
      <c r="F70" s="22"/>
      <c r="G70" s="22"/>
      <c r="J70" s="33"/>
      <c r="L70" s="1"/>
      <c r="M70" s="1"/>
      <c r="N70" s="1"/>
      <c r="O70" s="1"/>
      <c r="P70" s="1"/>
    </row>
    <row r="71" spans="1:16" x14ac:dyDescent="0.25">
      <c r="D71" s="1"/>
      <c r="E71" s="51"/>
      <c r="F71" s="51"/>
      <c r="G71" s="51"/>
      <c r="M71" s="1"/>
      <c r="N71" s="1"/>
      <c r="O71" s="1"/>
      <c r="P71" s="1"/>
    </row>
    <row r="72" spans="1:16" ht="15.75" thickBot="1" x14ac:dyDescent="0.3">
      <c r="A72" s="1"/>
      <c r="B72" s="1"/>
      <c r="C72" s="1"/>
      <c r="D72" s="1"/>
      <c r="E72" s="1"/>
      <c r="F72" s="1"/>
      <c r="G72" s="1"/>
      <c r="P72" s="1"/>
    </row>
    <row r="73" spans="1:16" ht="15.75" thickBot="1" x14ac:dyDescent="0.3">
      <c r="D73" s="65"/>
      <c r="E73" s="66"/>
      <c r="F73" s="66"/>
      <c r="G73" s="66"/>
      <c r="M73" s="1"/>
      <c r="N73" s="1"/>
    </row>
    <row r="74" spans="1:16" x14ac:dyDescent="0.25">
      <c r="D74" s="68" t="s">
        <v>89</v>
      </c>
      <c r="E74" s="69"/>
      <c r="F74" s="70"/>
      <c r="G74" s="71" t="s">
        <v>90</v>
      </c>
      <c r="H74" s="67"/>
    </row>
    <row r="75" spans="1:16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2"/>
    </row>
    <row r="76" spans="1:16" x14ac:dyDescent="0.25">
      <c r="D76" s="73" t="s">
        <v>18</v>
      </c>
      <c r="E76" s="54">
        <f>SUM(B10:I10,B25:D25,F22,H25,B41:D41,H41)</f>
        <v>53402.712658654375</v>
      </c>
      <c r="F76" s="70"/>
      <c r="G76" s="70" t="s">
        <v>18</v>
      </c>
      <c r="H76" s="74">
        <f>SUM(F56)</f>
        <v>263</v>
      </c>
      <c r="J76" s="33"/>
    </row>
    <row r="77" spans="1:16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6" ht="15.75" thickBot="1" x14ac:dyDescent="0.3">
      <c r="H78" s="78">
        <f>B66</f>
        <v>0</v>
      </c>
      <c r="J78" s="33"/>
    </row>
    <row r="79" spans="1:16" x14ac:dyDescent="0.25">
      <c r="D79" s="65" t="s">
        <v>91</v>
      </c>
      <c r="E79" s="66"/>
      <c r="F79" s="66"/>
      <c r="G79" s="79"/>
      <c r="H79" s="1"/>
      <c r="J79" s="33"/>
    </row>
    <row r="80" spans="1:16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>
        <f>SUM(E76,H77)</f>
        <v>53402.712658654375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-47268</v>
      </c>
      <c r="J82" s="33"/>
    </row>
    <row r="83" spans="1:10" x14ac:dyDescent="0.25">
      <c r="J83" s="33"/>
    </row>
  </sheetData>
  <mergeCells count="1">
    <mergeCell ref="D74:E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0886-9411-438E-ADB9-10B96E6BD049}">
  <dimension ref="A1:S87"/>
  <sheetViews>
    <sheetView workbookViewId="0">
      <selection activeCell="O3" sqref="O3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3" width="15.28515625" bestFit="1" customWidth="1"/>
    <col min="4" max="4" width="13.5703125" customWidth="1"/>
    <col min="5" max="5" width="13.42578125" customWidth="1"/>
    <col min="6" max="7" width="14.140625" customWidth="1"/>
    <col min="8" max="8" width="13.140625" customWidth="1"/>
    <col min="9" max="9" width="12.7109375" customWidth="1"/>
    <col min="10" max="10" width="10.85546875" bestFit="1" customWidth="1"/>
  </cols>
  <sheetData>
    <row r="1" spans="1:18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  <c r="Q1" s="1"/>
    </row>
    <row r="2" spans="1:18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  <c r="Q2" s="1"/>
    </row>
    <row r="3" spans="1:18" ht="18" x14ac:dyDescent="0.25">
      <c r="A3" s="1"/>
      <c r="B3" s="1"/>
      <c r="C3" s="1"/>
      <c r="D3" s="1"/>
      <c r="E3" s="4" t="s">
        <v>233</v>
      </c>
      <c r="F3" s="1"/>
      <c r="G3" s="1"/>
      <c r="H3" s="5"/>
      <c r="J3" s="3"/>
      <c r="K3" s="1"/>
      <c r="L3" s="1"/>
      <c r="P3" s="1"/>
      <c r="Q3" s="1"/>
    </row>
    <row r="4" spans="1:18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  <c r="Q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  <c r="Q5" s="1"/>
    </row>
    <row r="6" spans="1:18" ht="15.75" thickBot="1" x14ac:dyDescent="0.3">
      <c r="A6" s="1" t="s">
        <v>4</v>
      </c>
      <c r="B6" s="6" t="s">
        <v>5</v>
      </c>
      <c r="C6" s="6" t="s">
        <v>6</v>
      </c>
      <c r="D6" s="7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  <c r="P6" s="1"/>
      <c r="Q6" s="1"/>
    </row>
    <row r="7" spans="1:18" x14ac:dyDescent="0.25">
      <c r="A7" s="9" t="s">
        <v>13</v>
      </c>
      <c r="B7" s="10" t="s">
        <v>234</v>
      </c>
      <c r="C7" s="10" t="s">
        <v>234</v>
      </c>
      <c r="D7" s="10" t="s">
        <v>235</v>
      </c>
      <c r="E7" s="10" t="s">
        <v>235</v>
      </c>
      <c r="F7" s="10" t="s">
        <v>234</v>
      </c>
      <c r="G7" s="10" t="s">
        <v>236</v>
      </c>
      <c r="H7" s="10" t="s">
        <v>234</v>
      </c>
      <c r="I7" s="10" t="s">
        <v>235</v>
      </c>
      <c r="J7" s="3" t="s">
        <v>15</v>
      </c>
      <c r="K7" s="8"/>
      <c r="L7" s="1"/>
      <c r="M7" s="1"/>
      <c r="P7" s="1"/>
      <c r="Q7" s="1"/>
    </row>
    <row r="8" spans="1:18" ht="15.75" x14ac:dyDescent="0.25">
      <c r="A8" s="1" t="s">
        <v>16</v>
      </c>
      <c r="B8" s="11">
        <f>((1/B11)/0.0004)^(1/3)</f>
        <v>10.86346740846674</v>
      </c>
      <c r="C8" s="11">
        <f t="shared" ref="C8:I8" si="0">((1/C11)/0.0004)^(1/3)</f>
        <v>10.86346740846674</v>
      </c>
      <c r="D8" s="11">
        <f t="shared" si="0"/>
        <v>10.919755809203734</v>
      </c>
      <c r="E8" s="11">
        <f t="shared" si="0"/>
        <v>10.977229266805823</v>
      </c>
      <c r="F8" s="12">
        <f t="shared" si="0"/>
        <v>11.177954201819915</v>
      </c>
      <c r="G8" s="11">
        <f t="shared" si="0"/>
        <v>10.844960613841652</v>
      </c>
      <c r="H8" s="12">
        <f t="shared" si="0"/>
        <v>11.177954201819915</v>
      </c>
      <c r="I8" s="11">
        <f t="shared" si="0"/>
        <v>10.882101179818642</v>
      </c>
      <c r="J8" s="3" t="s">
        <v>16</v>
      </c>
      <c r="K8" s="12"/>
      <c r="L8" s="1"/>
      <c r="M8" s="1"/>
      <c r="P8" s="1"/>
      <c r="Q8" s="1"/>
    </row>
    <row r="9" spans="1:18" ht="15.75" x14ac:dyDescent="0.25">
      <c r="A9" s="9" t="s">
        <v>17</v>
      </c>
      <c r="B9" s="83">
        <f>B16+B15</f>
        <v>7254</v>
      </c>
      <c r="C9" s="83">
        <f t="shared" ref="C9:I9" si="1">C16+C15</f>
        <v>7683</v>
      </c>
      <c r="D9" s="83">
        <f t="shared" si="1"/>
        <v>9544</v>
      </c>
      <c r="E9" s="83">
        <f t="shared" si="1"/>
        <v>8509</v>
      </c>
      <c r="F9" s="83">
        <f t="shared" si="1"/>
        <v>7033.47</v>
      </c>
      <c r="G9" s="83">
        <f t="shared" si="1"/>
        <v>7411</v>
      </c>
      <c r="H9" s="83">
        <f t="shared" si="1"/>
        <v>7517</v>
      </c>
      <c r="I9" s="15">
        <f t="shared" si="1"/>
        <v>8792</v>
      </c>
      <c r="J9" s="3" t="s">
        <v>17</v>
      </c>
      <c r="L9" s="14">
        <f>SUM(B9:I9)</f>
        <v>63743.47</v>
      </c>
      <c r="M9" s="84"/>
      <c r="P9" s="8"/>
      <c r="Q9" s="8"/>
      <c r="R9" s="85"/>
    </row>
    <row r="10" spans="1:18" ht="15.75" x14ac:dyDescent="0.25">
      <c r="A10" s="1" t="s">
        <v>18</v>
      </c>
      <c r="B10" s="15">
        <f>B9/B11</f>
        <v>3720</v>
      </c>
      <c r="C10" s="15">
        <f>C9/C11</f>
        <v>3940</v>
      </c>
      <c r="D10" s="14">
        <f t="shared" ref="D10:I10" si="2">D9/D11</f>
        <v>4970.8333333333339</v>
      </c>
      <c r="E10" s="15">
        <f t="shared" si="2"/>
        <v>4502.1164021164022</v>
      </c>
      <c r="F10" s="14">
        <f t="shared" si="2"/>
        <v>3929.3128491620114</v>
      </c>
      <c r="G10" s="15">
        <f t="shared" si="2"/>
        <v>3781.1224489795918</v>
      </c>
      <c r="H10" s="14">
        <f t="shared" si="2"/>
        <v>4199.441340782123</v>
      </c>
      <c r="I10" s="15">
        <f t="shared" si="2"/>
        <v>4531.9587628865984</v>
      </c>
      <c r="J10" s="3" t="s">
        <v>18</v>
      </c>
      <c r="K10" s="179" t="s">
        <v>237</v>
      </c>
      <c r="L10" s="14">
        <f>SUM(B10:I10)</f>
        <v>33574.785137260063</v>
      </c>
      <c r="M10" s="16"/>
      <c r="P10" s="16"/>
      <c r="Q10" s="16"/>
      <c r="R10" s="85"/>
    </row>
    <row r="11" spans="1:18" ht="15.75" x14ac:dyDescent="0.25">
      <c r="A11" s="9" t="s">
        <v>19</v>
      </c>
      <c r="B11" s="11">
        <v>1.95</v>
      </c>
      <c r="C11" s="11">
        <v>1.95</v>
      </c>
      <c r="D11" s="12">
        <v>1.92</v>
      </c>
      <c r="E11" s="11">
        <v>1.89</v>
      </c>
      <c r="F11" s="12">
        <v>1.79</v>
      </c>
      <c r="G11" s="11">
        <v>1.96</v>
      </c>
      <c r="H11" s="12">
        <v>1.79</v>
      </c>
      <c r="I11" s="11">
        <v>1.94</v>
      </c>
      <c r="J11" s="3" t="s">
        <v>19</v>
      </c>
      <c r="L11" s="12"/>
      <c r="M11" s="8"/>
      <c r="P11" s="8"/>
      <c r="Q11" s="8"/>
      <c r="R11" s="85"/>
    </row>
    <row r="12" spans="1:18" ht="15.75" x14ac:dyDescent="0.25">
      <c r="A12" s="1" t="s">
        <v>20</v>
      </c>
      <c r="B12" s="17" t="s">
        <v>238</v>
      </c>
      <c r="C12" s="17" t="s">
        <v>239</v>
      </c>
      <c r="D12" s="87" t="s">
        <v>240</v>
      </c>
      <c r="E12" s="17" t="s">
        <v>241</v>
      </c>
      <c r="F12" s="87" t="s">
        <v>242</v>
      </c>
      <c r="G12" s="17" t="s">
        <v>243</v>
      </c>
      <c r="H12" s="87" t="s">
        <v>244</v>
      </c>
      <c r="I12" s="17" t="s">
        <v>245</v>
      </c>
      <c r="J12" s="3" t="s">
        <v>20</v>
      </c>
      <c r="L12" s="18"/>
      <c r="M12" s="8"/>
      <c r="P12" s="8"/>
      <c r="Q12" s="8"/>
      <c r="R12" s="85"/>
    </row>
    <row r="13" spans="1:18" ht="20.25" thickBot="1" x14ac:dyDescent="0.45">
      <c r="A13" s="1" t="s">
        <v>29</v>
      </c>
      <c r="B13" s="19">
        <f t="shared" ref="B13:I13" si="3">B16/B17</f>
        <v>0.87302924539655791</v>
      </c>
      <c r="C13" s="19">
        <f t="shared" si="3"/>
        <v>0.76531527044526348</v>
      </c>
      <c r="D13" s="37">
        <f t="shared" si="3"/>
        <v>0.88930301900857245</v>
      </c>
      <c r="E13" s="19">
        <f t="shared" si="3"/>
        <v>0.9161283376399656</v>
      </c>
      <c r="F13" s="19">
        <f t="shared" si="3"/>
        <v>0.84945571499257788</v>
      </c>
      <c r="G13" s="19">
        <f t="shared" si="3"/>
        <v>0.75101337657073364</v>
      </c>
      <c r="H13" s="19">
        <f t="shared" si="3"/>
        <v>0.97915852546567672</v>
      </c>
      <c r="I13" s="19">
        <f t="shared" si="3"/>
        <v>0.82145192936559841</v>
      </c>
      <c r="J13" s="3" t="s">
        <v>20</v>
      </c>
      <c r="L13" s="20"/>
      <c r="M13" s="160">
        <f>L9/L17</f>
        <v>0.85332623828647924</v>
      </c>
      <c r="P13" s="12"/>
      <c r="Q13" s="12"/>
      <c r="R13" s="85"/>
    </row>
    <row r="14" spans="1:18" ht="15.75" x14ac:dyDescent="0.25">
      <c r="A14" s="1" t="s">
        <v>30</v>
      </c>
      <c r="B14" s="21">
        <v>0</v>
      </c>
      <c r="C14" s="21">
        <v>0</v>
      </c>
      <c r="D14" s="21">
        <v>0</v>
      </c>
      <c r="E14" s="21">
        <v>0</v>
      </c>
      <c r="F14" s="21">
        <v>93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P14" s="12"/>
      <c r="Q14" s="12"/>
      <c r="R14" s="85"/>
    </row>
    <row r="15" spans="1:18" ht="15.75" x14ac:dyDescent="0.25">
      <c r="A15" s="1" t="s">
        <v>31</v>
      </c>
      <c r="B15" s="21">
        <f>B14*B11</f>
        <v>0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166.47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  <c r="P15" s="12"/>
      <c r="Q15" s="12"/>
      <c r="R15" s="85"/>
    </row>
    <row r="16" spans="1:18" ht="15.75" x14ac:dyDescent="0.25">
      <c r="A16" s="1" t="s">
        <v>17</v>
      </c>
      <c r="B16" s="7">
        <v>7254</v>
      </c>
      <c r="C16" s="7">
        <v>7683</v>
      </c>
      <c r="D16" s="7">
        <v>9544</v>
      </c>
      <c r="E16" s="7">
        <v>8509</v>
      </c>
      <c r="F16" s="161">
        <v>6867</v>
      </c>
      <c r="G16" s="7">
        <v>7411</v>
      </c>
      <c r="H16" s="7">
        <v>7517</v>
      </c>
      <c r="I16" s="7">
        <v>8792</v>
      </c>
      <c r="J16" s="3" t="s">
        <v>17</v>
      </c>
      <c r="L16" s="14"/>
      <c r="Q16" s="1"/>
    </row>
    <row r="17" spans="1:19" ht="15.75" x14ac:dyDescent="0.25">
      <c r="A17" s="1" t="s">
        <v>32</v>
      </c>
      <c r="B17" s="25">
        <v>8309</v>
      </c>
      <c r="C17" s="25">
        <v>10039</v>
      </c>
      <c r="D17" s="25">
        <v>10732</v>
      </c>
      <c r="E17" s="25">
        <v>9288</v>
      </c>
      <c r="F17" s="25">
        <v>8084</v>
      </c>
      <c r="G17" s="25">
        <v>9868</v>
      </c>
      <c r="H17" s="25">
        <v>7677</v>
      </c>
      <c r="I17" s="25">
        <v>10703</v>
      </c>
      <c r="J17" s="3" t="s">
        <v>18</v>
      </c>
      <c r="L17" s="14">
        <f>SUM(B17:I17)</f>
        <v>74700</v>
      </c>
      <c r="Q17" s="1"/>
    </row>
    <row r="18" spans="1:19" ht="19.5" x14ac:dyDescent="0.4">
      <c r="A18" s="1" t="s">
        <v>33</v>
      </c>
      <c r="B18" s="127">
        <f t="shared" ref="B18:I18" si="5">B16-B17</f>
        <v>-1055</v>
      </c>
      <c r="C18" s="127">
        <f t="shared" si="5"/>
        <v>-2356</v>
      </c>
      <c r="D18" s="127">
        <f t="shared" si="5"/>
        <v>-1188</v>
      </c>
      <c r="E18" s="127">
        <f t="shared" si="5"/>
        <v>-779</v>
      </c>
      <c r="F18" s="127">
        <f t="shared" si="5"/>
        <v>-1217</v>
      </c>
      <c r="G18" s="127">
        <f t="shared" si="5"/>
        <v>-2457</v>
      </c>
      <c r="H18" s="127">
        <f t="shared" si="5"/>
        <v>-160</v>
      </c>
      <c r="I18" s="162">
        <f t="shared" si="5"/>
        <v>-1911</v>
      </c>
      <c r="J18" s="27"/>
      <c r="K18" s="28"/>
      <c r="L18" s="14">
        <f>SUM(B18:I18)</f>
        <v>-11123</v>
      </c>
      <c r="M18" s="29"/>
      <c r="N18" s="28"/>
      <c r="O18" s="28"/>
      <c r="P18" s="29"/>
      <c r="Q18" s="29"/>
      <c r="R18" s="29"/>
      <c r="S18" s="29"/>
    </row>
    <row r="19" spans="1:19" x14ac:dyDescent="0.25">
      <c r="A19" s="1" t="s">
        <v>34</v>
      </c>
      <c r="B19" s="22" t="e">
        <f>SUM(#REF!+#REF!+[6]March!B19+[6]April!B19+[6]May!B19+[6]June!B19+[6]July!B19+'[6]August '!B19+[6]September!B19+[6]October!B19+[6]November!B19+[6]December!B19)</f>
        <v>#REF!</v>
      </c>
      <c r="C19" s="22" t="e">
        <f>SUM(#REF!+#REF!+[6]March!C19+[6]April!C19+[6]May!C19+[6]June!C19+[6]July!C19+'[6]August '!C19+[6]September!C19+[6]October!C19+[6]November!C19+[6]December!C19)</f>
        <v>#REF!</v>
      </c>
      <c r="D19" s="22" t="e">
        <f>SUM(#REF!+#REF!+[6]March!D19+[6]April!D19+[6]May!D19+[6]June!D19+[6]July!D19+'[6]August '!D19+[6]September!D19+[6]October!D19+[6]November!D19+[6]December!D19)</f>
        <v>#REF!</v>
      </c>
      <c r="E19" s="22" t="e">
        <f>SUM(#REF!+#REF!+[6]March!E19+[6]April!E19+[6]May!E19+[6]June!E19+[6]July!E19+'[6]August '!E19+[6]September!E19+[6]October!E19+[6]November!E19+[6]December!E19)</f>
        <v>#REF!</v>
      </c>
      <c r="F19" s="23" t="e">
        <f>SUM(#REF!+#REF!+[6]March!F19+[6]April!F19+[6]May!F19+[6]June!F19+[6]July!F19+'[6]August '!F19+[6]September!F19+[6]October!F19+[6]November!F19+[6]December!F19)</f>
        <v>#REF!</v>
      </c>
      <c r="G19" s="23" t="e">
        <f>SUM(#REF!+#REF!+[6]March!G19+[6]April!G19+[6]May!G19+[6]June!G19+[6]July!G19+'[6]August '!G19+[6]September!G19+[6]October!G19+[6]November!G19+[6]December!G19)</f>
        <v>#REF!</v>
      </c>
      <c r="H19" s="22" t="e">
        <f>SUM(#REF!+#REF!+[6]March!H19+[6]April!H19+[6]May!H19+[6]June!H19+[6]July!H19+'[6]August '!H19+[6]September!H19+[6]October!H19+[6]November!H19+[6]December!H19)</f>
        <v>#REF!</v>
      </c>
      <c r="I19" s="23" t="e">
        <f>SUM(#REF!+#REF!+[6]March!I19+[6]April!I19+[6]May!I19+[6]June!I19+[6]July!I19+'[6]August '!I19+[6]September!I19+[6]October!I19+[6]November!I19+[6]December!I19)</f>
        <v>#REF!</v>
      </c>
      <c r="J19" s="3"/>
      <c r="L19" s="24"/>
      <c r="Q19" s="1"/>
    </row>
    <row r="20" spans="1:19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9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  <c r="Q21" s="1"/>
    </row>
    <row r="22" spans="1:19" x14ac:dyDescent="0.25">
      <c r="A22" s="9" t="s">
        <v>13</v>
      </c>
      <c r="B22" s="10"/>
      <c r="C22" s="10" t="s">
        <v>236</v>
      </c>
      <c r="D22" s="10" t="s">
        <v>235</v>
      </c>
      <c r="E22" s="10" t="s">
        <v>236</v>
      </c>
      <c r="F22" s="10" t="s">
        <v>234</v>
      </c>
      <c r="G22" s="10" t="s">
        <v>236</v>
      </c>
      <c r="H22" s="10" t="s">
        <v>236</v>
      </c>
      <c r="I22" s="10" t="s">
        <v>236</v>
      </c>
      <c r="J22" s="3" t="s">
        <v>15</v>
      </c>
      <c r="Q22" s="1"/>
    </row>
    <row r="23" spans="1:19" ht="15.75" x14ac:dyDescent="0.25">
      <c r="A23" s="1" t="s">
        <v>16</v>
      </c>
      <c r="B23" s="11"/>
      <c r="C23" s="12">
        <f t="shared" ref="C23:I23" si="6">((1/C26)/0.0004)^(1/3)</f>
        <v>11.177954201819915</v>
      </c>
      <c r="D23" s="11">
        <f t="shared" si="6"/>
        <v>11.035932143766303</v>
      </c>
      <c r="E23" s="34">
        <f t="shared" si="6"/>
        <v>10.996658031710911</v>
      </c>
      <c r="F23" s="11">
        <f t="shared" si="6"/>
        <v>10.59839832948326</v>
      </c>
      <c r="G23" s="11">
        <f t="shared" si="6"/>
        <v>10.919755809203734</v>
      </c>
      <c r="H23" s="11">
        <f t="shared" si="6"/>
        <v>11.075773399575761</v>
      </c>
      <c r="I23" s="11">
        <f t="shared" si="6"/>
        <v>11.016225080149219</v>
      </c>
      <c r="J23" s="3" t="s">
        <v>16</v>
      </c>
      <c r="Q23" s="1"/>
    </row>
    <row r="24" spans="1:19" ht="15.75" x14ac:dyDescent="0.25">
      <c r="A24" s="9" t="s">
        <v>17</v>
      </c>
      <c r="B24" s="83"/>
      <c r="C24" s="165">
        <f t="shared" ref="C24:H24" si="7">C31+C30</f>
        <v>7043</v>
      </c>
      <c r="D24" s="83">
        <f t="shared" si="7"/>
        <v>7642</v>
      </c>
      <c r="E24" s="35">
        <f t="shared" si="7"/>
        <v>7297</v>
      </c>
      <c r="F24" s="15">
        <f t="shared" si="7"/>
        <v>6869</v>
      </c>
      <c r="G24" s="83">
        <f t="shared" si="7"/>
        <v>7481</v>
      </c>
      <c r="H24" s="83">
        <f t="shared" si="7"/>
        <v>7201</v>
      </c>
      <c r="I24" s="83">
        <f>I31+I30</f>
        <v>6301</v>
      </c>
      <c r="J24" s="3" t="s">
        <v>17</v>
      </c>
      <c r="L24" s="14">
        <f>SUM(C24:I24)</f>
        <v>49834</v>
      </c>
      <c r="M24" s="91"/>
      <c r="Q24" s="1"/>
    </row>
    <row r="25" spans="1:19" ht="15.75" x14ac:dyDescent="0.25">
      <c r="A25" s="1" t="s">
        <v>18</v>
      </c>
      <c r="B25" s="15" t="s">
        <v>45</v>
      </c>
      <c r="C25" s="14">
        <f t="shared" ref="C25:I25" si="8">C24/C26</f>
        <v>3934.63687150838</v>
      </c>
      <c r="D25" s="15">
        <f t="shared" si="8"/>
        <v>4108.6021505376339</v>
      </c>
      <c r="E25" s="35">
        <f t="shared" si="8"/>
        <v>3881.3829787234044</v>
      </c>
      <c r="F25" s="35">
        <f t="shared" si="8"/>
        <v>3270.9523809523807</v>
      </c>
      <c r="G25" s="35">
        <f t="shared" si="8"/>
        <v>3896.354166666667</v>
      </c>
      <c r="H25" s="35">
        <f t="shared" si="8"/>
        <v>3913.586956521739</v>
      </c>
      <c r="I25" s="35">
        <f t="shared" si="8"/>
        <v>3369.5187165775401</v>
      </c>
      <c r="J25" s="3" t="s">
        <v>18</v>
      </c>
      <c r="K25" s="179" t="s">
        <v>246</v>
      </c>
      <c r="L25" s="14">
        <f>SUM(C25:I25)</f>
        <v>26375.034221487746</v>
      </c>
      <c r="Q25" s="1"/>
    </row>
    <row r="26" spans="1:19" ht="15.75" x14ac:dyDescent="0.25">
      <c r="A26" s="9" t="s">
        <v>19</v>
      </c>
      <c r="B26" s="11"/>
      <c r="C26" s="166">
        <v>1.79</v>
      </c>
      <c r="D26" s="11">
        <v>1.86</v>
      </c>
      <c r="E26" s="34">
        <v>1.88</v>
      </c>
      <c r="F26" s="34">
        <v>2.1</v>
      </c>
      <c r="G26" s="11">
        <v>1.92</v>
      </c>
      <c r="H26" s="11">
        <v>1.84</v>
      </c>
      <c r="I26" s="11">
        <v>1.87</v>
      </c>
      <c r="J26" s="3" t="s">
        <v>19</v>
      </c>
      <c r="Q26" s="1"/>
    </row>
    <row r="27" spans="1:19" ht="15.75" x14ac:dyDescent="0.25">
      <c r="A27" s="1" t="s">
        <v>20</v>
      </c>
      <c r="B27" s="17"/>
      <c r="C27" s="167" t="s">
        <v>247</v>
      </c>
      <c r="D27" s="17" t="s">
        <v>248</v>
      </c>
      <c r="E27" s="36" t="s">
        <v>249</v>
      </c>
      <c r="F27" s="36" t="s">
        <v>250</v>
      </c>
      <c r="G27" s="17" t="s">
        <v>251</v>
      </c>
      <c r="H27" s="17" t="s">
        <v>252</v>
      </c>
      <c r="I27" s="17" t="s">
        <v>253</v>
      </c>
      <c r="J27" s="3" t="s">
        <v>20</v>
      </c>
      <c r="M27" s="160">
        <f>L24/L32</f>
        <v>0.79819967004628967</v>
      </c>
      <c r="Q27" s="1"/>
    </row>
    <row r="28" spans="1:19" ht="20.25" thickBot="1" x14ac:dyDescent="0.45">
      <c r="A28" s="1" t="s">
        <v>29</v>
      </c>
      <c r="B28" s="37"/>
      <c r="C28" s="168">
        <f t="shared" ref="C28:I28" si="9">C31/C32</f>
        <v>0.86544605554190224</v>
      </c>
      <c r="D28" s="19">
        <f t="shared" si="9"/>
        <v>0.92753974996965649</v>
      </c>
      <c r="E28" s="180">
        <f t="shared" si="9"/>
        <v>0.7372196403313801</v>
      </c>
      <c r="F28" s="19">
        <f t="shared" si="9"/>
        <v>0.92636547538772762</v>
      </c>
      <c r="G28" s="37">
        <f t="shared" si="9"/>
        <v>0.75764634393356289</v>
      </c>
      <c r="H28" s="37">
        <f t="shared" si="9"/>
        <v>0.72009999999999996</v>
      </c>
      <c r="I28" s="37">
        <f t="shared" si="9"/>
        <v>0.71045213665576723</v>
      </c>
      <c r="J28" s="3" t="s">
        <v>53</v>
      </c>
      <c r="Q28" s="1"/>
    </row>
    <row r="29" spans="1:19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>
        <v>0</v>
      </c>
      <c r="I29" s="8">
        <v>0</v>
      </c>
      <c r="J29" s="3" t="s">
        <v>30</v>
      </c>
      <c r="Q29" s="1"/>
    </row>
    <row r="30" spans="1:19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>
        <v>0</v>
      </c>
      <c r="I30" s="21">
        <f>(I26*I29)</f>
        <v>0</v>
      </c>
      <c r="J30" s="3" t="s">
        <v>31</v>
      </c>
      <c r="Q30" s="1"/>
    </row>
    <row r="31" spans="1:19" ht="15.75" x14ac:dyDescent="0.25">
      <c r="A31" s="9" t="s">
        <v>17</v>
      </c>
      <c r="B31" s="23"/>
      <c r="C31" s="23">
        <v>7043</v>
      </c>
      <c r="D31" s="23">
        <v>7642</v>
      </c>
      <c r="E31" s="23">
        <v>7297</v>
      </c>
      <c r="F31" s="23">
        <v>6869</v>
      </c>
      <c r="G31" s="23">
        <v>7481</v>
      </c>
      <c r="H31" s="23">
        <v>7201</v>
      </c>
      <c r="I31" s="23">
        <v>6301</v>
      </c>
      <c r="J31" s="3" t="s">
        <v>17</v>
      </c>
      <c r="M31" s="39"/>
      <c r="P31" s="39"/>
      <c r="Q31" s="39"/>
      <c r="R31" s="39"/>
      <c r="S31" s="39"/>
    </row>
    <row r="32" spans="1:19" ht="15.75" x14ac:dyDescent="0.25">
      <c r="A32" s="9" t="s">
        <v>32</v>
      </c>
      <c r="B32" s="25"/>
      <c r="C32" s="25">
        <v>8138</v>
      </c>
      <c r="D32" s="25">
        <v>8239</v>
      </c>
      <c r="E32" s="25">
        <v>9898</v>
      </c>
      <c r="F32" s="25">
        <v>7415</v>
      </c>
      <c r="G32" s="25">
        <v>9874</v>
      </c>
      <c r="H32" s="25">
        <v>10000</v>
      </c>
      <c r="I32" s="25">
        <v>8869</v>
      </c>
      <c r="J32" s="3" t="s">
        <v>18</v>
      </c>
      <c r="L32" s="14">
        <f>SUM(C32:I32)</f>
        <v>62433</v>
      </c>
      <c r="P32" s="181" t="s">
        <v>254</v>
      </c>
      <c r="Q32" s="181" t="s">
        <v>255</v>
      </c>
    </row>
    <row r="33" spans="1:19" ht="19.5" x14ac:dyDescent="0.4">
      <c r="A33" s="9" t="s">
        <v>33</v>
      </c>
      <c r="B33" s="127">
        <f t="shared" ref="B33:I33" si="11">B31-B32</f>
        <v>0</v>
      </c>
      <c r="C33" s="127">
        <f t="shared" si="11"/>
        <v>-1095</v>
      </c>
      <c r="D33" s="127">
        <f t="shared" si="11"/>
        <v>-597</v>
      </c>
      <c r="E33" s="127">
        <f t="shared" si="11"/>
        <v>-2601</v>
      </c>
      <c r="F33" s="162">
        <f t="shared" si="11"/>
        <v>-546</v>
      </c>
      <c r="G33" s="127">
        <f t="shared" si="11"/>
        <v>-2393</v>
      </c>
      <c r="H33" s="127">
        <f t="shared" si="11"/>
        <v>-2799</v>
      </c>
      <c r="I33" s="127">
        <f t="shared" si="11"/>
        <v>-2568</v>
      </c>
      <c r="J33" s="27"/>
      <c r="K33" s="28"/>
      <c r="L33" s="43">
        <f>SUM(B33:I33)</f>
        <v>-12599</v>
      </c>
      <c r="M33" s="28"/>
      <c r="N33" s="182" t="s">
        <v>218</v>
      </c>
      <c r="O33" s="182" t="s">
        <v>219</v>
      </c>
      <c r="P33" s="182" t="s">
        <v>237</v>
      </c>
      <c r="Q33" s="182" t="s">
        <v>256</v>
      </c>
      <c r="R33" s="28"/>
      <c r="S33" s="28"/>
    </row>
    <row r="34" spans="1:19" x14ac:dyDescent="0.25">
      <c r="A34" s="1" t="s">
        <v>34</v>
      </c>
      <c r="B34" s="22" t="e">
        <f>SUM(#REF!+#REF!+[6]March!B36+[6]April!B36+[6]May!B36+[6]June!B36+[6]July!B36+'[6]August '!B36+[6]September!B36+[6]October!B36+[6]November!B36+[6]December!B36)</f>
        <v>#REF!</v>
      </c>
      <c r="C34" s="22" t="e">
        <f>SUM(#REF!+#REF!+[6]March!C36+[6]April!C36+[6]May!C36+[6]June!C36+[6]July!C36+'[6]August '!C36+[6]September!C36+[6]October!C36+[6]November!C36+[6]December!C36)</f>
        <v>#REF!</v>
      </c>
      <c r="D34" s="22" t="e">
        <f>SUM(#REF!+#REF!+[6]March!D36+[6]April!D36+[6]May!D36+[6]June!D36+[6]July!D36+'[6]August '!D36+[6]September!D36+[6]October!D36+[6]November!D36+[6]December!D36)</f>
        <v>#REF!</v>
      </c>
      <c r="E34" s="22" t="e">
        <f>SUM(#REF!+#REF!+[6]March!E36+[6]April!E36+[6]May!E36+[6]June!E36+[6]July!E36+'[6]August '!E36+[6]September!E36+[6]October!E36+[6]November!E36+[6]December!E36)</f>
        <v>#REF!</v>
      </c>
      <c r="F34" s="23" t="e">
        <f>SUM(#REF!+#REF!+[6]March!F36+[6]April!F36+[6]May!F36+[6]June!F36+[6]July!F36+'[6]August '!F36+[6]September!F36+[6]October!F36+[6]November!F36+[6]December!F36)</f>
        <v>#REF!</v>
      </c>
      <c r="G34" s="22" t="e">
        <f>SUM(#REF!+#REF!+[6]March!G36+[6]April!G36+[6]May!G36+[6]June!G36+[6]July!G36+'[6]August '!G36+[6]September!G36+[6]October!G36+[6]November!G36+[6]December!G36)</f>
        <v>#REF!</v>
      </c>
      <c r="H34" s="22" t="e">
        <f>SUM(#REF!+#REF!+[6]March!H36+[6]April!H36+[6]May!H36+[6]June!H36+[6]July!H36+'[6]August '!H36+[6]September!H36+[6]October!H36+[6]November!H36+[6]December!H36)</f>
        <v>#REF!</v>
      </c>
      <c r="I34" s="22" t="e">
        <f>SUM(#REF!+#REF!+[6]March!I36+[6]April!I36+[6]May!I36+[6]June!I36+[6]July!I36+'[6]August '!I36+[6]September!I36+[6]October!I36+[6]November!I36+[6]December!I36)</f>
        <v>#REF!</v>
      </c>
      <c r="J34" s="3"/>
      <c r="N34" s="46">
        <f>SUM(L17,L32,L48,G64)</f>
        <v>194601</v>
      </c>
      <c r="O34" s="46">
        <f>SUM(L9,L24,L40,G63)</f>
        <v>164874.9</v>
      </c>
      <c r="P34" s="46">
        <f>SUM(L10,L25,L41,H63,G57)</f>
        <v>86855.842396450607</v>
      </c>
      <c r="Q34" s="93">
        <f>O34/P34</f>
        <v>1.8982591780922922</v>
      </c>
    </row>
    <row r="35" spans="1:19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  <c r="Q35" s="1"/>
    </row>
    <row r="36" spans="1:19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  <c r="Q36" s="1"/>
    </row>
    <row r="37" spans="1:19" ht="15.75" thickBot="1" x14ac:dyDescent="0.3">
      <c r="A37" s="1" t="s">
        <v>4</v>
      </c>
      <c r="B37" s="7" t="s">
        <v>55</v>
      </c>
      <c r="C37" s="6" t="s">
        <v>56</v>
      </c>
      <c r="D37" s="6" t="s">
        <v>57</v>
      </c>
      <c r="E37" s="6" t="s">
        <v>257</v>
      </c>
      <c r="F37" s="7" t="s">
        <v>258</v>
      </c>
      <c r="G37" s="7" t="s">
        <v>60</v>
      </c>
      <c r="H37" s="6" t="s">
        <v>61</v>
      </c>
      <c r="I37" s="7" t="s">
        <v>134</v>
      </c>
      <c r="J37" s="3" t="s">
        <v>4</v>
      </c>
      <c r="L37" s="1"/>
      <c r="M37" s="1"/>
      <c r="N37" s="170">
        <f>O34/N34</f>
        <v>0.84724590315568771</v>
      </c>
      <c r="O37" s="1" t="s">
        <v>220</v>
      </c>
      <c r="P37" s="1"/>
      <c r="Q37" s="1"/>
    </row>
    <row r="38" spans="1:19" x14ac:dyDescent="0.25">
      <c r="A38" s="9" t="s">
        <v>13</v>
      </c>
      <c r="B38" s="10"/>
      <c r="C38" s="10" t="s">
        <v>236</v>
      </c>
      <c r="D38" s="10" t="s">
        <v>235</v>
      </c>
      <c r="E38" s="10" t="s">
        <v>236</v>
      </c>
      <c r="F38" s="10" t="s">
        <v>236</v>
      </c>
      <c r="G38" s="10" t="s">
        <v>236</v>
      </c>
      <c r="H38" s="10" t="s">
        <v>236</v>
      </c>
      <c r="I38" s="10"/>
      <c r="J38" s="3" t="s">
        <v>15</v>
      </c>
      <c r="L38" s="1"/>
      <c r="M38" s="1"/>
      <c r="N38" s="1"/>
      <c r="O38" s="1"/>
      <c r="P38" s="1"/>
      <c r="Q38" s="1"/>
    </row>
    <row r="39" spans="1:19" ht="15.75" x14ac:dyDescent="0.25">
      <c r="A39" s="1" t="s">
        <v>16</v>
      </c>
      <c r="B39" s="11"/>
      <c r="C39" s="11">
        <f t="shared" ref="C39:H39" si="12">((1/C42)/0.0004)^(1/3)</f>
        <v>11.116196288530926</v>
      </c>
      <c r="D39" s="11">
        <f t="shared" si="12"/>
        <v>10.977229266805823</v>
      </c>
      <c r="E39" s="11">
        <f t="shared" si="12"/>
        <v>11.416778509907356</v>
      </c>
      <c r="F39" s="11">
        <f t="shared" si="12"/>
        <v>11.508853280601366</v>
      </c>
      <c r="G39" s="34">
        <f t="shared" si="12"/>
        <v>10.754279441383932</v>
      </c>
      <c r="H39" s="34">
        <f t="shared" si="12"/>
        <v>10.754279441383932</v>
      </c>
      <c r="I39" s="34"/>
      <c r="J39" s="3" t="s">
        <v>16</v>
      </c>
      <c r="L39" s="1"/>
      <c r="M39" s="1"/>
      <c r="N39" s="1"/>
      <c r="O39" s="1"/>
      <c r="P39" s="1"/>
      <c r="Q39" s="1"/>
    </row>
    <row r="40" spans="1:19" ht="15.75" x14ac:dyDescent="0.25">
      <c r="A40" s="1" t="s">
        <v>17</v>
      </c>
      <c r="B40" s="15"/>
      <c r="C40" s="15">
        <f t="shared" ref="C40:H40" si="13">C47+C46</f>
        <v>7966</v>
      </c>
      <c r="D40" s="15">
        <f t="shared" si="13"/>
        <v>8433</v>
      </c>
      <c r="E40" s="15">
        <f t="shared" si="13"/>
        <v>1823</v>
      </c>
      <c r="F40" s="15">
        <f t="shared" si="13"/>
        <v>1357</v>
      </c>
      <c r="G40" s="15">
        <f t="shared" si="13"/>
        <v>7835</v>
      </c>
      <c r="H40" s="15">
        <f t="shared" si="13"/>
        <v>7832.43</v>
      </c>
      <c r="I40" s="15"/>
      <c r="J40" s="3" t="s">
        <v>17</v>
      </c>
      <c r="L40" s="14">
        <f>SUM(C40:H40)</f>
        <v>35246.43</v>
      </c>
      <c r="M40" s="1"/>
      <c r="N40" s="1"/>
      <c r="O40" s="1"/>
      <c r="P40" s="1"/>
      <c r="Q40" s="1"/>
    </row>
    <row r="41" spans="1:19" ht="15.75" x14ac:dyDescent="0.25">
      <c r="A41" s="1" t="s">
        <v>18</v>
      </c>
      <c r="B41" s="15" t="s">
        <v>45</v>
      </c>
      <c r="C41" s="15">
        <f t="shared" ref="C41:H41" si="14">C40/C42</f>
        <v>4376.9230769230771</v>
      </c>
      <c r="D41" s="15">
        <f t="shared" si="14"/>
        <v>4461.9047619047624</v>
      </c>
      <c r="E41" s="15">
        <f t="shared" si="14"/>
        <v>1085.1190476190477</v>
      </c>
      <c r="F41" s="15">
        <f t="shared" si="14"/>
        <v>827.43902439024396</v>
      </c>
      <c r="G41" s="35">
        <f t="shared" si="14"/>
        <v>3898.0099502487565</v>
      </c>
      <c r="H41" s="35">
        <f t="shared" si="14"/>
        <v>3896.7313432835826</v>
      </c>
      <c r="I41" s="35"/>
      <c r="J41" s="3" t="s">
        <v>18</v>
      </c>
      <c r="L41" s="14">
        <f>SUM(C41:I41)</f>
        <v>18546.12720436947</v>
      </c>
      <c r="M41" s="1"/>
      <c r="N41" s="1"/>
      <c r="O41" s="1"/>
      <c r="P41" s="1"/>
      <c r="Q41" s="1"/>
    </row>
    <row r="42" spans="1:19" ht="15.75" x14ac:dyDescent="0.25">
      <c r="A42" s="1" t="s">
        <v>19</v>
      </c>
      <c r="B42" s="11"/>
      <c r="C42" s="11">
        <v>1.82</v>
      </c>
      <c r="D42" s="11">
        <v>1.89</v>
      </c>
      <c r="E42" s="101">
        <v>1.68</v>
      </c>
      <c r="F42" s="101">
        <v>1.64</v>
      </c>
      <c r="G42" s="11">
        <v>2.0099999999999998</v>
      </c>
      <c r="H42" s="11">
        <v>2.0099999999999998</v>
      </c>
      <c r="I42" s="11"/>
      <c r="J42" s="3" t="s">
        <v>19</v>
      </c>
      <c r="K42" s="1"/>
      <c r="L42" s="1"/>
      <c r="M42" s="1"/>
      <c r="N42" s="1"/>
      <c r="O42" s="1"/>
      <c r="P42" s="1"/>
      <c r="Q42" s="1"/>
    </row>
    <row r="43" spans="1:19" ht="15.75" x14ac:dyDescent="0.25">
      <c r="A43" s="1" t="s">
        <v>20</v>
      </c>
      <c r="B43" s="17"/>
      <c r="C43" s="17" t="s">
        <v>259</v>
      </c>
      <c r="D43" s="17" t="s">
        <v>260</v>
      </c>
      <c r="E43" s="17" t="s">
        <v>261</v>
      </c>
      <c r="F43" s="17" t="s">
        <v>262</v>
      </c>
      <c r="G43" s="17" t="s">
        <v>263</v>
      </c>
      <c r="H43" s="17" t="s">
        <v>264</v>
      </c>
      <c r="I43" s="17"/>
      <c r="J43" s="3" t="s">
        <v>20</v>
      </c>
      <c r="K43" s="1"/>
      <c r="L43" s="1"/>
      <c r="M43" s="160">
        <f>L40/L48</f>
        <v>0.93511700095510986</v>
      </c>
      <c r="N43" s="1"/>
      <c r="O43" s="1"/>
      <c r="P43" s="1"/>
      <c r="Q43" s="1"/>
    </row>
    <row r="44" spans="1:19" ht="20.25" thickBot="1" x14ac:dyDescent="0.45">
      <c r="A44" s="1" t="s">
        <v>29</v>
      </c>
      <c r="B44" s="37"/>
      <c r="C44" s="38">
        <f t="shared" ref="C44:H44" si="15">C47/C48</f>
        <v>0.94507058963103574</v>
      </c>
      <c r="D44" s="19">
        <f t="shared" si="15"/>
        <v>0.97525153232334916</v>
      </c>
      <c r="E44" s="19">
        <f t="shared" si="15"/>
        <v>0.94849115504682624</v>
      </c>
      <c r="F44" s="38">
        <f t="shared" si="15"/>
        <v>1.0795544948289579</v>
      </c>
      <c r="G44" s="19">
        <f t="shared" si="15"/>
        <v>0.91787722586691656</v>
      </c>
      <c r="H44" s="19">
        <f t="shared" si="15"/>
        <v>0.8702392989551736</v>
      </c>
      <c r="I44" s="37"/>
      <c r="J44" s="3" t="s">
        <v>53</v>
      </c>
      <c r="K44" s="1"/>
      <c r="L44" s="1"/>
      <c r="M44" s="1"/>
      <c r="N44" s="1"/>
      <c r="O44" s="1"/>
      <c r="P44" s="1"/>
      <c r="Q44" s="1"/>
    </row>
    <row r="45" spans="1:19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43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  <c r="Q45" s="1"/>
    </row>
    <row r="46" spans="1:19" x14ac:dyDescent="0.25">
      <c r="A46" s="1" t="s">
        <v>31</v>
      </c>
      <c r="B46" s="21">
        <f t="shared" ref="B46:I46" si="16">(B42*B45)</f>
        <v>0</v>
      </c>
      <c r="C46" s="21">
        <f t="shared" si="16"/>
        <v>0</v>
      </c>
      <c r="D46" s="21">
        <v>0</v>
      </c>
      <c r="E46" s="21">
        <f t="shared" si="16"/>
        <v>0</v>
      </c>
      <c r="F46" s="21"/>
      <c r="G46" s="21">
        <f t="shared" si="16"/>
        <v>0</v>
      </c>
      <c r="H46" s="21">
        <f t="shared" si="16"/>
        <v>86.429999999999993</v>
      </c>
      <c r="I46" s="21">
        <f t="shared" si="16"/>
        <v>0</v>
      </c>
      <c r="J46" s="3" t="s">
        <v>31</v>
      </c>
      <c r="K46" s="1"/>
      <c r="L46" s="1"/>
      <c r="M46" s="1"/>
      <c r="N46" s="1"/>
      <c r="O46" s="1"/>
      <c r="P46" s="1"/>
      <c r="Q46" s="1"/>
    </row>
    <row r="47" spans="1:19" ht="15.75" x14ac:dyDescent="0.25">
      <c r="A47" s="1" t="s">
        <v>17</v>
      </c>
      <c r="B47" s="22"/>
      <c r="C47" s="22">
        <v>7966</v>
      </c>
      <c r="D47" s="22">
        <v>8433</v>
      </c>
      <c r="E47" s="22">
        <v>1823</v>
      </c>
      <c r="F47" s="22">
        <v>1357</v>
      </c>
      <c r="G47" s="22">
        <v>7835</v>
      </c>
      <c r="H47" s="22">
        <v>7746</v>
      </c>
      <c r="I47" s="22"/>
      <c r="J47" s="3" t="s">
        <v>17</v>
      </c>
      <c r="K47" s="1"/>
      <c r="L47" s="14"/>
      <c r="M47" s="1"/>
      <c r="N47" s="1"/>
      <c r="O47" s="1"/>
      <c r="P47" s="1"/>
      <c r="Q47" s="1"/>
    </row>
    <row r="48" spans="1:19" ht="15.75" x14ac:dyDescent="0.25">
      <c r="A48" s="1" t="s">
        <v>32</v>
      </c>
      <c r="B48" s="25"/>
      <c r="C48" s="25">
        <v>8429</v>
      </c>
      <c r="D48" s="39">
        <v>8647</v>
      </c>
      <c r="E48" s="25">
        <v>1922</v>
      </c>
      <c r="F48" s="25">
        <v>1257</v>
      </c>
      <c r="G48" s="14">
        <v>8536</v>
      </c>
      <c r="H48" s="14">
        <v>8901</v>
      </c>
      <c r="I48" s="14"/>
      <c r="J48" s="3" t="s">
        <v>18</v>
      </c>
      <c r="K48" s="1"/>
      <c r="L48" s="14">
        <f>SUM(C48:H48)</f>
        <v>37692</v>
      </c>
      <c r="M48" s="39"/>
      <c r="N48" s="39"/>
      <c r="O48" s="39"/>
      <c r="P48" s="39"/>
      <c r="Q48" s="39"/>
      <c r="R48" s="39"/>
      <c r="S48" s="39"/>
    </row>
    <row r="49" spans="1:19" ht="19.5" x14ac:dyDescent="0.4">
      <c r="A49" s="1" t="s">
        <v>33</v>
      </c>
      <c r="B49" s="41">
        <f t="shared" ref="B49:I49" si="17">B47-B48</f>
        <v>0</v>
      </c>
      <c r="C49" s="41">
        <f t="shared" si="17"/>
        <v>-463</v>
      </c>
      <c r="D49" s="41">
        <f t="shared" si="17"/>
        <v>-214</v>
      </c>
      <c r="E49" s="41">
        <f t="shared" si="17"/>
        <v>-99</v>
      </c>
      <c r="F49" s="41">
        <f t="shared" si="17"/>
        <v>100</v>
      </c>
      <c r="G49" s="41">
        <f t="shared" si="17"/>
        <v>-701</v>
      </c>
      <c r="H49" s="41">
        <f t="shared" si="17"/>
        <v>-1155</v>
      </c>
      <c r="I49" s="41">
        <f t="shared" si="17"/>
        <v>0</v>
      </c>
      <c r="J49" s="27"/>
      <c r="K49" s="45"/>
      <c r="L49" s="14">
        <f>SUM(B49:I49)</f>
        <v>-2532</v>
      </c>
      <c r="M49" s="45"/>
      <c r="N49" s="45"/>
      <c r="O49" s="45"/>
      <c r="P49" s="45"/>
      <c r="Q49" s="45"/>
      <c r="R49" s="28"/>
      <c r="S49" s="28"/>
    </row>
    <row r="50" spans="1:19" x14ac:dyDescent="0.25">
      <c r="A50" s="1" t="s">
        <v>34</v>
      </c>
      <c r="B50" s="22" t="e">
        <f>SUM(#REF!+#REF!+[6]March!B53+[6]April!B53+[6]May!B53+[6]June!B53+[6]July!B53+'[6]August '!B53+[6]September!B53+[6]October!B53+[6]November!B53+[6]December!B53)</f>
        <v>#REF!</v>
      </c>
      <c r="C50" s="22" t="e">
        <f>SUM(#REF!+#REF!+[6]March!C53+[6]April!C53+[6]May!C53+[6]June!C53+[6]July!C53+'[6]August '!C53+[6]September!C53+[6]October!C53+[6]November!C53+[6]December!C53)</f>
        <v>#REF!</v>
      </c>
      <c r="D50" s="22" t="e">
        <f>SUM(#REF!+#REF!+[6]March!D53+[6]April!D53+[6]May!D53+[6]June!D53+[6]July!D53+'[6]August '!D53+[6]September!D53+[6]October!D53+[6]November!D53+[6]December!D53)</f>
        <v>#REF!</v>
      </c>
      <c r="E50" s="22" t="e">
        <f>SUM(#REF!+#REF!+[6]March!E53+[6]April!E53+[6]May!E53+[6]June!E53+[6]July!E53+'[6]August '!E53+[6]September!E53+[6]October!E53+[6]November!E53+[6]December!E53)</f>
        <v>#REF!</v>
      </c>
      <c r="F50" s="22" t="e">
        <f>SUM(#REF!+#REF!+[6]March!F53+[6]April!F53+[6]May!F53+[6]June!F53+[6]July!F53+'[6]August '!F53+[6]September!F53+[6]October!F53+[6]November!F53+[6]December!F53)</f>
        <v>#REF!</v>
      </c>
      <c r="G50" s="22" t="e">
        <f>SUM(#REF!+#REF!+[6]March!G53+[6]April!G53+[6]May!G53+[6]June!G53+[6]July!G53+'[6]August '!G53+[6]September!G53+[6]October!G53+[6]November!G53+[6]December!G53)</f>
        <v>#REF!</v>
      </c>
      <c r="H50" s="22" t="e">
        <f>SUM(#REF!+#REF!+[6]March!H53+[6]April!H53+[6]May!H53+[6]June!H53+[6]July!H53+'[6]August '!H53+[6]September!H53+[6]October!H53+[6]November!H53+[6]December!H53)</f>
        <v>#REF!</v>
      </c>
      <c r="I50" s="22" t="e">
        <f>SUM(#REF!+#REF!+[6]March!I53+[6]April!I53+[6]May!I53+[6]June!I53+[6]July!I53+'[6]August '!I53+[6]September!I53+[6]October!I53+[6]November!I53+[6]December!I53)</f>
        <v>#REF!</v>
      </c>
      <c r="J50" s="3"/>
      <c r="K50" s="1"/>
      <c r="L50" s="1"/>
      <c r="M50" s="1"/>
      <c r="N50" s="1"/>
      <c r="O50" s="1"/>
      <c r="P50" s="1"/>
      <c r="Q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</row>
    <row r="52" spans="1:19" x14ac:dyDescent="0.25">
      <c r="A52" s="1"/>
      <c r="C52" s="1"/>
      <c r="D52" s="1"/>
      <c r="E52" s="1"/>
      <c r="F52" s="1"/>
      <c r="H52" s="1"/>
      <c r="I52" s="6" t="s">
        <v>227</v>
      </c>
      <c r="J52" s="3"/>
      <c r="K52" s="1"/>
      <c r="L52" s="70"/>
      <c r="M52" s="70"/>
      <c r="N52" s="70"/>
      <c r="O52" s="1"/>
      <c r="P52" s="1"/>
      <c r="Q52" s="1"/>
    </row>
    <row r="53" spans="1:19" ht="16.5" thickBot="1" x14ac:dyDescent="0.3">
      <c r="A53" s="1"/>
      <c r="B53" s="1"/>
      <c r="C53" s="1"/>
      <c r="D53" s="1" t="s">
        <v>70</v>
      </c>
      <c r="E53" s="7" t="s">
        <v>135</v>
      </c>
      <c r="F53" s="7" t="s">
        <v>71</v>
      </c>
      <c r="G53" s="6" t="s">
        <v>72</v>
      </c>
      <c r="H53" s="49"/>
      <c r="I53" s="50" t="s">
        <v>73</v>
      </c>
      <c r="J53" s="50" t="s">
        <v>74</v>
      </c>
      <c r="K53" s="50" t="s">
        <v>75</v>
      </c>
      <c r="L53" s="70"/>
      <c r="M53" s="70"/>
      <c r="N53" s="70"/>
      <c r="O53" s="1"/>
      <c r="P53" s="1"/>
    </row>
    <row r="54" spans="1:19" x14ac:dyDescent="0.25">
      <c r="A54" s="1"/>
      <c r="B54" s="1"/>
      <c r="C54" s="1"/>
      <c r="D54" s="1" t="s">
        <v>15</v>
      </c>
      <c r="E54" s="10"/>
      <c r="F54" s="163" t="s">
        <v>228</v>
      </c>
      <c r="G54" s="10" t="s">
        <v>176</v>
      </c>
      <c r="H54" s="3" t="s">
        <v>77</v>
      </c>
      <c r="I54" s="22"/>
      <c r="J54" s="51"/>
      <c r="K54" s="52"/>
      <c r="L54" s="173"/>
      <c r="M54" s="174"/>
      <c r="N54" s="174"/>
      <c r="O54" s="1"/>
    </row>
    <row r="55" spans="1:19" ht="15.75" x14ac:dyDescent="0.25">
      <c r="A55" s="1"/>
      <c r="B55" s="1"/>
      <c r="C55" s="1"/>
      <c r="D55" s="1" t="s">
        <v>16</v>
      </c>
      <c r="E55" s="11" t="e">
        <f>((1/E58)/0.0004)^(1/3)</f>
        <v>#DIV/0!</v>
      </c>
      <c r="F55" s="166"/>
      <c r="G55" s="11">
        <f>((1/G58)/0.0004)^(1/3)</f>
        <v>10.919755809203734</v>
      </c>
      <c r="H55" s="3" t="s">
        <v>78</v>
      </c>
      <c r="I55" s="22"/>
      <c r="J55" s="51"/>
      <c r="K55" s="52"/>
      <c r="L55" s="175"/>
      <c r="M55" s="176"/>
      <c r="N55" s="176"/>
      <c r="O55" s="1"/>
    </row>
    <row r="56" spans="1:19" ht="15.75" x14ac:dyDescent="0.25">
      <c r="A56" s="1"/>
      <c r="B56" s="1"/>
      <c r="C56" s="1"/>
      <c r="D56" s="1" t="s">
        <v>17</v>
      </c>
      <c r="E56" s="83"/>
      <c r="F56" s="165">
        <v>263</v>
      </c>
      <c r="G56" s="83">
        <f>G63+G62</f>
        <v>16051</v>
      </c>
      <c r="H56" s="3" t="s">
        <v>125</v>
      </c>
      <c r="I56" s="22"/>
      <c r="J56" s="51"/>
      <c r="K56" s="52"/>
      <c r="L56" s="175"/>
      <c r="M56" s="176"/>
      <c r="N56" s="176"/>
      <c r="O56" s="1"/>
    </row>
    <row r="57" spans="1:19" ht="15.75" x14ac:dyDescent="0.25">
      <c r="D57" s="1" t="s">
        <v>18</v>
      </c>
      <c r="E57" s="15" t="e">
        <f>E56/E58</f>
        <v>#DIV/0!</v>
      </c>
      <c r="F57" s="183"/>
      <c r="G57" s="35">
        <f>G56/G58</f>
        <v>8359.8958333333339</v>
      </c>
      <c r="H57" s="3" t="s">
        <v>125</v>
      </c>
      <c r="I57" s="22"/>
      <c r="J57" s="51"/>
      <c r="K57" s="52"/>
      <c r="L57" s="173"/>
      <c r="M57" s="174"/>
      <c r="N57" s="174"/>
      <c r="O57" s="1"/>
    </row>
    <row r="58" spans="1:19" ht="15.75" x14ac:dyDescent="0.25">
      <c r="D58" s="1" t="s">
        <v>19</v>
      </c>
      <c r="E58" s="11"/>
      <c r="F58" s="166"/>
      <c r="G58" s="11">
        <v>1.92</v>
      </c>
      <c r="H58" s="3" t="s">
        <v>81</v>
      </c>
      <c r="I58" s="22"/>
      <c r="J58" s="51"/>
      <c r="K58" s="52"/>
      <c r="L58" s="177"/>
      <c r="M58" s="178"/>
      <c r="N58" s="178"/>
      <c r="O58" s="1"/>
    </row>
    <row r="59" spans="1:19" ht="15.75" x14ac:dyDescent="0.25">
      <c r="D59" s="1" t="s">
        <v>20</v>
      </c>
      <c r="E59" s="17"/>
      <c r="F59" s="167"/>
      <c r="G59" s="17" t="s">
        <v>265</v>
      </c>
      <c r="H59" s="122" t="s">
        <v>83</v>
      </c>
      <c r="I59" s="54">
        <v>5298</v>
      </c>
      <c r="J59" s="55">
        <v>2.19</v>
      </c>
      <c r="K59" s="95">
        <f>I59/J59</f>
        <v>2419.178082191781</v>
      </c>
      <c r="L59" s="177"/>
      <c r="M59" s="178"/>
      <c r="N59" s="178"/>
      <c r="O59" s="1"/>
    </row>
    <row r="60" spans="1:19" ht="20.25" thickBot="1" x14ac:dyDescent="0.45">
      <c r="D60" s="1" t="s">
        <v>29</v>
      </c>
      <c r="E60" s="37" t="s">
        <v>3</v>
      </c>
      <c r="F60" s="184" t="e">
        <f>F63/F64</f>
        <v>#DIV/0!</v>
      </c>
      <c r="G60" s="19">
        <f>G63/G64</f>
        <v>0.81164037216828477</v>
      </c>
      <c r="H60" s="122" t="s">
        <v>266</v>
      </c>
      <c r="I60" s="76">
        <v>9253</v>
      </c>
      <c r="J60" s="97">
        <v>1.92</v>
      </c>
      <c r="K60" s="98">
        <f>I60/J60</f>
        <v>4819.2708333333339</v>
      </c>
      <c r="L60" s="177"/>
      <c r="M60" s="178"/>
      <c r="N60" s="178"/>
      <c r="O60" s="1"/>
    </row>
    <row r="61" spans="1:19" ht="15.75" x14ac:dyDescent="0.25">
      <c r="D61" s="1" t="s">
        <v>84</v>
      </c>
      <c r="F61" s="20">
        <v>0</v>
      </c>
      <c r="G61" s="20">
        <v>0</v>
      </c>
      <c r="H61" s="3" t="s">
        <v>127</v>
      </c>
      <c r="I61" s="54">
        <f>SUM(I54:I60)</f>
        <v>14551</v>
      </c>
      <c r="J61" s="6"/>
      <c r="K61" s="54" t="s">
        <v>267</v>
      </c>
      <c r="L61" s="1"/>
      <c r="M61" s="1"/>
      <c r="N61" s="1"/>
      <c r="O61" s="1"/>
    </row>
    <row r="62" spans="1:19" ht="15.75" x14ac:dyDescent="0.25">
      <c r="D62" s="1" t="s">
        <v>86</v>
      </c>
      <c r="E62" s="20"/>
      <c r="F62" s="20">
        <v>0</v>
      </c>
      <c r="G62" s="20">
        <v>0</v>
      </c>
      <c r="H62" s="1" t="s">
        <v>32</v>
      </c>
      <c r="I62" s="157"/>
      <c r="J62" s="1"/>
      <c r="K62" s="52"/>
      <c r="L62" s="60" t="e">
        <f>I61/K61</f>
        <v>#VALUE!</v>
      </c>
      <c r="M62" s="1"/>
      <c r="N62" s="1"/>
      <c r="O62" s="1"/>
    </row>
    <row r="63" spans="1:19" ht="19.5" x14ac:dyDescent="0.4">
      <c r="D63" s="1" t="s">
        <v>17</v>
      </c>
      <c r="E63" s="23"/>
      <c r="F63" s="23"/>
      <c r="G63" s="22">
        <v>16051</v>
      </c>
      <c r="H63" s="1" t="s">
        <v>29</v>
      </c>
      <c r="I63" s="154" t="e">
        <f>I61/I62</f>
        <v>#DIV/0!</v>
      </c>
      <c r="J63" s="64"/>
      <c r="L63" s="1"/>
      <c r="M63" s="1"/>
      <c r="N63" s="1"/>
      <c r="O63" s="1"/>
      <c r="P63" s="1"/>
    </row>
    <row r="64" spans="1:19" ht="15.75" x14ac:dyDescent="0.25">
      <c r="D64" s="1" t="s">
        <v>32</v>
      </c>
      <c r="E64" s="158"/>
      <c r="F64" s="39"/>
      <c r="G64" s="14">
        <v>19776</v>
      </c>
      <c r="H64" s="1"/>
      <c r="I64" s="3"/>
      <c r="J64" s="1"/>
      <c r="K64" s="1"/>
      <c r="L64" s="1"/>
      <c r="M64" s="1"/>
      <c r="N64" s="1"/>
      <c r="O64" s="1"/>
      <c r="P64" s="1"/>
    </row>
    <row r="65" spans="1:17" ht="19.5" x14ac:dyDescent="0.4">
      <c r="D65" s="1" t="s">
        <v>88</v>
      </c>
      <c r="E65" s="26"/>
      <c r="F65" s="159"/>
      <c r="G65" s="127">
        <f>G63-G64</f>
        <v>-3725</v>
      </c>
      <c r="H65" s="1"/>
      <c r="I65" s="1"/>
      <c r="J65" s="3"/>
      <c r="K65" s="1"/>
      <c r="L65" s="1"/>
      <c r="M65" s="1"/>
      <c r="N65" s="1"/>
      <c r="O65" s="1"/>
      <c r="P65" s="1"/>
    </row>
    <row r="66" spans="1:17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7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  <c r="Q67" s="1"/>
    </row>
    <row r="68" spans="1:17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  <c r="Q68" s="1"/>
    </row>
    <row r="69" spans="1:17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  <c r="Q69" s="1"/>
    </row>
    <row r="70" spans="1:17" x14ac:dyDescent="0.25">
      <c r="D70" s="1"/>
      <c r="E70" s="22"/>
      <c r="F70" s="22"/>
      <c r="G70" s="22"/>
      <c r="J70" s="33"/>
      <c r="L70" s="1"/>
      <c r="M70" s="1"/>
      <c r="N70" s="1"/>
      <c r="O70" s="1"/>
      <c r="P70" s="1"/>
      <c r="Q70" s="1"/>
    </row>
    <row r="71" spans="1:17" x14ac:dyDescent="0.25">
      <c r="D71" s="1"/>
      <c r="E71" s="51"/>
      <c r="F71" s="51"/>
      <c r="G71" s="51"/>
      <c r="M71" s="1"/>
      <c r="N71" s="1"/>
      <c r="O71" s="1"/>
      <c r="P71" s="1"/>
      <c r="Q71" s="1"/>
    </row>
    <row r="72" spans="1:17" ht="15.75" thickBot="1" x14ac:dyDescent="0.3">
      <c r="A72" s="1"/>
      <c r="B72" s="1"/>
      <c r="C72" s="1"/>
      <c r="D72" s="1"/>
      <c r="E72" s="1"/>
      <c r="F72" s="1"/>
      <c r="G72" s="1"/>
      <c r="P72" s="1"/>
      <c r="Q72" s="1"/>
    </row>
    <row r="73" spans="1:17" ht="15.75" thickBot="1" x14ac:dyDescent="0.3">
      <c r="D73" s="65"/>
      <c r="E73" s="66"/>
      <c r="F73" s="66"/>
      <c r="G73" s="66"/>
      <c r="M73" s="1"/>
      <c r="N73" s="1"/>
    </row>
    <row r="74" spans="1:17" x14ac:dyDescent="0.25">
      <c r="D74" s="68" t="s">
        <v>89</v>
      </c>
      <c r="E74" s="69"/>
      <c r="F74" s="70"/>
      <c r="G74" s="71" t="s">
        <v>90</v>
      </c>
      <c r="H74" s="67"/>
    </row>
    <row r="75" spans="1:17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2"/>
    </row>
    <row r="76" spans="1:17" x14ac:dyDescent="0.25">
      <c r="D76" s="73" t="s">
        <v>18</v>
      </c>
      <c r="E76" s="54">
        <f>SUM(B10:I10,B25:D25,F22,H25,B41:D41,H41)</f>
        <v>58267.170297939236</v>
      </c>
      <c r="F76" s="70"/>
      <c r="G76" s="70" t="s">
        <v>18</v>
      </c>
      <c r="H76" s="74">
        <f>SUM(F56)</f>
        <v>263</v>
      </c>
      <c r="J76" s="33"/>
    </row>
    <row r="77" spans="1:17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7" ht="15.75" thickBot="1" x14ac:dyDescent="0.3">
      <c r="H78" s="78">
        <f>B66</f>
        <v>0</v>
      </c>
      <c r="J78" s="33"/>
    </row>
    <row r="79" spans="1:17" x14ac:dyDescent="0.25">
      <c r="D79" s="65" t="s">
        <v>91</v>
      </c>
      <c r="E79" s="66"/>
      <c r="F79" s="66"/>
      <c r="G79" s="79"/>
      <c r="H79" s="1"/>
      <c r="J79" s="33"/>
    </row>
    <row r="80" spans="1:17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>
        <f>SUM(E76,H77)</f>
        <v>58267.170297939236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-26254</v>
      </c>
      <c r="J82" s="33"/>
    </row>
    <row r="83" spans="1:10" x14ac:dyDescent="0.25">
      <c r="J83" s="33"/>
    </row>
    <row r="84" spans="1:10" x14ac:dyDescent="0.25">
      <c r="J84" s="33"/>
    </row>
    <row r="85" spans="1:10" x14ac:dyDescent="0.25">
      <c r="J85" s="33"/>
    </row>
    <row r="86" spans="1:10" x14ac:dyDescent="0.25">
      <c r="J86" s="33"/>
    </row>
    <row r="87" spans="1:10" x14ac:dyDescent="0.25">
      <c r="J87" s="33"/>
    </row>
  </sheetData>
  <mergeCells count="1">
    <mergeCell ref="D74:E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7245-9882-4A2D-8EEC-17BE5451E53F}">
  <dimension ref="A1:R83"/>
  <sheetViews>
    <sheetView workbookViewId="0">
      <selection activeCell="O3" sqref="O3"/>
    </sheetView>
  </sheetViews>
  <sheetFormatPr defaultRowHeight="15" x14ac:dyDescent="0.25"/>
  <cols>
    <col min="1" max="1" width="13.5703125" bestFit="1" customWidth="1"/>
    <col min="2" max="2" width="14" bestFit="1" customWidth="1"/>
    <col min="3" max="3" width="15.28515625" bestFit="1" customWidth="1"/>
    <col min="4" max="4" width="13.5703125" customWidth="1"/>
    <col min="5" max="5" width="13.42578125" customWidth="1"/>
    <col min="6" max="7" width="14.140625" customWidth="1"/>
    <col min="8" max="8" width="13.140625" customWidth="1"/>
    <col min="9" max="9" width="12.7109375" customWidth="1"/>
    <col min="10" max="10" width="10.85546875" bestFit="1" customWidth="1"/>
  </cols>
  <sheetData>
    <row r="1" spans="1:18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  <c r="Q1" s="1"/>
    </row>
    <row r="2" spans="1:18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  <c r="Q2" s="1"/>
    </row>
    <row r="3" spans="1:18" ht="18" x14ac:dyDescent="0.25">
      <c r="A3" s="1"/>
      <c r="B3" s="1"/>
      <c r="C3" s="1"/>
      <c r="D3" s="1"/>
      <c r="E3" s="4" t="s">
        <v>268</v>
      </c>
      <c r="F3" s="1"/>
      <c r="G3" s="1"/>
      <c r="H3" s="5"/>
      <c r="J3" s="3"/>
      <c r="K3" s="1"/>
      <c r="L3" s="1"/>
      <c r="P3" s="1"/>
      <c r="Q3" s="1"/>
    </row>
    <row r="4" spans="1:18" x14ac:dyDescent="0.25">
      <c r="A4" s="1"/>
      <c r="B4" s="1"/>
      <c r="C4" s="1"/>
      <c r="D4" s="1"/>
      <c r="E4" s="1"/>
      <c r="F4" s="1"/>
      <c r="G4" s="1" t="s">
        <v>3</v>
      </c>
      <c r="H4" s="1"/>
      <c r="I4" s="1">
        <v>2.06</v>
      </c>
      <c r="J4" s="3"/>
      <c r="K4" s="1"/>
      <c r="L4" s="1"/>
      <c r="P4" s="1"/>
      <c r="Q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  <c r="Q5" s="1"/>
    </row>
    <row r="6" spans="1:18" ht="15.75" thickBot="1" x14ac:dyDescent="0.3">
      <c r="A6" s="1" t="s">
        <v>4</v>
      </c>
      <c r="B6" s="6" t="s">
        <v>5</v>
      </c>
      <c r="C6" s="6" t="s">
        <v>6</v>
      </c>
      <c r="D6" s="7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6" t="s">
        <v>12</v>
      </c>
      <c r="J6" s="3" t="s">
        <v>4</v>
      </c>
      <c r="K6" s="8"/>
      <c r="L6" s="1"/>
      <c r="P6" s="1"/>
      <c r="Q6" s="1"/>
    </row>
    <row r="7" spans="1:18" x14ac:dyDescent="0.25">
      <c r="A7" s="9" t="s">
        <v>13</v>
      </c>
      <c r="B7" s="10" t="s">
        <v>235</v>
      </c>
      <c r="C7" s="10" t="s">
        <v>234</v>
      </c>
      <c r="D7" s="10" t="s">
        <v>235</v>
      </c>
      <c r="E7" s="10" t="s">
        <v>236</v>
      </c>
      <c r="F7" s="10" t="s">
        <v>236</v>
      </c>
      <c r="G7" s="10" t="s">
        <v>236</v>
      </c>
      <c r="H7" s="10" t="s">
        <v>234</v>
      </c>
      <c r="I7" s="10" t="s">
        <v>235</v>
      </c>
      <c r="J7" s="3" t="s">
        <v>15</v>
      </c>
      <c r="K7" s="8"/>
      <c r="L7" s="1"/>
      <c r="M7" s="1"/>
      <c r="P7" s="1"/>
      <c r="Q7" s="1"/>
    </row>
    <row r="8" spans="1:18" ht="15.75" x14ac:dyDescent="0.25">
      <c r="A8" s="1" t="s">
        <v>16</v>
      </c>
      <c r="B8" s="11">
        <f>((1/B11)/0.0004)^(1/3)</f>
        <v>10.666557105131394</v>
      </c>
      <c r="C8" s="11">
        <f t="shared" ref="C8:I8" si="0">((1/C11)/0.0004)^(1/3)</f>
        <v>10.772173450159416</v>
      </c>
      <c r="D8" s="11">
        <f t="shared" si="0"/>
        <v>10.86346740846674</v>
      </c>
      <c r="E8" s="11">
        <f t="shared" si="0"/>
        <v>11.116196288530926</v>
      </c>
      <c r="F8" s="12">
        <f t="shared" si="0"/>
        <v>10.615274788449538</v>
      </c>
      <c r="G8" s="11">
        <f t="shared" si="0"/>
        <v>11.035932143766303</v>
      </c>
      <c r="H8" s="12">
        <f t="shared" si="0"/>
        <v>10.736503740482833</v>
      </c>
      <c r="I8" s="11">
        <f t="shared" si="0"/>
        <v>10.754279441383932</v>
      </c>
      <c r="J8" s="3" t="s">
        <v>16</v>
      </c>
      <c r="K8" s="12"/>
      <c r="L8" s="1"/>
      <c r="M8" s="1"/>
      <c r="P8" s="1"/>
      <c r="Q8" s="1"/>
    </row>
    <row r="9" spans="1:18" ht="15.75" x14ac:dyDescent="0.25">
      <c r="A9" s="9" t="s">
        <v>17</v>
      </c>
      <c r="B9" s="83">
        <f>B16+B15</f>
        <v>9880</v>
      </c>
      <c r="C9" s="83">
        <f t="shared" ref="C9:I9" si="1">C16+C15</f>
        <v>9653</v>
      </c>
      <c r="D9" s="83">
        <f t="shared" si="1"/>
        <v>4808</v>
      </c>
      <c r="E9" s="83">
        <f t="shared" si="1"/>
        <v>8337</v>
      </c>
      <c r="F9" s="83">
        <f t="shared" si="1"/>
        <v>9750.3700000000008</v>
      </c>
      <c r="G9" s="83">
        <f t="shared" si="1"/>
        <v>7830</v>
      </c>
      <c r="H9" s="83">
        <f t="shared" si="1"/>
        <v>8207</v>
      </c>
      <c r="I9" s="15">
        <f t="shared" si="1"/>
        <v>9533</v>
      </c>
      <c r="J9" s="3" t="s">
        <v>17</v>
      </c>
      <c r="L9" s="14">
        <f>SUM(B9:I9)</f>
        <v>67998.37</v>
      </c>
      <c r="M9" s="84"/>
      <c r="P9" s="8"/>
      <c r="Q9" s="8"/>
      <c r="R9" s="85"/>
    </row>
    <row r="10" spans="1:18" ht="15.75" x14ac:dyDescent="0.25">
      <c r="A10" s="1" t="s">
        <v>18</v>
      </c>
      <c r="B10" s="15">
        <f>B9/B11</f>
        <v>4796.1165048543689</v>
      </c>
      <c r="C10" s="15">
        <f>C9/C11</f>
        <v>4826.5</v>
      </c>
      <c r="D10" s="14">
        <f t="shared" ref="D10:I10" si="2">D9/D11</f>
        <v>2465.6410256410259</v>
      </c>
      <c r="E10" s="15">
        <f t="shared" si="2"/>
        <v>4580.7692307692305</v>
      </c>
      <c r="F10" s="14">
        <f t="shared" si="2"/>
        <v>4665.2488038277515</v>
      </c>
      <c r="G10" s="15">
        <f t="shared" si="2"/>
        <v>4209.6774193548381</v>
      </c>
      <c r="H10" s="14">
        <f t="shared" si="2"/>
        <v>4062.871287128713</v>
      </c>
      <c r="I10" s="15">
        <f t="shared" si="2"/>
        <v>4742.7860696517419</v>
      </c>
      <c r="J10" s="3" t="s">
        <v>18</v>
      </c>
      <c r="K10" s="179" t="s">
        <v>237</v>
      </c>
      <c r="L10" s="14">
        <f>SUM(B10:I10)</f>
        <v>34349.610341227672</v>
      </c>
      <c r="M10" s="16"/>
      <c r="P10" s="16"/>
      <c r="Q10" s="16"/>
      <c r="R10" s="85"/>
    </row>
    <row r="11" spans="1:18" ht="15.75" x14ac:dyDescent="0.25">
      <c r="A11" s="9" t="s">
        <v>19</v>
      </c>
      <c r="B11" s="116">
        <v>2.06</v>
      </c>
      <c r="C11" s="116">
        <v>2</v>
      </c>
      <c r="D11" s="185">
        <v>1.95</v>
      </c>
      <c r="E11" s="116">
        <v>1.82</v>
      </c>
      <c r="F11" s="185">
        <v>2.09</v>
      </c>
      <c r="G11" s="116">
        <v>1.86</v>
      </c>
      <c r="H11" s="185">
        <v>2.02</v>
      </c>
      <c r="I11" s="116">
        <v>2.0099999999999998</v>
      </c>
      <c r="J11" s="3" t="s">
        <v>19</v>
      </c>
      <c r="L11" s="12"/>
      <c r="M11" s="8"/>
      <c r="P11" s="8"/>
      <c r="Q11" s="8"/>
      <c r="R11" s="85"/>
    </row>
    <row r="12" spans="1:18" ht="15.75" x14ac:dyDescent="0.25">
      <c r="A12" s="1" t="s">
        <v>20</v>
      </c>
      <c r="B12" s="17" t="s">
        <v>269</v>
      </c>
      <c r="C12" s="17" t="s">
        <v>270</v>
      </c>
      <c r="D12" s="87" t="s">
        <v>271</v>
      </c>
      <c r="E12" s="17" t="s">
        <v>272</v>
      </c>
      <c r="F12" s="87" t="s">
        <v>273</v>
      </c>
      <c r="G12" s="17" t="s">
        <v>274</v>
      </c>
      <c r="H12" s="87" t="s">
        <v>275</v>
      </c>
      <c r="I12" s="17" t="s">
        <v>276</v>
      </c>
      <c r="J12" s="3" t="s">
        <v>20</v>
      </c>
      <c r="L12" s="18"/>
      <c r="M12" s="8"/>
      <c r="P12" s="8"/>
      <c r="Q12" s="8"/>
      <c r="R12" s="85"/>
    </row>
    <row r="13" spans="1:18" ht="20.25" thickBot="1" x14ac:dyDescent="0.45">
      <c r="A13" s="1" t="s">
        <v>29</v>
      </c>
      <c r="B13" s="38">
        <f t="shared" ref="B13:I13" si="3">B16/B17</f>
        <v>1.0185567010309278</v>
      </c>
      <c r="C13" s="19">
        <f t="shared" si="3"/>
        <v>0.96318100179604871</v>
      </c>
      <c r="D13" s="19">
        <f t="shared" si="3"/>
        <v>0.88496226762378061</v>
      </c>
      <c r="E13" s="19">
        <f t="shared" si="3"/>
        <v>0.80286979969183359</v>
      </c>
      <c r="F13" s="19">
        <f t="shared" si="3"/>
        <v>0.90202001132716636</v>
      </c>
      <c r="G13" s="38">
        <f t="shared" si="3"/>
        <v>1.0030745580322828</v>
      </c>
      <c r="H13" s="19">
        <f t="shared" si="3"/>
        <v>0.90186813186813186</v>
      </c>
      <c r="I13" s="19">
        <f t="shared" si="3"/>
        <v>0.98278350515463919</v>
      </c>
      <c r="J13" s="3" t="s">
        <v>20</v>
      </c>
      <c r="L13" s="20"/>
      <c r="M13" s="160">
        <f>L9/L17</f>
        <v>0.93482684667097427</v>
      </c>
      <c r="P13" s="12"/>
      <c r="Q13" s="12"/>
      <c r="R13" s="85"/>
    </row>
    <row r="14" spans="1:18" ht="15.75" x14ac:dyDescent="0.25">
      <c r="A14" s="1" t="s">
        <v>30</v>
      </c>
      <c r="B14" s="21">
        <v>0</v>
      </c>
      <c r="C14" s="21">
        <v>0</v>
      </c>
      <c r="D14" s="21">
        <v>0</v>
      </c>
      <c r="E14" s="21">
        <v>0</v>
      </c>
      <c r="F14" s="21">
        <v>93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P14" s="12"/>
      <c r="Q14" s="12"/>
      <c r="R14" s="85"/>
    </row>
    <row r="15" spans="1:18" ht="15.75" x14ac:dyDescent="0.25">
      <c r="A15" s="1" t="s">
        <v>31</v>
      </c>
      <c r="B15" s="21">
        <f>B14*B11</f>
        <v>0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194.36999999999998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  <c r="P15" s="12"/>
      <c r="Q15" s="12"/>
      <c r="R15" s="85"/>
    </row>
    <row r="16" spans="1:18" ht="15.75" x14ac:dyDescent="0.25">
      <c r="A16" s="1" t="s">
        <v>17</v>
      </c>
      <c r="B16" s="7">
        <v>9880</v>
      </c>
      <c r="C16" s="7">
        <v>9653</v>
      </c>
      <c r="D16" s="7">
        <v>4808</v>
      </c>
      <c r="E16" s="7">
        <v>8337</v>
      </c>
      <c r="F16" s="161">
        <v>9556</v>
      </c>
      <c r="G16" s="7">
        <v>7830</v>
      </c>
      <c r="H16" s="7">
        <v>8207</v>
      </c>
      <c r="I16" s="7">
        <v>9533</v>
      </c>
      <c r="J16" s="3" t="s">
        <v>17</v>
      </c>
      <c r="L16" s="14"/>
      <c r="Q16" s="1"/>
    </row>
    <row r="17" spans="1:18" ht="15.75" x14ac:dyDescent="0.25">
      <c r="A17" s="1" t="s">
        <v>32</v>
      </c>
      <c r="B17" s="25">
        <v>9700</v>
      </c>
      <c r="C17" s="25">
        <v>10022</v>
      </c>
      <c r="D17" s="39">
        <v>5433</v>
      </c>
      <c r="E17" s="25">
        <v>10384</v>
      </c>
      <c r="F17" s="25">
        <v>10594</v>
      </c>
      <c r="G17" s="25">
        <v>7806</v>
      </c>
      <c r="H17" s="25">
        <v>9100</v>
      </c>
      <c r="I17" s="25">
        <v>9700</v>
      </c>
      <c r="J17" s="3" t="s">
        <v>18</v>
      </c>
      <c r="L17" s="14">
        <f>SUM(B17:I17)</f>
        <v>72739</v>
      </c>
      <c r="Q17" s="1"/>
    </row>
    <row r="18" spans="1:18" ht="19.5" x14ac:dyDescent="0.4">
      <c r="A18" s="1" t="s">
        <v>33</v>
      </c>
      <c r="B18" s="127">
        <f t="shared" ref="B18:I18" si="5">B16-B17</f>
        <v>180</v>
      </c>
      <c r="C18" s="127">
        <f t="shared" si="5"/>
        <v>-369</v>
      </c>
      <c r="D18" s="127">
        <f t="shared" si="5"/>
        <v>-625</v>
      </c>
      <c r="E18" s="127">
        <f t="shared" si="5"/>
        <v>-2047</v>
      </c>
      <c r="F18" s="127">
        <f t="shared" si="5"/>
        <v>-1038</v>
      </c>
      <c r="G18" s="127">
        <f t="shared" si="5"/>
        <v>24</v>
      </c>
      <c r="H18" s="127">
        <f t="shared" si="5"/>
        <v>-893</v>
      </c>
      <c r="I18" s="162">
        <f t="shared" si="5"/>
        <v>-167</v>
      </c>
      <c r="J18" s="27"/>
      <c r="K18" s="28"/>
      <c r="L18" s="14">
        <f>SUM(B18:I18)</f>
        <v>-4935</v>
      </c>
      <c r="M18" s="29"/>
      <c r="N18" s="28"/>
      <c r="O18" s="28"/>
      <c r="P18" s="29"/>
      <c r="Q18" s="29"/>
      <c r="R18" s="29"/>
    </row>
    <row r="19" spans="1:18" x14ac:dyDescent="0.25">
      <c r="A19" s="1" t="s">
        <v>34</v>
      </c>
      <c r="B19" s="22" t="e">
        <f>SUM(#REF!+#REF!+[7]March!B19+[7]April!B19+[7]May!B19+[7]June!B19+[7]July!B19+'[7]August '!B19+[7]September!B19+[7]October!B19+[7]November!B19+[7]December!B19)</f>
        <v>#REF!</v>
      </c>
      <c r="C19" s="22" t="e">
        <f>SUM(#REF!+#REF!+[7]March!C19+[7]April!C19+[7]May!C19+[7]June!C19+[7]July!C19+'[7]August '!C19+[7]September!C19+[7]October!C19+[7]November!C19+[7]December!C19)</f>
        <v>#REF!</v>
      </c>
      <c r="D19" s="22" t="e">
        <f>SUM(#REF!+#REF!+[7]March!D19+[7]April!D19+[7]May!D19+[7]June!D19+[7]July!D19+'[7]August '!D19+[7]September!D19+[7]October!D19+[7]November!D19+[7]December!D19)</f>
        <v>#REF!</v>
      </c>
      <c r="E19" s="22" t="e">
        <f>SUM(#REF!+#REF!+[7]March!E19+[7]April!E19+[7]May!E19+[7]June!E19+[7]July!E19+'[7]August '!E19+[7]September!E19+[7]October!E19+[7]November!E19+[7]December!E19)</f>
        <v>#REF!</v>
      </c>
      <c r="F19" s="23" t="e">
        <f>SUM(#REF!+#REF!+[7]March!F19+[7]April!F19+[7]May!F19+[7]June!F19+[7]July!F19+'[7]August '!F19+[7]September!F19+[7]October!F19+[7]November!F19+[7]December!F19)</f>
        <v>#REF!</v>
      </c>
      <c r="G19" s="23" t="e">
        <f>SUM(#REF!+#REF!+[7]March!G19+[7]April!G19+[7]May!G19+[7]June!G19+[7]July!G19+'[7]August '!G19+[7]September!G19+[7]October!G19+[7]November!G19+[7]December!G19)</f>
        <v>#REF!</v>
      </c>
      <c r="H19" s="22" t="e">
        <f>SUM(#REF!+#REF!+[7]March!H19+[7]April!H19+[7]May!H19+[7]June!H19+[7]July!H19+'[7]August '!H19+[7]September!H19+[7]October!H19+[7]November!H19+[7]December!H19)</f>
        <v>#REF!</v>
      </c>
      <c r="I19" s="23" t="e">
        <f>SUM(#REF!+#REF!+[7]March!I19+[7]April!I19+[7]May!I19+[7]June!I19+[7]July!I19+'[7]August '!I19+[7]September!I19+[7]October!I19+[7]November!I19+[7]December!I19)</f>
        <v>#REF!</v>
      </c>
      <c r="J19" s="3"/>
      <c r="L19" s="24"/>
      <c r="Q19" s="1"/>
    </row>
    <row r="20" spans="1:18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8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  <c r="Q21" s="1"/>
    </row>
    <row r="22" spans="1:18" x14ac:dyDescent="0.25">
      <c r="A22" s="9" t="s">
        <v>13</v>
      </c>
      <c r="B22" s="10" t="s">
        <v>235</v>
      </c>
      <c r="C22" s="164" t="s">
        <v>235</v>
      </c>
      <c r="D22" s="10" t="s">
        <v>234</v>
      </c>
      <c r="E22" s="10" t="s">
        <v>236</v>
      </c>
      <c r="F22" s="10" t="s">
        <v>236</v>
      </c>
      <c r="G22" s="10" t="s">
        <v>236</v>
      </c>
      <c r="H22" s="10" t="s">
        <v>236</v>
      </c>
      <c r="I22" s="10" t="s">
        <v>236</v>
      </c>
      <c r="J22" s="3" t="s">
        <v>15</v>
      </c>
      <c r="Q22" s="1"/>
    </row>
    <row r="23" spans="1:18" ht="15.75" x14ac:dyDescent="0.25">
      <c r="A23" s="1" t="s">
        <v>16</v>
      </c>
      <c r="B23" s="11">
        <f t="shared" ref="B23:I23" si="6">((1/B26)/0.0004)^(1/3)</f>
        <v>10.754279441383932</v>
      </c>
      <c r="C23" s="12">
        <f t="shared" si="6"/>
        <v>11.305713312068885</v>
      </c>
      <c r="D23" s="11">
        <f t="shared" si="6"/>
        <v>10.957937084221749</v>
      </c>
      <c r="E23" s="34">
        <f t="shared" si="6"/>
        <v>10.919755809203734</v>
      </c>
      <c r="F23" s="11">
        <f t="shared" si="6"/>
        <v>10.844960613841652</v>
      </c>
      <c r="G23" s="11">
        <f t="shared" si="6"/>
        <v>11.219898137773402</v>
      </c>
      <c r="H23" s="11">
        <f t="shared" si="6"/>
        <v>10.701301836183271</v>
      </c>
      <c r="I23" s="11">
        <f t="shared" si="6"/>
        <v>10.772173450159416</v>
      </c>
      <c r="J23" s="3" t="s">
        <v>16</v>
      </c>
      <c r="Q23" s="1"/>
    </row>
    <row r="24" spans="1:18" ht="15.75" x14ac:dyDescent="0.25">
      <c r="A24" s="9" t="s">
        <v>17</v>
      </c>
      <c r="B24" s="83">
        <f>B31+B30</f>
        <v>5878</v>
      </c>
      <c r="C24" s="186">
        <f t="shared" ref="C24:H24" si="7">C31+C30</f>
        <v>4026</v>
      </c>
      <c r="D24" s="83">
        <f t="shared" si="7"/>
        <v>6711</v>
      </c>
      <c r="E24" s="35">
        <f t="shared" si="7"/>
        <v>7411</v>
      </c>
      <c r="F24" s="15">
        <f t="shared" si="7"/>
        <v>8894</v>
      </c>
      <c r="G24" s="83">
        <f t="shared" si="7"/>
        <v>6067</v>
      </c>
      <c r="H24" s="83">
        <f t="shared" si="7"/>
        <v>5282</v>
      </c>
      <c r="I24" s="83">
        <f>I31+I30</f>
        <v>7302</v>
      </c>
      <c r="J24" s="3" t="s">
        <v>17</v>
      </c>
      <c r="L24" s="14">
        <f>SUM(B24:I24)</f>
        <v>51571</v>
      </c>
      <c r="M24" s="91"/>
      <c r="Q24" s="1"/>
    </row>
    <row r="25" spans="1:18" ht="15.75" x14ac:dyDescent="0.25">
      <c r="A25" s="1" t="s">
        <v>18</v>
      </c>
      <c r="B25" s="15">
        <f>B24/B26</f>
        <v>2924.3781094527367</v>
      </c>
      <c r="C25" s="14">
        <f t="shared" ref="C25:I25" si="8">C24/C26</f>
        <v>2327.1676300578033</v>
      </c>
      <c r="D25" s="15">
        <f t="shared" si="8"/>
        <v>3532.105263157895</v>
      </c>
      <c r="E25" s="35">
        <f t="shared" si="8"/>
        <v>3859.8958333333335</v>
      </c>
      <c r="F25" s="35">
        <f t="shared" si="8"/>
        <v>4537.7551020408164</v>
      </c>
      <c r="G25" s="35">
        <f t="shared" si="8"/>
        <v>3427.6836158192091</v>
      </c>
      <c r="H25" s="35">
        <f t="shared" si="8"/>
        <v>2589.2156862745096</v>
      </c>
      <c r="I25" s="35">
        <f t="shared" si="8"/>
        <v>3651</v>
      </c>
      <c r="J25" s="3" t="s">
        <v>18</v>
      </c>
      <c r="K25" s="179" t="s">
        <v>246</v>
      </c>
      <c r="L25" s="14">
        <f>SUM(B25:I25)</f>
        <v>26849.201240136306</v>
      </c>
      <c r="Q25" s="1"/>
    </row>
    <row r="26" spans="1:18" ht="15.75" x14ac:dyDescent="0.25">
      <c r="A26" s="9" t="s">
        <v>19</v>
      </c>
      <c r="B26" s="116">
        <v>2.0099999999999998</v>
      </c>
      <c r="C26" s="185">
        <v>1.73</v>
      </c>
      <c r="D26" s="116">
        <v>1.9</v>
      </c>
      <c r="E26" s="187">
        <v>1.92</v>
      </c>
      <c r="F26" s="187">
        <v>1.96</v>
      </c>
      <c r="G26" s="116">
        <v>1.77</v>
      </c>
      <c r="H26" s="116">
        <v>2.04</v>
      </c>
      <c r="I26" s="116">
        <v>2</v>
      </c>
      <c r="J26" s="3" t="s">
        <v>19</v>
      </c>
      <c r="Q26" s="1"/>
    </row>
    <row r="27" spans="1:18" ht="15.75" x14ac:dyDescent="0.25">
      <c r="A27" s="1" t="s">
        <v>20</v>
      </c>
      <c r="B27" s="17" t="s">
        <v>277</v>
      </c>
      <c r="C27" s="87" t="s">
        <v>278</v>
      </c>
      <c r="D27" s="17" t="s">
        <v>279</v>
      </c>
      <c r="E27" s="36" t="s">
        <v>280</v>
      </c>
      <c r="F27" s="36" t="s">
        <v>281</v>
      </c>
      <c r="G27" s="17" t="s">
        <v>282</v>
      </c>
      <c r="H27" s="17" t="s">
        <v>283</v>
      </c>
      <c r="I27" s="17" t="s">
        <v>284</v>
      </c>
      <c r="J27" s="3" t="s">
        <v>20</v>
      </c>
      <c r="M27" s="160">
        <f>L24/L32</f>
        <v>0.72739710570114813</v>
      </c>
      <c r="Q27" s="1"/>
    </row>
    <row r="28" spans="1:18" ht="20.25" thickBot="1" x14ac:dyDescent="0.45">
      <c r="A28" s="1" t="s">
        <v>29</v>
      </c>
      <c r="B28" s="19">
        <f t="shared" ref="B28:I28" si="9">B31/B32</f>
        <v>0.73475000000000001</v>
      </c>
      <c r="C28" s="188">
        <f t="shared" si="9"/>
        <v>0.49508116084604031</v>
      </c>
      <c r="D28" s="19">
        <f t="shared" si="9"/>
        <v>0.69299876084262702</v>
      </c>
      <c r="E28" s="169">
        <f t="shared" si="9"/>
        <v>0.80118918918918924</v>
      </c>
      <c r="F28" s="19">
        <f t="shared" si="9"/>
        <v>0.862824990298797</v>
      </c>
      <c r="G28" s="19">
        <f t="shared" si="9"/>
        <v>0.75894420815611707</v>
      </c>
      <c r="H28" s="19">
        <f t="shared" si="9"/>
        <v>0.62806183115338887</v>
      </c>
      <c r="I28" s="19">
        <f t="shared" si="9"/>
        <v>0.80065789473684212</v>
      </c>
      <c r="J28" s="3" t="s">
        <v>53</v>
      </c>
      <c r="Q28" s="1"/>
    </row>
    <row r="29" spans="1:18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>
        <v>0</v>
      </c>
      <c r="I29" s="8">
        <v>0</v>
      </c>
      <c r="J29" s="3" t="s">
        <v>30</v>
      </c>
      <c r="Q29" s="1"/>
    </row>
    <row r="30" spans="1:18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>
        <v>0</v>
      </c>
      <c r="I30" s="21">
        <f>(I26*I29)</f>
        <v>0</v>
      </c>
      <c r="J30" s="3" t="s">
        <v>31</v>
      </c>
      <c r="Q30" s="1"/>
    </row>
    <row r="31" spans="1:18" ht="15.75" x14ac:dyDescent="0.25">
      <c r="A31" s="9" t="s">
        <v>17</v>
      </c>
      <c r="B31" s="23">
        <v>5878</v>
      </c>
      <c r="C31" s="23">
        <v>4026</v>
      </c>
      <c r="D31" s="23">
        <v>6711</v>
      </c>
      <c r="E31" s="23">
        <v>7411</v>
      </c>
      <c r="F31" s="23">
        <v>8894</v>
      </c>
      <c r="G31" s="23">
        <v>6067</v>
      </c>
      <c r="H31" s="23">
        <v>5282</v>
      </c>
      <c r="I31" s="23">
        <v>7302</v>
      </c>
      <c r="J31" s="3" t="s">
        <v>17</v>
      </c>
      <c r="M31" s="39"/>
      <c r="P31" s="39"/>
      <c r="Q31" s="39"/>
      <c r="R31" s="39"/>
    </row>
    <row r="32" spans="1:18" ht="15.75" x14ac:dyDescent="0.25">
      <c r="A32" s="9" t="s">
        <v>32</v>
      </c>
      <c r="B32" s="25">
        <v>8000</v>
      </c>
      <c r="C32" s="25">
        <v>8132</v>
      </c>
      <c r="D32" s="25">
        <v>9684</v>
      </c>
      <c r="E32" s="25">
        <v>9250</v>
      </c>
      <c r="F32" s="25">
        <v>10308</v>
      </c>
      <c r="G32" s="25">
        <v>7994</v>
      </c>
      <c r="H32" s="25">
        <v>8410</v>
      </c>
      <c r="I32" s="25">
        <v>9120</v>
      </c>
      <c r="J32" s="3" t="s">
        <v>18</v>
      </c>
      <c r="L32" s="14">
        <f>SUM(B32:I32)</f>
        <v>70898</v>
      </c>
      <c r="P32" s="181" t="s">
        <v>254</v>
      </c>
      <c r="Q32" s="181" t="s">
        <v>255</v>
      </c>
    </row>
    <row r="33" spans="1:18" ht="19.5" x14ac:dyDescent="0.4">
      <c r="A33" s="9" t="s">
        <v>33</v>
      </c>
      <c r="B33" s="127">
        <f t="shared" ref="B33:I33" si="11">B31-B32</f>
        <v>-2122</v>
      </c>
      <c r="C33" s="127">
        <f t="shared" si="11"/>
        <v>-4106</v>
      </c>
      <c r="D33" s="127">
        <f t="shared" si="11"/>
        <v>-2973</v>
      </c>
      <c r="E33" s="127">
        <f t="shared" si="11"/>
        <v>-1839</v>
      </c>
      <c r="F33" s="162">
        <f t="shared" si="11"/>
        <v>-1414</v>
      </c>
      <c r="G33" s="127">
        <f t="shared" si="11"/>
        <v>-1927</v>
      </c>
      <c r="H33" s="127">
        <f t="shared" si="11"/>
        <v>-3128</v>
      </c>
      <c r="I33" s="127">
        <f t="shared" si="11"/>
        <v>-1818</v>
      </c>
      <c r="J33" s="27"/>
      <c r="K33" s="28"/>
      <c r="L33" s="43">
        <f>SUM(C33:D33)</f>
        <v>-7079</v>
      </c>
      <c r="M33" s="28"/>
      <c r="N33" s="182" t="s">
        <v>218</v>
      </c>
      <c r="O33" s="182" t="s">
        <v>219</v>
      </c>
      <c r="P33" s="182" t="s">
        <v>237</v>
      </c>
      <c r="Q33" s="182" t="s">
        <v>256</v>
      </c>
      <c r="R33" s="28"/>
    </row>
    <row r="34" spans="1:18" x14ac:dyDescent="0.25">
      <c r="A34" s="1" t="s">
        <v>34</v>
      </c>
      <c r="B34" s="22" t="e">
        <f>SUM(#REF!+#REF!+[7]March!B36+[7]April!B36+[7]May!B36+[7]June!B36+[7]July!B36+'[7]August '!B36+[7]September!B36+[7]October!B36+[7]November!B36+[7]December!B36)</f>
        <v>#REF!</v>
      </c>
      <c r="C34" s="22" t="e">
        <f>SUM(#REF!+#REF!+[7]March!C36+[7]April!C36+[7]May!C36+[7]June!C36+[7]July!C36+'[7]August '!C36+[7]September!C36+[7]October!C36+[7]November!C36+[7]December!C36)</f>
        <v>#REF!</v>
      </c>
      <c r="D34" s="22" t="e">
        <f>SUM(#REF!+#REF!+[7]March!D36+[7]April!D36+[7]May!D36+[7]June!D36+[7]July!D36+'[7]August '!D36+[7]September!D36+[7]October!D36+[7]November!D36+[7]December!D36)</f>
        <v>#REF!</v>
      </c>
      <c r="E34" s="22" t="e">
        <f>SUM(#REF!+#REF!+[7]March!E36+[7]April!E36+[7]May!E36+[7]June!E36+[7]July!E36+'[7]August '!E36+[7]September!E36+[7]October!E36+[7]November!E36+[7]December!E36)</f>
        <v>#REF!</v>
      </c>
      <c r="F34" s="23" t="e">
        <f>SUM(#REF!+#REF!+[7]March!F36+[7]April!F36+[7]May!F36+[7]June!F36+[7]July!F36+'[7]August '!F36+[7]September!F36+[7]October!F36+[7]November!F36+[7]December!F36)</f>
        <v>#REF!</v>
      </c>
      <c r="G34" s="22" t="e">
        <f>SUM(#REF!+#REF!+[7]March!G36+[7]April!G36+[7]May!G36+[7]June!G36+[7]July!G36+'[7]August '!G36+[7]September!G36+[7]October!G36+[7]November!G36+[7]December!G36)</f>
        <v>#REF!</v>
      </c>
      <c r="H34" s="22" t="e">
        <f>SUM(#REF!+#REF!+[7]March!H36+[7]April!H36+[7]May!H36+[7]June!H36+[7]July!H36+'[7]August '!H36+[7]September!H36+[7]October!H36+[7]November!H36+[7]December!H36)</f>
        <v>#REF!</v>
      </c>
      <c r="I34" s="22" t="e">
        <f>SUM(#REF!+#REF!+[7]March!I36+[7]April!I36+[7]May!I36+[7]June!I36+[7]July!I36+'[7]August '!I36+[7]September!I36+[7]October!I36+[7]November!I36+[7]December!I36)</f>
        <v>#REF!</v>
      </c>
      <c r="J34" s="3"/>
      <c r="N34" s="46">
        <f>SUM(L17,L32,L48,G64)</f>
        <v>186331</v>
      </c>
      <c r="O34" s="46">
        <f>SUM(L9,L24,L40,G63)</f>
        <v>153384.37</v>
      </c>
      <c r="P34" s="46">
        <f>SUM(L10,L25,L41,H63,G57)</f>
        <v>80781.905760103997</v>
      </c>
      <c r="Q34" s="93">
        <f>O34/P34</f>
        <v>1.8987466135733628</v>
      </c>
    </row>
    <row r="35" spans="1:18" x14ac:dyDescent="0.25">
      <c r="B35" s="31"/>
      <c r="C35" s="31"/>
      <c r="D35" s="30"/>
      <c r="E35" s="6" t="s">
        <v>115</v>
      </c>
      <c r="F35" s="31"/>
      <c r="G35" s="31"/>
      <c r="H35" s="31"/>
      <c r="I35" s="31"/>
      <c r="J35" s="31"/>
      <c r="Q35" s="1"/>
    </row>
    <row r="36" spans="1:18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  <c r="Q36" s="1"/>
    </row>
    <row r="37" spans="1:18" ht="15.75" thickBot="1" x14ac:dyDescent="0.3">
      <c r="A37" s="1" t="s">
        <v>4</v>
      </c>
      <c r="B37" s="7" t="s">
        <v>55</v>
      </c>
      <c r="C37" s="6" t="s">
        <v>56</v>
      </c>
      <c r="D37" s="6" t="s">
        <v>57</v>
      </c>
      <c r="E37" s="6" t="s">
        <v>285</v>
      </c>
      <c r="F37" s="7" t="s">
        <v>59</v>
      </c>
      <c r="G37" s="7" t="s">
        <v>60</v>
      </c>
      <c r="H37" s="6" t="s">
        <v>61</v>
      </c>
      <c r="I37" s="7" t="s">
        <v>134</v>
      </c>
      <c r="J37" s="3" t="s">
        <v>4</v>
      </c>
      <c r="L37" s="1"/>
      <c r="M37" s="1"/>
      <c r="N37" s="170">
        <f>O34/N34</f>
        <v>0.82318224020694353</v>
      </c>
      <c r="O37" s="1" t="s">
        <v>220</v>
      </c>
      <c r="P37" s="1"/>
      <c r="Q37" s="1"/>
    </row>
    <row r="38" spans="1:18" x14ac:dyDescent="0.25">
      <c r="A38" s="9" t="s">
        <v>13</v>
      </c>
      <c r="B38" s="10"/>
      <c r="C38" s="10" t="s">
        <v>235</v>
      </c>
      <c r="D38" s="10" t="s">
        <v>234</v>
      </c>
      <c r="E38" s="10" t="s">
        <v>235</v>
      </c>
      <c r="F38" s="10" t="s">
        <v>235</v>
      </c>
      <c r="G38" s="10"/>
      <c r="H38" s="10"/>
      <c r="I38" s="10" t="s">
        <v>236</v>
      </c>
      <c r="J38" s="3" t="s">
        <v>15</v>
      </c>
      <c r="L38" s="1"/>
      <c r="M38" s="1"/>
      <c r="N38" s="1"/>
      <c r="O38" s="1"/>
      <c r="P38" s="1"/>
      <c r="Q38" s="1"/>
    </row>
    <row r="39" spans="1:18" ht="15.75" x14ac:dyDescent="0.25">
      <c r="A39" s="1" t="s">
        <v>16</v>
      </c>
      <c r="B39" s="11"/>
      <c r="C39" s="11">
        <f t="shared" ref="C39:I39" si="12">((1/C42)/0.0004)^(1/3)</f>
        <v>10.86346740846674</v>
      </c>
      <c r="D39" s="11">
        <f t="shared" si="12"/>
        <v>10.649352950906913</v>
      </c>
      <c r="E39" s="11">
        <f t="shared" si="12"/>
        <v>10.808321954133797</v>
      </c>
      <c r="F39" s="11">
        <f t="shared" si="12"/>
        <v>10.86346740846674</v>
      </c>
      <c r="G39" s="34"/>
      <c r="H39" s="34"/>
      <c r="I39" s="34">
        <f t="shared" si="12"/>
        <v>10.63225925707475</v>
      </c>
      <c r="J39" s="3" t="s">
        <v>16</v>
      </c>
      <c r="L39" s="1"/>
      <c r="M39" s="1"/>
      <c r="N39" s="1"/>
      <c r="O39" s="1"/>
      <c r="P39" s="1"/>
      <c r="Q39" s="1"/>
    </row>
    <row r="40" spans="1:18" ht="15.75" x14ac:dyDescent="0.25">
      <c r="A40" s="1" t="s">
        <v>17</v>
      </c>
      <c r="B40" s="15"/>
      <c r="C40" s="15">
        <f>C47+C46</f>
        <v>6402</v>
      </c>
      <c r="D40" s="15">
        <f>D47+D46</f>
        <v>7573</v>
      </c>
      <c r="E40" s="15">
        <f>E47+E46</f>
        <v>7915</v>
      </c>
      <c r="F40" s="15">
        <f>F47+F46</f>
        <v>8008</v>
      </c>
      <c r="G40" s="15"/>
      <c r="H40" s="15"/>
      <c r="I40" s="15">
        <f>I47+I46</f>
        <v>4701</v>
      </c>
      <c r="J40" s="3" t="s">
        <v>17</v>
      </c>
      <c r="L40" s="14">
        <f>SUM(C40:H40)</f>
        <v>29898</v>
      </c>
      <c r="M40" s="1"/>
      <c r="N40" s="1"/>
      <c r="O40" s="1"/>
      <c r="P40" s="1"/>
      <c r="Q40" s="1"/>
    </row>
    <row r="41" spans="1:18" ht="15.75" x14ac:dyDescent="0.25">
      <c r="A41" s="1" t="s">
        <v>18</v>
      </c>
      <c r="B41" s="15" t="s">
        <v>45</v>
      </c>
      <c r="C41" s="15">
        <f t="shared" ref="C41:I41" si="13">C40/C42</f>
        <v>3283.0769230769233</v>
      </c>
      <c r="D41" s="15">
        <f t="shared" si="13"/>
        <v>3658.4541062801936</v>
      </c>
      <c r="E41" s="15">
        <f t="shared" si="13"/>
        <v>3997.4747474747473</v>
      </c>
      <c r="F41" s="15">
        <f t="shared" si="13"/>
        <v>4106.666666666667</v>
      </c>
      <c r="G41" s="35"/>
      <c r="H41" s="35"/>
      <c r="I41" s="35">
        <f t="shared" si="13"/>
        <v>2260.0961538461538</v>
      </c>
      <c r="J41" s="3" t="s">
        <v>18</v>
      </c>
      <c r="L41" s="14">
        <f>SUM(C41:I41)</f>
        <v>17305.768597344682</v>
      </c>
      <c r="M41" s="1"/>
      <c r="N41" s="1"/>
      <c r="O41" s="1"/>
      <c r="P41" s="1"/>
      <c r="Q41" s="1"/>
    </row>
    <row r="42" spans="1:18" ht="15.75" x14ac:dyDescent="0.25">
      <c r="A42" s="1" t="s">
        <v>19</v>
      </c>
      <c r="B42" s="11"/>
      <c r="C42" s="116">
        <v>1.95</v>
      </c>
      <c r="D42" s="116">
        <v>2.0699999999999998</v>
      </c>
      <c r="E42" s="116">
        <v>1.98</v>
      </c>
      <c r="F42" s="116">
        <v>1.95</v>
      </c>
      <c r="G42" s="116"/>
      <c r="H42" s="116"/>
      <c r="I42" s="116">
        <v>2.08</v>
      </c>
      <c r="J42" s="3" t="s">
        <v>19</v>
      </c>
      <c r="K42" s="1"/>
      <c r="L42" s="1"/>
      <c r="M42" s="1"/>
      <c r="N42" s="1"/>
      <c r="O42" s="1"/>
      <c r="P42" s="1"/>
      <c r="Q42" s="1"/>
    </row>
    <row r="43" spans="1:18" ht="15.75" x14ac:dyDescent="0.25">
      <c r="A43" s="1" t="s">
        <v>20</v>
      </c>
      <c r="B43" s="17"/>
      <c r="C43" s="17" t="s">
        <v>286</v>
      </c>
      <c r="D43" s="17" t="s">
        <v>287</v>
      </c>
      <c r="E43" s="17" t="s">
        <v>288</v>
      </c>
      <c r="F43" s="17" t="s">
        <v>289</v>
      </c>
      <c r="G43" s="17"/>
      <c r="H43" s="17"/>
      <c r="I43" s="17" t="s">
        <v>290</v>
      </c>
      <c r="J43" s="3" t="s">
        <v>20</v>
      </c>
      <c r="K43" s="1"/>
      <c r="L43" s="1"/>
      <c r="M43" s="160">
        <f>L40/L48</f>
        <v>0.7812793979303857</v>
      </c>
      <c r="N43" s="1"/>
      <c r="O43" s="1"/>
      <c r="P43" s="1"/>
      <c r="Q43" s="1"/>
    </row>
    <row r="44" spans="1:18" ht="20.25" thickBot="1" x14ac:dyDescent="0.45">
      <c r="A44" s="1" t="s">
        <v>29</v>
      </c>
      <c r="B44" s="37"/>
      <c r="C44" s="19">
        <f t="shared" ref="C44:I44" si="14">C47/C48</f>
        <v>0.77713037144938091</v>
      </c>
      <c r="D44" s="19">
        <f t="shared" si="14"/>
        <v>0.82710790738313678</v>
      </c>
      <c r="E44" s="19">
        <f t="shared" si="14"/>
        <v>0.77099162283265144</v>
      </c>
      <c r="F44" s="19">
        <f t="shared" si="14"/>
        <v>0.75490196078431371</v>
      </c>
      <c r="G44" s="19"/>
      <c r="H44" s="19"/>
      <c r="I44" s="19">
        <f t="shared" si="14"/>
        <v>0.79908210096889343</v>
      </c>
      <c r="J44" s="3" t="s">
        <v>53</v>
      </c>
      <c r="K44" s="1"/>
      <c r="L44" s="1"/>
      <c r="M44" s="1"/>
      <c r="N44" s="1"/>
      <c r="O44" s="1"/>
      <c r="P44" s="1"/>
      <c r="Q44" s="1"/>
    </row>
    <row r="45" spans="1:18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43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  <c r="Q45" s="1"/>
    </row>
    <row r="46" spans="1:18" x14ac:dyDescent="0.25">
      <c r="A46" s="1" t="s">
        <v>31</v>
      </c>
      <c r="B46" s="21">
        <f t="shared" ref="B46:I46" si="15">(B42*B45)</f>
        <v>0</v>
      </c>
      <c r="C46" s="21">
        <f t="shared" si="15"/>
        <v>0</v>
      </c>
      <c r="D46" s="21">
        <v>0</v>
      </c>
      <c r="E46" s="21">
        <f t="shared" si="15"/>
        <v>0</v>
      </c>
      <c r="F46" s="21"/>
      <c r="G46" s="21">
        <f t="shared" si="15"/>
        <v>0</v>
      </c>
      <c r="H46" s="21">
        <f t="shared" si="15"/>
        <v>0</v>
      </c>
      <c r="I46" s="21">
        <f t="shared" si="15"/>
        <v>0</v>
      </c>
      <c r="J46" s="3" t="s">
        <v>31</v>
      </c>
      <c r="K46" s="1"/>
      <c r="L46" s="1"/>
      <c r="M46" s="1"/>
      <c r="N46" s="1"/>
      <c r="O46" s="1"/>
      <c r="P46" s="1"/>
      <c r="Q46" s="1"/>
    </row>
    <row r="47" spans="1:18" ht="15.75" x14ac:dyDescent="0.25">
      <c r="A47" s="1" t="s">
        <v>17</v>
      </c>
      <c r="B47" s="22"/>
      <c r="C47" s="22">
        <v>6402</v>
      </c>
      <c r="D47" s="22">
        <v>7573</v>
      </c>
      <c r="E47" s="22">
        <v>7915</v>
      </c>
      <c r="F47" s="22">
        <v>8008</v>
      </c>
      <c r="G47" s="22"/>
      <c r="H47" s="22"/>
      <c r="I47" s="22">
        <v>4701</v>
      </c>
      <c r="J47" s="3" t="s">
        <v>17</v>
      </c>
      <c r="K47" s="1"/>
      <c r="L47" s="14"/>
      <c r="M47" s="1"/>
      <c r="N47" s="1"/>
      <c r="O47" s="1"/>
      <c r="P47" s="1"/>
      <c r="Q47" s="1"/>
    </row>
    <row r="48" spans="1:18" ht="15.75" x14ac:dyDescent="0.25">
      <c r="A48" s="1" t="s">
        <v>32</v>
      </c>
      <c r="B48" s="25"/>
      <c r="C48" s="25">
        <v>8238</v>
      </c>
      <c r="D48" s="39">
        <v>9156</v>
      </c>
      <c r="E48" s="25">
        <v>10266</v>
      </c>
      <c r="F48" s="25">
        <v>10608</v>
      </c>
      <c r="G48" s="14"/>
      <c r="H48" s="14"/>
      <c r="I48" s="14">
        <v>5883</v>
      </c>
      <c r="J48" s="3" t="s">
        <v>18</v>
      </c>
      <c r="K48" s="1"/>
      <c r="L48" s="14">
        <f>SUM(C48:H48)</f>
        <v>38268</v>
      </c>
      <c r="M48" s="39"/>
      <c r="N48" s="39"/>
      <c r="O48" s="39"/>
      <c r="P48" s="39"/>
      <c r="Q48" s="39"/>
      <c r="R48" s="39"/>
    </row>
    <row r="49" spans="1:18" ht="19.5" x14ac:dyDescent="0.4">
      <c r="A49" s="1" t="s">
        <v>33</v>
      </c>
      <c r="B49" s="41"/>
      <c r="C49" s="41">
        <f t="shared" ref="C49:I49" si="16">C47-C48</f>
        <v>-1836</v>
      </c>
      <c r="D49" s="41">
        <f t="shared" si="16"/>
        <v>-1583</v>
      </c>
      <c r="E49" s="41">
        <f t="shared" si="16"/>
        <v>-2351</v>
      </c>
      <c r="F49" s="41">
        <f t="shared" si="16"/>
        <v>-2600</v>
      </c>
      <c r="G49" s="41"/>
      <c r="H49" s="41"/>
      <c r="I49" s="41">
        <f t="shared" si="16"/>
        <v>-1182</v>
      </c>
      <c r="J49" s="27"/>
      <c r="K49" s="45"/>
      <c r="L49" s="14">
        <f>SUM(B49:I49)</f>
        <v>-9552</v>
      </c>
      <c r="M49" s="45"/>
      <c r="N49" s="45"/>
      <c r="O49" s="45"/>
      <c r="P49" s="45"/>
      <c r="Q49" s="45"/>
      <c r="R49" s="28"/>
    </row>
    <row r="50" spans="1:18" x14ac:dyDescent="0.25">
      <c r="A50" s="1" t="s">
        <v>34</v>
      </c>
      <c r="B50" s="22" t="e">
        <f>SUM(#REF!+#REF!+[7]March!B53+[7]April!B53+[7]May!B53+[7]June!B53+[7]July!B53+'[7]August '!B53+[7]September!B53+[7]October!B53+[7]November!B53+[7]December!B53)</f>
        <v>#REF!</v>
      </c>
      <c r="C50" s="22" t="e">
        <f>SUM(#REF!+#REF!+[7]March!C53+[7]April!C53+[7]May!C53+[7]June!C53+[7]July!C53+'[7]August '!C53+[7]September!C53+[7]October!C53+[7]November!C53+[7]December!C53)</f>
        <v>#REF!</v>
      </c>
      <c r="D50" s="22" t="e">
        <f>SUM(#REF!+#REF!+[7]March!D53+[7]April!D53+[7]May!D53+[7]June!D53+[7]July!D53+'[7]August '!D53+[7]September!D53+[7]October!D53+[7]November!D53+[7]December!D53)</f>
        <v>#REF!</v>
      </c>
      <c r="E50" s="22" t="e">
        <f>SUM(#REF!+#REF!+[7]March!E53+[7]April!E53+[7]May!E53+[7]June!E53+[7]July!E53+'[7]August '!E53+[7]September!E53+[7]October!E53+[7]November!E53+[7]December!E53)</f>
        <v>#REF!</v>
      </c>
      <c r="F50" s="22" t="e">
        <f>SUM(#REF!+#REF!+[7]March!F53+[7]April!F53+[7]May!F53+[7]June!F53+[7]July!F53+'[7]August '!F53+[7]September!F53+[7]October!F53+[7]November!F53+[7]December!F53)</f>
        <v>#REF!</v>
      </c>
      <c r="G50" s="22" t="e">
        <f>SUM(#REF!+#REF!+[7]March!G53+[7]April!G53+[7]May!G53+[7]June!G53+[7]July!G53+'[7]August '!G53+[7]September!G53+[7]October!G53+[7]November!G53+[7]December!G53)</f>
        <v>#REF!</v>
      </c>
      <c r="H50" s="22" t="e">
        <f>SUM(#REF!+#REF!+[7]March!H53+[7]April!H53+[7]May!H53+[7]June!H53+[7]July!H53+'[7]August '!H53+[7]September!H53+[7]October!H53+[7]November!H53+[7]December!H53)</f>
        <v>#REF!</v>
      </c>
      <c r="I50" s="22" t="e">
        <f>SUM(#REF!+#REF!+[7]March!I53+[7]April!I53+[7]May!I53+[7]June!I53+[7]July!I53+'[7]August '!I53+[7]September!I53+[7]October!I53+[7]November!I53+[7]December!I53)</f>
        <v>#REF!</v>
      </c>
      <c r="J50" s="3"/>
      <c r="K50" s="1"/>
      <c r="L50" s="1"/>
      <c r="M50" s="1"/>
      <c r="N50" s="1"/>
      <c r="O50" s="1"/>
      <c r="P50" s="1"/>
      <c r="Q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</row>
    <row r="52" spans="1:18" x14ac:dyDescent="0.25">
      <c r="A52" s="1"/>
      <c r="C52" s="1"/>
      <c r="D52" s="1"/>
      <c r="E52" s="1"/>
      <c r="F52" s="1"/>
      <c r="H52" s="1"/>
      <c r="I52" s="6" t="s">
        <v>227</v>
      </c>
      <c r="J52" s="3"/>
      <c r="K52" s="1"/>
      <c r="L52" s="70"/>
      <c r="M52" s="70"/>
      <c r="N52" s="70"/>
      <c r="O52" s="1"/>
      <c r="P52" s="1"/>
      <c r="Q52" s="1"/>
    </row>
    <row r="53" spans="1:18" ht="16.5" thickBot="1" x14ac:dyDescent="0.3">
      <c r="A53" s="1"/>
      <c r="B53" s="1"/>
      <c r="C53" s="1"/>
      <c r="D53" s="1" t="s">
        <v>70</v>
      </c>
      <c r="E53" s="7" t="s">
        <v>135</v>
      </c>
      <c r="F53" s="7" t="s">
        <v>71</v>
      </c>
      <c r="G53" s="6" t="s">
        <v>291</v>
      </c>
      <c r="H53" s="49"/>
      <c r="I53" s="50" t="s">
        <v>73</v>
      </c>
      <c r="J53" s="50" t="s">
        <v>74</v>
      </c>
      <c r="K53" s="50" t="s">
        <v>75</v>
      </c>
      <c r="L53" s="70"/>
      <c r="M53" s="70"/>
      <c r="N53" s="70"/>
      <c r="O53" s="1"/>
      <c r="P53" s="1"/>
    </row>
    <row r="54" spans="1:18" x14ac:dyDescent="0.25">
      <c r="A54" s="1"/>
      <c r="B54" s="1"/>
      <c r="C54" s="1"/>
      <c r="D54" s="1" t="s">
        <v>15</v>
      </c>
      <c r="E54" s="10"/>
      <c r="F54" s="10" t="s">
        <v>228</v>
      </c>
      <c r="G54" s="130" t="s">
        <v>235</v>
      </c>
      <c r="H54" s="3" t="s">
        <v>77</v>
      </c>
      <c r="I54" s="22"/>
      <c r="J54" s="51"/>
      <c r="K54" s="52"/>
      <c r="L54" s="173"/>
      <c r="M54" s="174"/>
      <c r="N54" s="174"/>
      <c r="O54" s="1"/>
    </row>
    <row r="55" spans="1:18" ht="15.75" x14ac:dyDescent="0.25">
      <c r="A55" s="1"/>
      <c r="B55" s="1"/>
      <c r="C55" s="1"/>
      <c r="D55" s="1" t="s">
        <v>16</v>
      </c>
      <c r="E55" s="11" t="e">
        <f>((1/E58)/0.0004)^(1/3)</f>
        <v>#DIV/0!</v>
      </c>
      <c r="F55" s="11"/>
      <c r="G55" s="171">
        <f>((1/G58)/0.0004)^(1/3)</f>
        <v>11.327581283990412</v>
      </c>
      <c r="H55" s="3" t="s">
        <v>78</v>
      </c>
      <c r="I55" s="22"/>
      <c r="J55" s="51"/>
      <c r="K55" s="52"/>
      <c r="L55" s="175"/>
      <c r="M55" s="176"/>
      <c r="N55" s="176"/>
      <c r="O55" s="1"/>
    </row>
    <row r="56" spans="1:18" ht="15.75" x14ac:dyDescent="0.25">
      <c r="A56" s="1"/>
      <c r="B56" s="1"/>
      <c r="C56" s="1"/>
      <c r="D56" s="1" t="s">
        <v>17</v>
      </c>
      <c r="E56" s="83"/>
      <c r="F56" s="83">
        <v>263</v>
      </c>
      <c r="G56" s="136">
        <f>G63+G62</f>
        <v>3917</v>
      </c>
      <c r="H56" s="3" t="s">
        <v>125</v>
      </c>
      <c r="I56" s="22"/>
      <c r="J56" s="51"/>
      <c r="K56" s="52"/>
      <c r="L56" s="175"/>
      <c r="M56" s="176"/>
      <c r="N56" s="176"/>
      <c r="O56" s="1"/>
    </row>
    <row r="57" spans="1:18" ht="15.75" x14ac:dyDescent="0.25">
      <c r="D57" s="1" t="s">
        <v>18</v>
      </c>
      <c r="E57" s="15" t="e">
        <f>E56/E58</f>
        <v>#DIV/0!</v>
      </c>
      <c r="F57" s="15"/>
      <c r="G57" s="136">
        <f>G56/G58</f>
        <v>2277.3255813953488</v>
      </c>
      <c r="H57" s="3" t="s">
        <v>125</v>
      </c>
      <c r="I57" s="22"/>
      <c r="J57" s="51"/>
      <c r="K57" s="52"/>
      <c r="L57" s="173"/>
      <c r="M57" s="174"/>
      <c r="N57" s="174"/>
      <c r="O57" s="1"/>
    </row>
    <row r="58" spans="1:18" ht="15.75" x14ac:dyDescent="0.25">
      <c r="D58" s="1" t="s">
        <v>19</v>
      </c>
      <c r="E58" s="11"/>
      <c r="F58" s="11"/>
      <c r="G58" s="171">
        <v>1.72</v>
      </c>
      <c r="H58" s="3" t="s">
        <v>81</v>
      </c>
      <c r="I58" s="22"/>
      <c r="J58" s="51"/>
      <c r="K58" s="52"/>
      <c r="L58" s="177"/>
      <c r="M58" s="178"/>
      <c r="N58" s="178"/>
      <c r="O58" s="1"/>
    </row>
    <row r="59" spans="1:18" ht="15.75" x14ac:dyDescent="0.25">
      <c r="D59" s="1" t="s">
        <v>20</v>
      </c>
      <c r="E59" s="17"/>
      <c r="F59" s="17"/>
      <c r="G59" s="189" t="s">
        <v>292</v>
      </c>
      <c r="H59" s="122" t="s">
        <v>83</v>
      </c>
      <c r="I59" s="54"/>
      <c r="J59" s="55"/>
      <c r="K59" s="95"/>
      <c r="L59" s="177"/>
      <c r="M59" s="178"/>
      <c r="N59" s="178"/>
      <c r="O59" s="1"/>
    </row>
    <row r="60" spans="1:18" ht="20.25" thickBot="1" x14ac:dyDescent="0.45">
      <c r="D60" s="1" t="s">
        <v>29</v>
      </c>
      <c r="E60" s="37" t="s">
        <v>3</v>
      </c>
      <c r="F60" s="37" t="e">
        <f>F63/F64</f>
        <v>#DIV/0!</v>
      </c>
      <c r="G60" s="190" t="s">
        <v>293</v>
      </c>
      <c r="H60" s="122" t="s">
        <v>266</v>
      </c>
      <c r="I60" s="76"/>
      <c r="J60" s="97"/>
      <c r="K60" s="98"/>
      <c r="L60" s="177"/>
      <c r="M60" s="178"/>
      <c r="N60" s="178"/>
      <c r="O60" s="1"/>
    </row>
    <row r="61" spans="1:18" ht="15.75" x14ac:dyDescent="0.25">
      <c r="D61" s="1" t="s">
        <v>84</v>
      </c>
      <c r="F61" s="20">
        <v>0</v>
      </c>
      <c r="G61" s="20">
        <v>0</v>
      </c>
      <c r="H61" s="3" t="s">
        <v>127</v>
      </c>
      <c r="I61" s="54">
        <f>SUM(I54:I60)</f>
        <v>0</v>
      </c>
      <c r="J61" s="6"/>
      <c r="K61" s="54" t="s">
        <v>267</v>
      </c>
      <c r="L61" s="1"/>
      <c r="M61" s="1"/>
      <c r="N61" s="1"/>
      <c r="O61" s="1"/>
    </row>
    <row r="62" spans="1:18" ht="15.75" x14ac:dyDescent="0.25">
      <c r="D62" s="1" t="s">
        <v>86</v>
      </c>
      <c r="E62" s="20"/>
      <c r="F62" s="20">
        <v>0</v>
      </c>
      <c r="G62" s="20">
        <v>0</v>
      </c>
      <c r="H62" s="1" t="s">
        <v>32</v>
      </c>
      <c r="I62" s="157"/>
      <c r="J62" s="1"/>
      <c r="K62" s="52"/>
      <c r="L62" s="60" t="e">
        <f>I61/K61</f>
        <v>#VALUE!</v>
      </c>
      <c r="M62" s="1"/>
      <c r="N62" s="1"/>
      <c r="O62" s="1"/>
    </row>
    <row r="63" spans="1:18" ht="19.5" x14ac:dyDescent="0.4">
      <c r="D63" s="1" t="s">
        <v>17</v>
      </c>
      <c r="E63" s="23"/>
      <c r="F63" s="23"/>
      <c r="G63" s="22">
        <v>3917</v>
      </c>
      <c r="H63" s="1" t="s">
        <v>29</v>
      </c>
      <c r="I63" s="63" t="e">
        <f>I61/I62</f>
        <v>#DIV/0!</v>
      </c>
      <c r="J63" s="64"/>
      <c r="L63" s="1"/>
      <c r="M63" s="1"/>
      <c r="N63" s="1"/>
      <c r="O63" s="1"/>
      <c r="P63" s="1"/>
    </row>
    <row r="64" spans="1:18" ht="15.75" x14ac:dyDescent="0.25">
      <c r="D64" s="1" t="s">
        <v>32</v>
      </c>
      <c r="E64" s="158"/>
      <c r="F64" s="39"/>
      <c r="G64" s="14">
        <v>4426</v>
      </c>
      <c r="H64" s="1"/>
      <c r="I64" s="3"/>
      <c r="J64" s="1"/>
      <c r="K64" s="1"/>
      <c r="L64" s="1"/>
      <c r="M64" s="1"/>
      <c r="N64" s="1"/>
      <c r="O64" s="1"/>
      <c r="P64" s="1"/>
    </row>
    <row r="65" spans="1:17" ht="19.5" x14ac:dyDescent="0.4">
      <c r="D65" s="1" t="s">
        <v>88</v>
      </c>
      <c r="E65" s="26"/>
      <c r="F65" s="159"/>
      <c r="G65" s="90">
        <f>G63-G64</f>
        <v>-509</v>
      </c>
      <c r="H65" s="1"/>
      <c r="I65" s="1"/>
      <c r="J65" s="3"/>
      <c r="K65" s="1"/>
      <c r="L65" s="1"/>
      <c r="M65" s="1"/>
      <c r="N65" s="1"/>
      <c r="O65" s="1"/>
      <c r="P65" s="1"/>
    </row>
    <row r="66" spans="1:17" x14ac:dyDescent="0.25">
      <c r="D66" s="1" t="s">
        <v>34</v>
      </c>
      <c r="E66" s="23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7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  <c r="Q67" s="1"/>
    </row>
    <row r="68" spans="1:17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  <c r="Q68" s="1"/>
    </row>
    <row r="69" spans="1:17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  <c r="Q69" s="1"/>
    </row>
    <row r="70" spans="1:17" x14ac:dyDescent="0.25">
      <c r="D70" s="1"/>
      <c r="E70" s="22"/>
      <c r="F70" s="22"/>
      <c r="G70" s="22"/>
      <c r="J70" s="33"/>
      <c r="L70" s="1"/>
      <c r="M70" s="1"/>
      <c r="N70" s="1"/>
      <c r="O70" s="1"/>
      <c r="P70" s="1"/>
      <c r="Q70" s="1"/>
    </row>
    <row r="71" spans="1:17" x14ac:dyDescent="0.25">
      <c r="D71" s="1"/>
      <c r="E71" s="51"/>
      <c r="F71" s="51"/>
      <c r="G71" s="51"/>
      <c r="M71" s="1"/>
      <c r="N71" s="1"/>
      <c r="O71" s="1"/>
      <c r="P71" s="1"/>
      <c r="Q71" s="1"/>
    </row>
    <row r="72" spans="1:17" ht="15.75" thickBot="1" x14ac:dyDescent="0.3">
      <c r="A72" s="1"/>
      <c r="B72" s="1"/>
      <c r="C72" s="1"/>
      <c r="D72" s="1"/>
      <c r="E72" s="1"/>
      <c r="F72" s="1"/>
      <c r="G72" s="1"/>
      <c r="P72" s="1"/>
      <c r="Q72" s="1"/>
    </row>
    <row r="73" spans="1:17" ht="15.75" thickBot="1" x14ac:dyDescent="0.3">
      <c r="D73" s="65"/>
      <c r="E73" s="66"/>
      <c r="F73" s="66"/>
      <c r="G73" s="66"/>
      <c r="M73" s="1"/>
      <c r="N73" s="1"/>
    </row>
    <row r="74" spans="1:17" x14ac:dyDescent="0.25">
      <c r="D74" s="68" t="s">
        <v>89</v>
      </c>
      <c r="E74" s="69"/>
      <c r="F74" s="70"/>
      <c r="G74" s="71" t="s">
        <v>90</v>
      </c>
      <c r="H74" s="67"/>
    </row>
    <row r="75" spans="1:17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2"/>
    </row>
    <row r="76" spans="1:17" x14ac:dyDescent="0.25">
      <c r="D76" s="73" t="s">
        <v>18</v>
      </c>
      <c r="E76" s="54">
        <f>SUM(B10:I10,B25:D25,F22,H25,B41:D41,H41)</f>
        <v>52664.008059527732</v>
      </c>
      <c r="F76" s="70"/>
      <c r="G76" s="70" t="s">
        <v>18</v>
      </c>
      <c r="H76" s="74">
        <f>SUM(F56)</f>
        <v>263</v>
      </c>
      <c r="J76" s="33"/>
    </row>
    <row r="77" spans="1:17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7" ht="15.75" thickBot="1" x14ac:dyDescent="0.3">
      <c r="H78" s="78">
        <f>B66</f>
        <v>0</v>
      </c>
      <c r="J78" s="33"/>
    </row>
    <row r="79" spans="1:17" x14ac:dyDescent="0.25">
      <c r="D79" s="65" t="s">
        <v>91</v>
      </c>
      <c r="E79" s="66"/>
      <c r="F79" s="66"/>
      <c r="G79" s="79"/>
      <c r="H79" s="1"/>
      <c r="J79" s="33"/>
    </row>
    <row r="80" spans="1:17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>
        <f>SUM(E76,H77)</f>
        <v>52664.008059527732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-32632</v>
      </c>
      <c r="J82" s="33"/>
    </row>
    <row r="83" spans="1:10" x14ac:dyDescent="0.25">
      <c r="J83" s="33"/>
    </row>
  </sheetData>
  <mergeCells count="1">
    <mergeCell ref="D74:E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0CB3-4C6C-466D-BB85-EDBF8F06F3C6}">
  <dimension ref="A1:Q82"/>
  <sheetViews>
    <sheetView workbookViewId="0">
      <selection activeCell="O3" sqref="O3"/>
    </sheetView>
  </sheetViews>
  <sheetFormatPr defaultRowHeight="15" x14ac:dyDescent="0.25"/>
  <cols>
    <col min="1" max="1" width="13.5703125" bestFit="1" customWidth="1"/>
    <col min="2" max="2" width="15.7109375" bestFit="1" customWidth="1"/>
    <col min="3" max="3" width="18.7109375" bestFit="1" customWidth="1"/>
    <col min="4" max="4" width="13.5703125" customWidth="1"/>
    <col min="5" max="5" width="13.42578125" customWidth="1"/>
    <col min="6" max="7" width="14.140625" customWidth="1"/>
    <col min="8" max="8" width="13.140625" customWidth="1"/>
    <col min="9" max="9" width="12.7109375" customWidth="1"/>
    <col min="10" max="10" width="11.85546875" bestFit="1" customWidth="1"/>
  </cols>
  <sheetData>
    <row r="1" spans="1:17" ht="18" x14ac:dyDescent="0.25">
      <c r="A1" s="1"/>
      <c r="B1" s="1"/>
      <c r="C1" s="1"/>
      <c r="D1" s="2" t="s">
        <v>0</v>
      </c>
      <c r="E1" s="1"/>
      <c r="F1" s="1"/>
      <c r="G1" s="1"/>
      <c r="I1" s="1"/>
      <c r="J1" s="3"/>
      <c r="K1" s="1"/>
      <c r="L1" s="1"/>
      <c r="P1" s="1"/>
      <c r="Q1" s="1"/>
    </row>
    <row r="2" spans="1:17" ht="18" x14ac:dyDescent="0.25">
      <c r="A2" s="1"/>
      <c r="B2" s="1"/>
      <c r="C2" s="1"/>
      <c r="D2" s="2" t="s">
        <v>1</v>
      </c>
      <c r="E2" s="1"/>
      <c r="F2" s="1"/>
      <c r="G2" s="1"/>
      <c r="I2" s="1"/>
      <c r="J2" s="3"/>
      <c r="K2" s="1"/>
      <c r="L2" s="1"/>
      <c r="P2" s="1"/>
      <c r="Q2" s="1"/>
    </row>
    <row r="3" spans="1:17" ht="18" x14ac:dyDescent="0.25">
      <c r="A3" s="1"/>
      <c r="B3" s="1"/>
      <c r="C3" s="1"/>
      <c r="D3" s="1"/>
      <c r="E3" s="4" t="s">
        <v>294</v>
      </c>
      <c r="F3" s="1"/>
      <c r="G3" s="1"/>
      <c r="H3" s="5"/>
      <c r="J3" s="3"/>
      <c r="K3" s="1"/>
      <c r="L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 t="s">
        <v>3</v>
      </c>
      <c r="H4" s="1"/>
      <c r="I4" s="1"/>
      <c r="J4" s="3"/>
      <c r="K4" s="1"/>
      <c r="L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P5" s="1"/>
      <c r="Q5" s="1"/>
    </row>
    <row r="6" spans="1:17" ht="15.75" thickBot="1" x14ac:dyDescent="0.3">
      <c r="A6" s="1" t="s">
        <v>4</v>
      </c>
      <c r="B6" s="6" t="s">
        <v>5</v>
      </c>
      <c r="C6" s="6" t="s">
        <v>6</v>
      </c>
      <c r="D6" s="7" t="s">
        <v>7</v>
      </c>
      <c r="E6" s="6" t="s">
        <v>8</v>
      </c>
      <c r="F6" s="7" t="s">
        <v>9</v>
      </c>
      <c r="G6" s="7" t="s">
        <v>10</v>
      </c>
      <c r="H6" s="6" t="s">
        <v>11</v>
      </c>
      <c r="I6" s="7" t="s">
        <v>12</v>
      </c>
      <c r="J6" s="3" t="s">
        <v>4</v>
      </c>
      <c r="K6" s="8"/>
      <c r="L6" s="1"/>
      <c r="P6" s="1"/>
      <c r="Q6" s="1"/>
    </row>
    <row r="7" spans="1:17" x14ac:dyDescent="0.25">
      <c r="A7" s="9" t="s">
        <v>13</v>
      </c>
      <c r="B7" s="10" t="s">
        <v>235</v>
      </c>
      <c r="C7" s="10" t="s">
        <v>234</v>
      </c>
      <c r="D7" s="10" t="s">
        <v>235</v>
      </c>
      <c r="E7" s="10" t="s">
        <v>236</v>
      </c>
      <c r="F7" s="10" t="s">
        <v>236</v>
      </c>
      <c r="G7" s="10" t="s">
        <v>236</v>
      </c>
      <c r="H7" s="10" t="s">
        <v>234</v>
      </c>
      <c r="I7" s="10" t="s">
        <v>235</v>
      </c>
      <c r="J7" s="3" t="s">
        <v>15</v>
      </c>
      <c r="K7" s="8"/>
      <c r="L7" s="1"/>
      <c r="M7" s="1"/>
      <c r="P7" s="1"/>
      <c r="Q7" s="1"/>
    </row>
    <row r="8" spans="1:17" ht="15.75" x14ac:dyDescent="0.25">
      <c r="A8" s="1" t="s">
        <v>16</v>
      </c>
      <c r="B8" s="11">
        <f>((1/B11)/0.0004)^(1/3)</f>
        <v>10.683872974985421</v>
      </c>
      <c r="C8" s="11">
        <f t="shared" ref="C8:I8" si="0">((1/C11)/0.0004)^(1/3)</f>
        <v>10.996658031710911</v>
      </c>
      <c r="D8" s="11">
        <f t="shared" si="0"/>
        <v>10.86346740846674</v>
      </c>
      <c r="E8" s="11">
        <f t="shared" si="0"/>
        <v>10.957937084221749</v>
      </c>
      <c r="F8" s="12">
        <f t="shared" si="0"/>
        <v>10.564964674109122</v>
      </c>
      <c r="G8" s="11">
        <f t="shared" si="0"/>
        <v>10.882101179818642</v>
      </c>
      <c r="H8" s="12">
        <f t="shared" si="0"/>
        <v>10.808321954133797</v>
      </c>
      <c r="I8" s="11">
        <f t="shared" si="0"/>
        <v>10.649352950906913</v>
      </c>
      <c r="J8" s="3" t="s">
        <v>16</v>
      </c>
      <c r="K8" s="12"/>
      <c r="L8" s="1"/>
      <c r="M8" s="1"/>
      <c r="P8" s="1"/>
      <c r="Q8" s="1"/>
    </row>
    <row r="9" spans="1:17" ht="15.75" x14ac:dyDescent="0.25">
      <c r="A9" s="9" t="s">
        <v>17</v>
      </c>
      <c r="B9" s="83">
        <f>B16+B15</f>
        <v>11395</v>
      </c>
      <c r="C9" s="83">
        <f t="shared" ref="C9:I9" si="1">C16+C15</f>
        <v>7811</v>
      </c>
      <c r="D9" s="83">
        <f t="shared" si="1"/>
        <v>9356</v>
      </c>
      <c r="E9" s="83">
        <f t="shared" si="1"/>
        <v>8487</v>
      </c>
      <c r="F9" s="83">
        <f t="shared" si="1"/>
        <v>8367.16</v>
      </c>
      <c r="G9" s="83">
        <f t="shared" si="1"/>
        <v>8106</v>
      </c>
      <c r="H9" s="83">
        <f t="shared" si="1"/>
        <v>11776</v>
      </c>
      <c r="I9" s="15">
        <f t="shared" si="1"/>
        <v>8372</v>
      </c>
      <c r="J9" s="3" t="s">
        <v>17</v>
      </c>
      <c r="L9" s="14">
        <f>SUM(B9:I9)</f>
        <v>73670.16</v>
      </c>
      <c r="M9" s="84"/>
      <c r="P9" s="8"/>
      <c r="Q9" s="8"/>
    </row>
    <row r="10" spans="1:17" ht="15.75" x14ac:dyDescent="0.25">
      <c r="A10" s="1" t="s">
        <v>18</v>
      </c>
      <c r="B10" s="15">
        <f t="shared" ref="B10:I10" si="2">B9/B11</f>
        <v>5558.5365853658541</v>
      </c>
      <c r="C10" s="15">
        <f t="shared" si="2"/>
        <v>4154.7872340425538</v>
      </c>
      <c r="D10" s="15">
        <f t="shared" si="2"/>
        <v>4797.9487179487178</v>
      </c>
      <c r="E10" s="15">
        <f t="shared" si="2"/>
        <v>4466.8421052631584</v>
      </c>
      <c r="F10" s="14">
        <f t="shared" si="2"/>
        <v>3946.7735849056603</v>
      </c>
      <c r="G10" s="15">
        <f t="shared" si="2"/>
        <v>4178.3505154639179</v>
      </c>
      <c r="H10" s="14">
        <f t="shared" si="2"/>
        <v>5947.4747474747473</v>
      </c>
      <c r="I10" s="15">
        <f t="shared" si="2"/>
        <v>4044.4444444444448</v>
      </c>
      <c r="J10" s="3" t="s">
        <v>18</v>
      </c>
      <c r="K10" s="179" t="s">
        <v>237</v>
      </c>
      <c r="L10" s="14">
        <f>SUM(B10:I10)</f>
        <v>37095.157934909053</v>
      </c>
      <c r="M10" s="16"/>
      <c r="P10" s="16"/>
      <c r="Q10" s="16"/>
    </row>
    <row r="11" spans="1:17" ht="15.75" x14ac:dyDescent="0.25">
      <c r="A11" s="9" t="s">
        <v>19</v>
      </c>
      <c r="B11" s="116">
        <v>2.0499999999999998</v>
      </c>
      <c r="C11" s="116">
        <v>1.88</v>
      </c>
      <c r="D11" s="185">
        <v>1.95</v>
      </c>
      <c r="E11" s="116">
        <v>1.9</v>
      </c>
      <c r="F11" s="185">
        <v>2.12</v>
      </c>
      <c r="G11" s="116">
        <v>1.94</v>
      </c>
      <c r="H11" s="185">
        <v>1.98</v>
      </c>
      <c r="I11" s="116">
        <v>2.0699999999999998</v>
      </c>
      <c r="J11" s="3" t="s">
        <v>19</v>
      </c>
      <c r="L11" s="12"/>
      <c r="M11" s="8"/>
      <c r="P11" s="8"/>
      <c r="Q11" s="8"/>
    </row>
    <row r="12" spans="1:17" ht="15.75" x14ac:dyDescent="0.25">
      <c r="A12" s="1" t="s">
        <v>20</v>
      </c>
      <c r="B12" s="17" t="s">
        <v>295</v>
      </c>
      <c r="C12" s="17" t="s">
        <v>296</v>
      </c>
      <c r="D12" s="87" t="s">
        <v>297</v>
      </c>
      <c r="E12" s="17" t="s">
        <v>298</v>
      </c>
      <c r="F12" s="87" t="s">
        <v>299</v>
      </c>
      <c r="G12" s="17" t="s">
        <v>300</v>
      </c>
      <c r="H12" s="87" t="s">
        <v>301</v>
      </c>
      <c r="I12" s="17" t="s">
        <v>302</v>
      </c>
      <c r="J12" s="3" t="s">
        <v>20</v>
      </c>
      <c r="L12" s="18"/>
      <c r="M12" s="8"/>
      <c r="P12" s="8"/>
      <c r="Q12" s="8"/>
    </row>
    <row r="13" spans="1:17" ht="20.25" thickBot="1" x14ac:dyDescent="0.45">
      <c r="A13" s="1" t="s">
        <v>29</v>
      </c>
      <c r="B13" s="19">
        <f t="shared" ref="B13:I13" si="3">B16/B17</f>
        <v>0.91474672874688934</v>
      </c>
      <c r="C13" s="38">
        <f t="shared" si="3"/>
        <v>1.0050180133813691</v>
      </c>
      <c r="D13" s="19">
        <f t="shared" si="3"/>
        <v>0.88514664143803212</v>
      </c>
      <c r="E13" s="19">
        <f t="shared" si="3"/>
        <v>0.93448579608015858</v>
      </c>
      <c r="F13" s="19">
        <f t="shared" si="3"/>
        <v>0.83180614946039499</v>
      </c>
      <c r="G13" s="19">
        <f t="shared" si="3"/>
        <v>0.92830966559780115</v>
      </c>
      <c r="H13" s="38">
        <f t="shared" si="3"/>
        <v>1.1470874732125462</v>
      </c>
      <c r="I13" s="19">
        <f t="shared" si="3"/>
        <v>0.88144872604758895</v>
      </c>
      <c r="J13" s="3" t="s">
        <v>20</v>
      </c>
      <c r="L13" s="20"/>
      <c r="M13" s="160">
        <f>L9/L17</f>
        <v>0.94208570442077266</v>
      </c>
      <c r="P13" s="12"/>
      <c r="Q13" s="12"/>
    </row>
    <row r="14" spans="1:17" ht="15.75" x14ac:dyDescent="0.25">
      <c r="A14" s="1" t="s">
        <v>30</v>
      </c>
      <c r="B14" s="21">
        <v>0</v>
      </c>
      <c r="C14" s="21">
        <v>0</v>
      </c>
      <c r="D14" s="21"/>
      <c r="E14" s="21">
        <v>0</v>
      </c>
      <c r="F14" s="21">
        <v>93</v>
      </c>
      <c r="G14" s="21">
        <v>0</v>
      </c>
      <c r="H14" s="21">
        <v>0</v>
      </c>
      <c r="I14" s="21">
        <v>0</v>
      </c>
      <c r="J14" s="3" t="s">
        <v>30</v>
      </c>
      <c r="L14" s="20"/>
      <c r="M14" s="12"/>
      <c r="N14">
        <v>2023</v>
      </c>
      <c r="P14" s="12"/>
      <c r="Q14" s="12"/>
    </row>
    <row r="15" spans="1:17" ht="15.75" x14ac:dyDescent="0.25">
      <c r="A15" s="1" t="s">
        <v>31</v>
      </c>
      <c r="B15" s="21">
        <f>B14*B11</f>
        <v>0</v>
      </c>
      <c r="C15" s="21">
        <f t="shared" ref="C15:I15" si="4">(C11*C14)</f>
        <v>0</v>
      </c>
      <c r="D15" s="21">
        <f t="shared" si="4"/>
        <v>0</v>
      </c>
      <c r="E15" s="21">
        <f t="shared" si="4"/>
        <v>0</v>
      </c>
      <c r="F15" s="21">
        <f t="shared" si="4"/>
        <v>197.16</v>
      </c>
      <c r="G15" s="21">
        <f t="shared" si="4"/>
        <v>0</v>
      </c>
      <c r="H15" s="21">
        <f t="shared" si="4"/>
        <v>0</v>
      </c>
      <c r="I15" s="21">
        <f t="shared" si="4"/>
        <v>0</v>
      </c>
      <c r="J15" s="3" t="s">
        <v>31</v>
      </c>
      <c r="L15" s="20"/>
      <c r="M15" s="12"/>
      <c r="N15" s="123">
        <f>SUM(L9,L24,L40)</f>
        <v>166790.16</v>
      </c>
      <c r="P15" s="12"/>
      <c r="Q15" s="12"/>
    </row>
    <row r="16" spans="1:17" ht="15.75" x14ac:dyDescent="0.25">
      <c r="A16" s="1" t="s">
        <v>17</v>
      </c>
      <c r="B16" s="23">
        <v>11395</v>
      </c>
      <c r="C16" s="23">
        <v>7811</v>
      </c>
      <c r="D16" s="23">
        <v>9356</v>
      </c>
      <c r="E16" s="23">
        <v>8487</v>
      </c>
      <c r="F16" s="61">
        <v>8170</v>
      </c>
      <c r="G16" s="23">
        <v>8106</v>
      </c>
      <c r="H16" s="23">
        <v>11776</v>
      </c>
      <c r="I16" s="23">
        <v>8372</v>
      </c>
      <c r="J16" s="3" t="s">
        <v>17</v>
      </c>
      <c r="L16" s="14">
        <f>SUM(B16:I16)</f>
        <v>73473</v>
      </c>
      <c r="N16" s="123">
        <f>SUM(L17,L32,L48)</f>
        <v>192238</v>
      </c>
      <c r="O16" s="191">
        <f>N15/N16</f>
        <v>0.86762325866894163</v>
      </c>
      <c r="Q16" s="1"/>
    </row>
    <row r="17" spans="1:17" ht="15.75" x14ac:dyDescent="0.25">
      <c r="A17" s="1" t="s">
        <v>32</v>
      </c>
      <c r="B17" s="25">
        <v>12457</v>
      </c>
      <c r="C17" s="39">
        <v>7772</v>
      </c>
      <c r="D17" s="39">
        <v>10570</v>
      </c>
      <c r="E17" s="25">
        <v>9082</v>
      </c>
      <c r="F17" s="25">
        <v>9822</v>
      </c>
      <c r="G17" s="25">
        <v>8732</v>
      </c>
      <c r="H17" s="25">
        <v>10266</v>
      </c>
      <c r="I17" s="25">
        <v>9498</v>
      </c>
      <c r="J17" s="6" t="s">
        <v>32</v>
      </c>
      <c r="L17" s="14">
        <f>SUM(B17:I17)</f>
        <v>78199</v>
      </c>
      <c r="Q17" s="1"/>
    </row>
    <row r="18" spans="1:17" ht="19.5" x14ac:dyDescent="0.4">
      <c r="A18" s="1" t="s">
        <v>33</v>
      </c>
      <c r="B18" s="127">
        <f t="shared" ref="B18:I18" si="5">B16-B17</f>
        <v>-1062</v>
      </c>
      <c r="C18" s="126">
        <f t="shared" si="5"/>
        <v>39</v>
      </c>
      <c r="D18" s="127">
        <f t="shared" si="5"/>
        <v>-1214</v>
      </c>
      <c r="E18" s="127">
        <f t="shared" si="5"/>
        <v>-595</v>
      </c>
      <c r="F18" s="127">
        <f t="shared" si="5"/>
        <v>-1652</v>
      </c>
      <c r="G18" s="127">
        <f t="shared" si="5"/>
        <v>-626</v>
      </c>
      <c r="H18" s="126">
        <f t="shared" si="5"/>
        <v>1510</v>
      </c>
      <c r="I18" s="162">
        <f t="shared" si="5"/>
        <v>-1126</v>
      </c>
      <c r="J18" s="27"/>
      <c r="K18" s="28"/>
      <c r="L18" s="14">
        <f>SUM(B18:I18)</f>
        <v>-4726</v>
      </c>
      <c r="M18" s="29"/>
      <c r="N18" s="28"/>
      <c r="O18" s="28"/>
      <c r="P18" s="29"/>
      <c r="Q18" s="29"/>
    </row>
    <row r="19" spans="1:17" x14ac:dyDescent="0.25">
      <c r="A19" s="1" t="s">
        <v>34</v>
      </c>
      <c r="B19" s="22" t="e">
        <f>SUM(#REF!+#REF!+[8]March!B19+[8]April!B19+[8]May!B19+[8]June!B19+[8]July!B19+'[8]August '!B19+[8]September!B19+[8]October!B19+[8]November!B19+[8]December!B19)</f>
        <v>#REF!</v>
      </c>
      <c r="C19" s="22" t="e">
        <f>SUM(#REF!+#REF!+[8]March!C19+[8]April!C19+[8]May!C19+[8]June!C19+[8]July!C19+'[8]August '!C19+[8]September!C19+[8]October!C19+[8]November!C19+[8]December!C19)</f>
        <v>#REF!</v>
      </c>
      <c r="D19" s="22" t="e">
        <f>SUM(#REF!+#REF!+[8]March!D19+[8]April!D19+[8]May!D19+[8]June!D19+[8]July!D19+'[8]August '!D19+[8]September!D19+[8]October!D19+[8]November!D19+[8]December!D19)</f>
        <v>#REF!</v>
      </c>
      <c r="E19" s="22" t="e">
        <f>SUM(#REF!+#REF!+[8]March!E19+[8]April!E19+[8]May!E19+[8]June!E19+[8]July!E19+'[8]August '!E19+[8]September!E19+[8]October!E19+[8]November!E19+[8]December!E19)</f>
        <v>#REF!</v>
      </c>
      <c r="F19" s="23" t="e">
        <f>SUM(#REF!+#REF!+[8]March!F19+[8]April!F19+[8]May!F19+[8]June!F19+[8]July!F19+'[8]August '!F19+[8]September!F19+[8]October!F19+[8]November!F19+[8]December!F19)</f>
        <v>#REF!</v>
      </c>
      <c r="G19" s="23" t="e">
        <f>SUM(#REF!+#REF!+[8]March!G19+[8]April!G19+[8]May!G19+[8]June!G19+[8]July!G19+'[8]August '!G19+[8]September!G19+[8]October!G19+[8]November!G19+[8]December!G19)</f>
        <v>#REF!</v>
      </c>
      <c r="H19" s="22" t="e">
        <f>SUM(#REF!+#REF!+[8]March!H19+[8]April!H19+[8]May!H19+[8]June!H19+[8]July!H19+'[8]August '!H19+[8]September!H19+[8]October!H19+[8]November!H19+[8]December!H19)</f>
        <v>#REF!</v>
      </c>
      <c r="I19" s="23" t="e">
        <f>SUM(#REF!+#REF!+[8]March!I19+[8]April!I19+[8]May!I19+[8]June!I19+[8]July!I19+'[8]August '!I19+[8]September!I19+[8]October!I19+[8]November!I19+[8]December!I19)</f>
        <v>#REF!</v>
      </c>
      <c r="J19" s="3"/>
      <c r="L19" s="24"/>
      <c r="Q19" s="1"/>
    </row>
    <row r="20" spans="1:17" x14ac:dyDescent="0.25">
      <c r="B20" s="30"/>
      <c r="C20" s="31"/>
      <c r="D20" s="30"/>
      <c r="E20" s="30"/>
      <c r="F20" s="32"/>
      <c r="G20" s="32"/>
      <c r="H20" s="31"/>
      <c r="I20" s="30"/>
      <c r="J20" s="33"/>
    </row>
    <row r="21" spans="1:17" ht="15.75" thickBot="1" x14ac:dyDescent="0.3">
      <c r="A21" s="1" t="s">
        <v>4</v>
      </c>
      <c r="B21" s="6" t="s">
        <v>35</v>
      </c>
      <c r="C21" s="6" t="s">
        <v>36</v>
      </c>
      <c r="D21" s="6" t="s">
        <v>37</v>
      </c>
      <c r="E21" s="6" t="s">
        <v>103</v>
      </c>
      <c r="F21" s="7" t="s">
        <v>39</v>
      </c>
      <c r="G21" s="7" t="s">
        <v>40</v>
      </c>
      <c r="H21" s="7" t="s">
        <v>41</v>
      </c>
      <c r="I21" s="6" t="s">
        <v>42</v>
      </c>
      <c r="J21" s="3" t="s">
        <v>4</v>
      </c>
      <c r="Q21" s="1"/>
    </row>
    <row r="22" spans="1:17" x14ac:dyDescent="0.25">
      <c r="A22" s="9" t="s">
        <v>13</v>
      </c>
      <c r="B22" s="10" t="s">
        <v>235</v>
      </c>
      <c r="C22" s="164" t="s">
        <v>235</v>
      </c>
      <c r="D22" s="10" t="s">
        <v>234</v>
      </c>
      <c r="E22" s="10" t="s">
        <v>236</v>
      </c>
      <c r="F22" s="10" t="s">
        <v>236</v>
      </c>
      <c r="G22" s="10" t="s">
        <v>236</v>
      </c>
      <c r="H22" s="10" t="s">
        <v>236</v>
      </c>
      <c r="I22" s="10" t="s">
        <v>236</v>
      </c>
      <c r="J22" s="3" t="s">
        <v>15</v>
      </c>
      <c r="Q22" s="1"/>
    </row>
    <row r="23" spans="1:17" ht="15.75" x14ac:dyDescent="0.25">
      <c r="A23" s="1" t="s">
        <v>16</v>
      </c>
      <c r="B23" s="11">
        <f t="shared" ref="B23:I23" si="6">((1/B26)/0.0004)^(1/3)</f>
        <v>10.977229266805823</v>
      </c>
      <c r="C23" s="12">
        <f t="shared" si="6"/>
        <v>11.136630518875656</v>
      </c>
      <c r="D23" s="11">
        <f t="shared" si="6"/>
        <v>11.075773399575761</v>
      </c>
      <c r="E23" s="34">
        <f t="shared" si="6"/>
        <v>10.977229266805823</v>
      </c>
      <c r="F23" s="11">
        <f t="shared" si="6"/>
        <v>10.683872974985421</v>
      </c>
      <c r="G23" s="11">
        <f t="shared" si="6"/>
        <v>11.095911213733805</v>
      </c>
      <c r="H23" s="11">
        <f t="shared" si="6"/>
        <v>10.790187151690485</v>
      </c>
      <c r="I23" s="11">
        <f t="shared" si="6"/>
        <v>11.095911213733805</v>
      </c>
      <c r="J23" s="3" t="s">
        <v>16</v>
      </c>
      <c r="Q23" s="1"/>
    </row>
    <row r="24" spans="1:17" ht="15.75" x14ac:dyDescent="0.25">
      <c r="A24" s="9" t="s">
        <v>17</v>
      </c>
      <c r="B24" s="83">
        <f>B31+B30</f>
        <v>2276</v>
      </c>
      <c r="C24" s="186">
        <f t="shared" ref="C24:H24" si="7">C31+C30</f>
        <v>7067</v>
      </c>
      <c r="D24" s="83">
        <f t="shared" si="7"/>
        <v>7998</v>
      </c>
      <c r="E24" s="35">
        <f t="shared" si="7"/>
        <v>7685</v>
      </c>
      <c r="F24" s="15">
        <f t="shared" si="7"/>
        <v>7346</v>
      </c>
      <c r="G24" s="83">
        <f t="shared" si="7"/>
        <v>8230</v>
      </c>
      <c r="H24" s="83">
        <f t="shared" si="7"/>
        <v>8709</v>
      </c>
      <c r="I24" s="83">
        <f>I31+I30</f>
        <v>7281</v>
      </c>
      <c r="J24" s="3" t="s">
        <v>17</v>
      </c>
      <c r="L24" s="14">
        <f>SUM(B24:I24)</f>
        <v>56592</v>
      </c>
      <c r="M24" s="91"/>
      <c r="Q24" s="1"/>
    </row>
    <row r="25" spans="1:17" ht="15.75" x14ac:dyDescent="0.25">
      <c r="A25" s="1" t="s">
        <v>18</v>
      </c>
      <c r="B25" s="15">
        <f t="shared" ref="B25:I25" si="8">B24/B26</f>
        <v>1204.2328042328043</v>
      </c>
      <c r="C25" s="14">
        <f t="shared" si="8"/>
        <v>3904.4198895027621</v>
      </c>
      <c r="D25" s="15">
        <f t="shared" si="8"/>
        <v>4346.7391304347821</v>
      </c>
      <c r="E25" s="35">
        <f t="shared" si="8"/>
        <v>4066.1375661375664</v>
      </c>
      <c r="F25" s="35">
        <f t="shared" si="8"/>
        <v>3583.414634146342</v>
      </c>
      <c r="G25" s="35">
        <f t="shared" si="8"/>
        <v>4497.2677595628411</v>
      </c>
      <c r="H25" s="35">
        <f t="shared" si="8"/>
        <v>4376.3819095477384</v>
      </c>
      <c r="I25" s="35">
        <f t="shared" si="8"/>
        <v>3978.688524590164</v>
      </c>
      <c r="J25" s="3" t="s">
        <v>18</v>
      </c>
      <c r="K25" s="179" t="s">
        <v>246</v>
      </c>
      <c r="L25" s="14">
        <f>SUM(B25:I25)</f>
        <v>29957.282218155</v>
      </c>
      <c r="Q25" s="1"/>
    </row>
    <row r="26" spans="1:17" ht="15.75" x14ac:dyDescent="0.25">
      <c r="A26" s="9" t="s">
        <v>19</v>
      </c>
      <c r="B26" s="116">
        <v>1.89</v>
      </c>
      <c r="C26" s="185">
        <v>1.81</v>
      </c>
      <c r="D26" s="116">
        <v>1.84</v>
      </c>
      <c r="E26" s="187">
        <v>1.89</v>
      </c>
      <c r="F26" s="187">
        <v>2.0499999999999998</v>
      </c>
      <c r="G26" s="116">
        <v>1.83</v>
      </c>
      <c r="H26" s="116">
        <v>1.99</v>
      </c>
      <c r="I26" s="116">
        <v>1.83</v>
      </c>
      <c r="J26" s="3" t="s">
        <v>19</v>
      </c>
      <c r="Q26" s="1"/>
    </row>
    <row r="27" spans="1:17" ht="15.75" x14ac:dyDescent="0.25">
      <c r="A27" s="1" t="s">
        <v>20</v>
      </c>
      <c r="B27" s="17" t="s">
        <v>303</v>
      </c>
      <c r="C27" s="87" t="s">
        <v>304</v>
      </c>
      <c r="D27" s="17" t="s">
        <v>305</v>
      </c>
      <c r="E27" s="36" t="s">
        <v>306</v>
      </c>
      <c r="F27" s="36" t="s">
        <v>307</v>
      </c>
      <c r="G27" s="17" t="s">
        <v>308</v>
      </c>
      <c r="H27" s="17" t="s">
        <v>309</v>
      </c>
      <c r="I27" s="17" t="s">
        <v>310</v>
      </c>
      <c r="J27" s="3" t="s">
        <v>20</v>
      </c>
      <c r="M27" s="160">
        <f>L24/L32</f>
        <v>0.85745454545454547</v>
      </c>
      <c r="Q27" s="1"/>
    </row>
    <row r="28" spans="1:17" ht="20.25" thickBot="1" x14ac:dyDescent="0.45">
      <c r="A28" s="1" t="s">
        <v>29</v>
      </c>
      <c r="B28" s="37">
        <f t="shared" ref="B28:I28" si="9">B31/B32</f>
        <v>0.84296296296296291</v>
      </c>
      <c r="C28" s="188">
        <f t="shared" si="9"/>
        <v>0.77108565193671574</v>
      </c>
      <c r="D28" s="38">
        <f t="shared" si="9"/>
        <v>1.0031355825912454</v>
      </c>
      <c r="E28" s="169">
        <f t="shared" si="9"/>
        <v>0.81159573344598157</v>
      </c>
      <c r="F28" s="19">
        <f t="shared" si="9"/>
        <v>0.83203080756597581</v>
      </c>
      <c r="G28" s="19">
        <f t="shared" si="9"/>
        <v>0.86951928156365554</v>
      </c>
      <c r="H28" s="19">
        <f t="shared" si="9"/>
        <v>0.93254095727593955</v>
      </c>
      <c r="I28" s="19">
        <f t="shared" si="9"/>
        <v>0.80364238410596023</v>
      </c>
      <c r="J28" s="3" t="s">
        <v>53</v>
      </c>
      <c r="N28" s="192" t="s">
        <v>303</v>
      </c>
      <c r="O28" s="193" t="s">
        <v>311</v>
      </c>
      <c r="P28" s="193" t="s">
        <v>312</v>
      </c>
      <c r="Q28" s="1"/>
    </row>
    <row r="29" spans="1:17" x14ac:dyDescent="0.25">
      <c r="A29" s="9" t="s">
        <v>30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21">
        <v>0</v>
      </c>
      <c r="I29" s="8">
        <v>0</v>
      </c>
      <c r="J29" s="3" t="s">
        <v>30</v>
      </c>
      <c r="N29" s="123"/>
      <c r="O29" s="123">
        <f>N29*0.85</f>
        <v>0</v>
      </c>
      <c r="P29" s="123">
        <f>N29*0.8</f>
        <v>0</v>
      </c>
      <c r="Q29" s="1"/>
    </row>
    <row r="30" spans="1:17" x14ac:dyDescent="0.25">
      <c r="A30" s="9" t="s">
        <v>31</v>
      </c>
      <c r="B30" s="21">
        <f t="shared" ref="B30:G30" si="10">(B26*B29)</f>
        <v>0</v>
      </c>
      <c r="C30" s="21">
        <f t="shared" si="10"/>
        <v>0</v>
      </c>
      <c r="D30" s="21">
        <f t="shared" si="10"/>
        <v>0</v>
      </c>
      <c r="E30" s="21">
        <f t="shared" si="10"/>
        <v>0</v>
      </c>
      <c r="F30" s="21">
        <f t="shared" si="10"/>
        <v>0</v>
      </c>
      <c r="G30" s="21">
        <f t="shared" si="10"/>
        <v>0</v>
      </c>
      <c r="H30" s="21">
        <v>0</v>
      </c>
      <c r="I30" s="21">
        <f>(I26*I29)</f>
        <v>0</v>
      </c>
      <c r="J30" s="3" t="s">
        <v>31</v>
      </c>
      <c r="Q30" s="1"/>
    </row>
    <row r="31" spans="1:17" ht="15.75" x14ac:dyDescent="0.25">
      <c r="A31" s="9" t="s">
        <v>17</v>
      </c>
      <c r="B31" s="23">
        <v>2276</v>
      </c>
      <c r="C31" s="23">
        <v>7067</v>
      </c>
      <c r="D31" s="23">
        <v>7998</v>
      </c>
      <c r="E31" s="23">
        <v>7685</v>
      </c>
      <c r="F31" s="23">
        <v>7346</v>
      </c>
      <c r="G31" s="23">
        <v>8230</v>
      </c>
      <c r="H31" s="23">
        <v>8709</v>
      </c>
      <c r="I31" s="23">
        <v>7281</v>
      </c>
      <c r="J31" s="3" t="s">
        <v>17</v>
      </c>
      <c r="L31" s="14">
        <f>SUM(C31:I31)</f>
        <v>54316</v>
      </c>
      <c r="M31" s="39"/>
      <c r="P31" s="39"/>
      <c r="Q31" s="39"/>
    </row>
    <row r="32" spans="1:17" ht="15.75" x14ac:dyDescent="0.25">
      <c r="A32" s="9" t="s">
        <v>32</v>
      </c>
      <c r="B32" s="25">
        <v>2700</v>
      </c>
      <c r="C32" s="25">
        <v>9165</v>
      </c>
      <c r="D32" s="25">
        <v>7973</v>
      </c>
      <c r="E32" s="25">
        <v>9469</v>
      </c>
      <c r="F32" s="25">
        <v>8829</v>
      </c>
      <c r="G32" s="25">
        <v>9465</v>
      </c>
      <c r="H32" s="25">
        <v>9339</v>
      </c>
      <c r="I32" s="25">
        <v>9060</v>
      </c>
      <c r="J32" s="6" t="s">
        <v>32</v>
      </c>
      <c r="L32" s="14">
        <f>SUM(B32:I32)</f>
        <v>66000</v>
      </c>
      <c r="P32" s="181" t="s">
        <v>254</v>
      </c>
      <c r="Q32" s="181" t="s">
        <v>255</v>
      </c>
    </row>
    <row r="33" spans="1:17" ht="19.5" x14ac:dyDescent="0.4">
      <c r="A33" s="9" t="s">
        <v>33</v>
      </c>
      <c r="B33" s="127">
        <f t="shared" ref="B33:I33" si="11">B31-B32</f>
        <v>-424</v>
      </c>
      <c r="C33" s="127">
        <f t="shared" si="11"/>
        <v>-2098</v>
      </c>
      <c r="D33" s="127">
        <f t="shared" si="11"/>
        <v>25</v>
      </c>
      <c r="E33" s="127">
        <f t="shared" si="11"/>
        <v>-1784</v>
      </c>
      <c r="F33" s="162">
        <f t="shared" si="11"/>
        <v>-1483</v>
      </c>
      <c r="G33" s="127">
        <f t="shared" si="11"/>
        <v>-1235</v>
      </c>
      <c r="H33" s="127">
        <f t="shared" si="11"/>
        <v>-630</v>
      </c>
      <c r="I33" s="127">
        <f t="shared" si="11"/>
        <v>-1779</v>
      </c>
      <c r="J33" s="28"/>
      <c r="K33" s="28"/>
      <c r="L33" s="14">
        <f>SUM(C33:E33,G33,I33)</f>
        <v>-6871</v>
      </c>
      <c r="M33" s="28"/>
      <c r="N33" s="182" t="s">
        <v>218</v>
      </c>
      <c r="O33" s="182" t="s">
        <v>219</v>
      </c>
      <c r="P33" s="182" t="s">
        <v>237</v>
      </c>
      <c r="Q33" s="182" t="s">
        <v>256</v>
      </c>
    </row>
    <row r="34" spans="1:17" x14ac:dyDescent="0.25">
      <c r="A34" s="1" t="s">
        <v>34</v>
      </c>
      <c r="B34" s="22" t="e">
        <f>SUM(#REF!+#REF!+[8]March!B36+[8]April!B36+[8]May!B36+[8]June!B36+[8]July!B36+'[8]August '!B36+[8]September!B36+[8]October!B36+[8]November!B36+[8]December!B36)</f>
        <v>#REF!</v>
      </c>
      <c r="C34" s="22" t="e">
        <f>SUM(#REF!+#REF!+[8]March!C36+[8]April!C36+[8]May!C36+[8]June!C36+[8]July!C36+'[8]August '!C36+[8]September!C36+[8]October!C36+[8]November!C36+[8]December!C36)</f>
        <v>#REF!</v>
      </c>
      <c r="D34" s="22" t="e">
        <f>SUM(#REF!+#REF!+[8]March!D36+[8]April!D36+[8]May!D36+[8]June!D36+[8]July!D36+'[8]August '!D36+[8]September!D36+[8]October!D36+[8]November!D36+[8]December!D36)</f>
        <v>#REF!</v>
      </c>
      <c r="E34" s="22" t="e">
        <f>SUM(#REF!+#REF!+[8]March!E36+[8]April!E36+[8]May!E36+[8]June!E36+[8]July!E36+'[8]August '!E36+[8]September!E36+[8]October!E36+[8]November!E36+[8]December!E36)</f>
        <v>#REF!</v>
      </c>
      <c r="F34" s="23" t="e">
        <f>SUM(#REF!+#REF!+[8]March!F36+[8]April!F36+[8]May!F36+[8]June!F36+[8]July!F36+'[8]August '!F36+[8]September!F36+[8]October!F36+[8]November!F36+[8]December!F36)</f>
        <v>#REF!</v>
      </c>
      <c r="G34" s="22" t="e">
        <f>SUM(#REF!+#REF!+[8]March!G36+[8]April!G36+[8]May!G36+[8]June!G36+[8]July!G36+'[8]August '!G36+[8]September!G36+[8]October!G36+[8]November!G36+[8]December!G36)</f>
        <v>#REF!</v>
      </c>
      <c r="H34" s="22" t="e">
        <f>SUM(#REF!+#REF!+[8]March!H36+[8]April!H36+[8]May!H36+[8]June!H36+[8]July!H36+'[8]August '!H36+[8]September!H36+[8]October!H36+[8]November!H36+[8]December!H36)</f>
        <v>#REF!</v>
      </c>
      <c r="I34" s="22" t="e">
        <f>SUM(#REF!+#REF!+[8]March!I36+[8]April!I36+[8]May!I36+[8]June!I36+[8]July!I36+'[8]August '!I36+[8]September!I36+[8]October!I36+[8]November!I36+[8]December!I36)</f>
        <v>#REF!</v>
      </c>
      <c r="J34" s="3"/>
      <c r="N34" s="46">
        <f>SUM(L17,L32,L48,G64,L64)</f>
        <v>200072</v>
      </c>
      <c r="O34" s="46">
        <f>SUM(L16,L31,L47,G63,L63)</f>
        <v>172151</v>
      </c>
      <c r="P34" s="46">
        <f>SUM(L10,L25,L41,L57)</f>
        <v>88397.067479373538</v>
      </c>
      <c r="Q34" s="93">
        <f>O34/P34</f>
        <v>1.9474741064251877</v>
      </c>
    </row>
    <row r="35" spans="1:17" x14ac:dyDescent="0.25">
      <c r="B35" s="31"/>
      <c r="C35" s="31"/>
      <c r="D35" s="30"/>
      <c r="E35" s="6"/>
      <c r="F35" s="31"/>
      <c r="G35" s="31"/>
      <c r="H35" s="31"/>
      <c r="I35" s="31"/>
      <c r="J35" s="31"/>
      <c r="Q35" s="1"/>
    </row>
    <row r="36" spans="1:17" x14ac:dyDescent="0.25">
      <c r="A36" s="1"/>
      <c r="B36" s="1"/>
      <c r="C36" s="1"/>
      <c r="E36" s="1"/>
      <c r="F36" s="1" t="s">
        <v>54</v>
      </c>
      <c r="G36" s="1"/>
      <c r="H36" s="1"/>
      <c r="I36" s="1"/>
      <c r="J36" s="3"/>
      <c r="L36" s="1"/>
      <c r="M36" s="1"/>
      <c r="N36" s="1"/>
      <c r="O36" s="1"/>
      <c r="P36" s="1"/>
      <c r="Q36" s="1"/>
    </row>
    <row r="37" spans="1:17" ht="15.75" thickBot="1" x14ac:dyDescent="0.3">
      <c r="A37" s="1" t="s">
        <v>4</v>
      </c>
      <c r="B37" s="7" t="s">
        <v>55</v>
      </c>
      <c r="C37" s="6" t="s">
        <v>56</v>
      </c>
      <c r="D37" s="6" t="s">
        <v>57</v>
      </c>
      <c r="E37" s="6" t="s">
        <v>285</v>
      </c>
      <c r="F37" s="7" t="s">
        <v>59</v>
      </c>
      <c r="G37" s="7" t="s">
        <v>60</v>
      </c>
      <c r="H37" s="6" t="s">
        <v>61</v>
      </c>
      <c r="I37" s="7" t="s">
        <v>134</v>
      </c>
      <c r="J37" s="3" t="s">
        <v>4</v>
      </c>
      <c r="L37" s="1"/>
      <c r="M37" s="1"/>
      <c r="N37" s="170">
        <f>O34/N34</f>
        <v>0.86044523971370301</v>
      </c>
      <c r="O37" s="1" t="s">
        <v>220</v>
      </c>
      <c r="P37" s="1"/>
      <c r="Q37" s="1"/>
    </row>
    <row r="38" spans="1:17" x14ac:dyDescent="0.25">
      <c r="A38" s="9" t="s">
        <v>13</v>
      </c>
      <c r="B38" s="10"/>
      <c r="C38" s="130" t="s">
        <v>235</v>
      </c>
      <c r="D38" s="10" t="s">
        <v>234</v>
      </c>
      <c r="E38" s="130" t="s">
        <v>235</v>
      </c>
      <c r="F38" s="130" t="s">
        <v>235</v>
      </c>
      <c r="G38" s="10"/>
      <c r="H38" s="194"/>
      <c r="I38" s="194" t="s">
        <v>236</v>
      </c>
      <c r="J38" s="3" t="s">
        <v>15</v>
      </c>
      <c r="L38" s="1"/>
      <c r="M38" s="1"/>
      <c r="N38" s="1"/>
      <c r="O38" s="1"/>
      <c r="P38" s="1"/>
      <c r="Q38" s="1"/>
    </row>
    <row r="39" spans="1:17" ht="15.75" x14ac:dyDescent="0.25">
      <c r="A39" s="1" t="s">
        <v>16</v>
      </c>
      <c r="B39" s="11"/>
      <c r="C39" s="171">
        <f t="shared" ref="C39:I39" si="12">((1/C42)/0.0004)^(1/3)</f>
        <v>10.7188449853527</v>
      </c>
      <c r="D39" s="11">
        <f t="shared" si="12"/>
        <v>10.93877981248815</v>
      </c>
      <c r="E39" s="171">
        <f t="shared" si="12"/>
        <v>10.93877981248815</v>
      </c>
      <c r="F39" s="171">
        <f t="shared" si="12"/>
        <v>10.7188449853527</v>
      </c>
      <c r="G39" s="11" t="e">
        <f t="shared" si="12"/>
        <v>#DIV/0!</v>
      </c>
      <c r="H39" s="195">
        <f t="shared" si="12"/>
        <v>10.977229266805823</v>
      </c>
      <c r="I39" s="196">
        <f t="shared" si="12"/>
        <v>11.157215834702827</v>
      </c>
      <c r="J39" s="3" t="s">
        <v>16</v>
      </c>
      <c r="L39" s="1"/>
      <c r="M39" s="1"/>
      <c r="N39" s="1"/>
      <c r="O39" s="1"/>
      <c r="P39" s="1"/>
      <c r="Q39" s="1"/>
    </row>
    <row r="40" spans="1:17" ht="15.75" x14ac:dyDescent="0.25">
      <c r="A40" s="1" t="s">
        <v>17</v>
      </c>
      <c r="B40" s="13"/>
      <c r="C40" s="136">
        <f>C47+C46</f>
        <v>4135</v>
      </c>
      <c r="D40" s="15">
        <f>D47+D46</f>
        <v>6061</v>
      </c>
      <c r="E40" s="136">
        <f>E47+E46</f>
        <v>5192</v>
      </c>
      <c r="F40" s="136">
        <f>F47+F46</f>
        <v>6385</v>
      </c>
      <c r="G40" s="115"/>
      <c r="H40" s="197">
        <f>H47+H46</f>
        <v>7704</v>
      </c>
      <c r="I40" s="197">
        <f>I47+I46</f>
        <v>7051</v>
      </c>
      <c r="J40" s="3" t="s">
        <v>17</v>
      </c>
      <c r="L40" s="14">
        <f>SUM(C40:D40,E40:F40,H40:I40)</f>
        <v>36528</v>
      </c>
      <c r="M40" s="1"/>
      <c r="N40" s="1"/>
      <c r="O40" s="1"/>
      <c r="P40" s="1"/>
      <c r="Q40" s="1"/>
    </row>
    <row r="41" spans="1:17" ht="15.75" x14ac:dyDescent="0.25">
      <c r="A41" s="1" t="s">
        <v>18</v>
      </c>
      <c r="B41" s="15" t="s">
        <v>45</v>
      </c>
      <c r="C41" s="136">
        <f t="shared" ref="C41:I41" si="13">C40/C42</f>
        <v>2036.945812807882</v>
      </c>
      <c r="D41" s="15">
        <f>D40/D42</f>
        <v>3173.2984293193717</v>
      </c>
      <c r="E41" s="136">
        <f t="shared" si="13"/>
        <v>2718.3246073298428</v>
      </c>
      <c r="F41" s="136">
        <f t="shared" si="13"/>
        <v>3145.3201970443351</v>
      </c>
      <c r="G41" s="15"/>
      <c r="H41" s="197">
        <f>H40/H42</f>
        <v>4076.1904761904766</v>
      </c>
      <c r="I41" s="198">
        <f t="shared" si="13"/>
        <v>3917.2222222222222</v>
      </c>
      <c r="J41" s="3" t="s">
        <v>18</v>
      </c>
      <c r="L41" s="14">
        <f>SUM(C41:I41)</f>
        <v>19067.30174491413</v>
      </c>
      <c r="M41" s="1"/>
      <c r="N41" s="1"/>
      <c r="O41" s="1"/>
      <c r="P41" s="1"/>
      <c r="Q41" s="1"/>
    </row>
    <row r="42" spans="1:17" ht="15.75" x14ac:dyDescent="0.25">
      <c r="A42" s="1" t="s">
        <v>19</v>
      </c>
      <c r="B42" s="11"/>
      <c r="C42" s="199">
        <v>2.0299999999999998</v>
      </c>
      <c r="D42" s="116">
        <v>1.91</v>
      </c>
      <c r="E42" s="199">
        <v>1.91</v>
      </c>
      <c r="F42" s="199">
        <v>2.0299999999999998</v>
      </c>
      <c r="G42" s="116"/>
      <c r="H42" s="200">
        <v>1.89</v>
      </c>
      <c r="I42" s="200">
        <v>1.8</v>
      </c>
      <c r="J42" s="3" t="s">
        <v>19</v>
      </c>
      <c r="K42" s="1"/>
      <c r="L42" s="1"/>
      <c r="M42" s="1"/>
      <c r="N42" s="1"/>
      <c r="O42" s="1"/>
      <c r="P42" s="1"/>
      <c r="Q42" s="1"/>
    </row>
    <row r="43" spans="1:17" ht="15.75" x14ac:dyDescent="0.25">
      <c r="A43" s="1" t="s">
        <v>20</v>
      </c>
      <c r="B43" s="17"/>
      <c r="C43" s="147" t="s">
        <v>313</v>
      </c>
      <c r="D43" s="17" t="s">
        <v>314</v>
      </c>
      <c r="E43" s="147" t="s">
        <v>315</v>
      </c>
      <c r="F43" s="147" t="s">
        <v>316</v>
      </c>
      <c r="G43" s="17"/>
      <c r="H43" s="201" t="s">
        <v>317</v>
      </c>
      <c r="I43" s="201" t="s">
        <v>318</v>
      </c>
      <c r="J43" s="3" t="s">
        <v>20</v>
      </c>
      <c r="K43" s="1"/>
      <c r="L43" s="1"/>
      <c r="M43" s="160">
        <f>L40/L48</f>
        <v>0.76038218947105474</v>
      </c>
      <c r="N43" s="1"/>
      <c r="O43" s="1"/>
      <c r="P43" s="1"/>
      <c r="Q43" s="1"/>
    </row>
    <row r="44" spans="1:17" ht="20.25" thickBot="1" x14ac:dyDescent="0.45">
      <c r="A44" s="1" t="s">
        <v>29</v>
      </c>
      <c r="B44" s="37"/>
      <c r="C44" s="19">
        <f t="shared" ref="C44:I44" si="14">C47/C48</f>
        <v>0.65906917437041757</v>
      </c>
      <c r="D44" s="19">
        <f t="shared" si="14"/>
        <v>0.66197029270423768</v>
      </c>
      <c r="E44" s="19">
        <f t="shared" si="14"/>
        <v>0.87304523289053304</v>
      </c>
      <c r="F44" s="19">
        <f t="shared" si="14"/>
        <v>0.78247549019607843</v>
      </c>
      <c r="G44" s="37"/>
      <c r="H44" s="19">
        <f t="shared" si="14"/>
        <v>0.76801914066394184</v>
      </c>
      <c r="I44" s="19">
        <f t="shared" si="14"/>
        <v>0.83236925982764731</v>
      </c>
      <c r="J44" s="3" t="s">
        <v>53</v>
      </c>
      <c r="K44" s="1"/>
      <c r="L44" s="1"/>
      <c r="M44" s="1"/>
      <c r="N44" s="1"/>
      <c r="O44" s="1"/>
      <c r="P44" s="1"/>
      <c r="Q44" s="1"/>
    </row>
    <row r="45" spans="1:17" x14ac:dyDescent="0.25">
      <c r="A45" s="1" t="s">
        <v>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3" t="s">
        <v>30</v>
      </c>
      <c r="K45" s="1"/>
      <c r="L45" s="1"/>
      <c r="M45" s="1"/>
      <c r="N45" s="1" t="s">
        <v>3</v>
      </c>
      <c r="O45" s="1"/>
      <c r="P45" s="1"/>
      <c r="Q45" s="1"/>
    </row>
    <row r="46" spans="1:17" x14ac:dyDescent="0.25">
      <c r="A46" s="1" t="s">
        <v>31</v>
      </c>
      <c r="B46" s="21">
        <f t="shared" ref="B46:I46" si="15">(B42*B45)</f>
        <v>0</v>
      </c>
      <c r="C46" s="21">
        <f t="shared" si="15"/>
        <v>0</v>
      </c>
      <c r="D46" s="21">
        <v>0</v>
      </c>
      <c r="E46" s="21">
        <f t="shared" si="15"/>
        <v>0</v>
      </c>
      <c r="F46" s="21"/>
      <c r="G46" s="21">
        <f t="shared" si="15"/>
        <v>0</v>
      </c>
      <c r="H46" s="21">
        <f t="shared" si="15"/>
        <v>0</v>
      </c>
      <c r="I46" s="21">
        <f t="shared" si="15"/>
        <v>0</v>
      </c>
      <c r="J46" s="3" t="s">
        <v>31</v>
      </c>
      <c r="K46" s="1"/>
      <c r="L46" s="1"/>
      <c r="M46" s="1"/>
      <c r="N46" s="1"/>
      <c r="O46" s="1"/>
      <c r="P46" s="1"/>
      <c r="Q46" s="1"/>
    </row>
    <row r="47" spans="1:17" ht="15.75" x14ac:dyDescent="0.25">
      <c r="A47" s="1" t="s">
        <v>17</v>
      </c>
      <c r="B47" s="22"/>
      <c r="C47" s="22">
        <v>4135</v>
      </c>
      <c r="D47" s="22">
        <v>6061</v>
      </c>
      <c r="E47" s="22">
        <v>5192</v>
      </c>
      <c r="F47" s="22">
        <v>6385</v>
      </c>
      <c r="G47" s="22"/>
      <c r="H47" s="22">
        <v>7704</v>
      </c>
      <c r="I47" s="22">
        <v>7051</v>
      </c>
      <c r="J47" s="3" t="s">
        <v>17</v>
      </c>
      <c r="K47" s="1"/>
      <c r="L47" s="14">
        <f>SUM(C47:F47,H47:I47)</f>
        <v>36528</v>
      </c>
      <c r="M47" s="1"/>
      <c r="N47" s="1"/>
      <c r="O47" s="1"/>
      <c r="P47" s="1"/>
      <c r="Q47" s="1"/>
    </row>
    <row r="48" spans="1:17" ht="15.75" x14ac:dyDescent="0.25">
      <c r="A48" s="1" t="s">
        <v>32</v>
      </c>
      <c r="B48" s="25"/>
      <c r="C48" s="25">
        <v>6274</v>
      </c>
      <c r="D48" s="39">
        <v>9156</v>
      </c>
      <c r="E48" s="25">
        <v>5947</v>
      </c>
      <c r="F48" s="25">
        <v>8160</v>
      </c>
      <c r="G48" s="14"/>
      <c r="H48" s="14">
        <v>10031</v>
      </c>
      <c r="I48" s="14">
        <v>8471</v>
      </c>
      <c r="J48" s="3" t="s">
        <v>18</v>
      </c>
      <c r="K48" s="1"/>
      <c r="L48" s="14">
        <f>SUM(C48:I48)</f>
        <v>48039</v>
      </c>
      <c r="M48" s="39"/>
      <c r="N48" s="39"/>
      <c r="O48" s="39"/>
      <c r="P48" s="39"/>
      <c r="Q48" s="39"/>
    </row>
    <row r="49" spans="1:17" ht="19.5" x14ac:dyDescent="0.4">
      <c r="A49" s="1" t="s">
        <v>33</v>
      </c>
      <c r="B49" s="41"/>
      <c r="C49" s="41">
        <f t="shared" ref="C49:I49" si="16">C47-C48</f>
        <v>-2139</v>
      </c>
      <c r="D49" s="41">
        <f t="shared" si="16"/>
        <v>-3095</v>
      </c>
      <c r="E49" s="41">
        <f t="shared" si="16"/>
        <v>-755</v>
      </c>
      <c r="F49" s="41">
        <f t="shared" si="16"/>
        <v>-1775</v>
      </c>
      <c r="G49" s="41"/>
      <c r="H49" s="41"/>
      <c r="I49" s="41">
        <f t="shared" si="16"/>
        <v>-1420</v>
      </c>
      <c r="J49" s="27"/>
      <c r="K49" s="45"/>
      <c r="L49" s="14">
        <f>SUM(B49:I49)</f>
        <v>-9184</v>
      </c>
      <c r="M49" s="45"/>
      <c r="N49" s="45"/>
      <c r="O49" s="45"/>
      <c r="P49" s="45"/>
      <c r="Q49" s="45"/>
    </row>
    <row r="50" spans="1:17" x14ac:dyDescent="0.25">
      <c r="A50" s="1" t="s">
        <v>34</v>
      </c>
      <c r="B50" s="22" t="e">
        <f>SUM(#REF!+#REF!+[8]March!B53+[8]April!B53+[8]May!B53+[8]June!B53+[8]July!B53+'[8]August '!B53+[8]September!B53+[8]October!B53+[8]November!B53+[8]December!B53)</f>
        <v>#REF!</v>
      </c>
      <c r="C50" s="22" t="e">
        <f>SUM(#REF!+#REF!+[8]March!C53+[8]April!C53+[8]May!C53+[8]June!C53+[8]July!C53+'[8]August '!C53+[8]September!C53+[8]October!C53+[8]November!C53+[8]December!C53)</f>
        <v>#REF!</v>
      </c>
      <c r="D50" s="22" t="e">
        <f>SUM(#REF!+#REF!+[8]March!D53+[8]April!D53+[8]May!D53+[8]June!D53+[8]July!D53+'[8]August '!D53+[8]September!D53+[8]October!D53+[8]November!D53+[8]December!D53)</f>
        <v>#REF!</v>
      </c>
      <c r="E50" s="22" t="e">
        <f>SUM(#REF!+#REF!+[8]March!E53+[8]April!E53+[8]May!E53+[8]June!E53+[8]July!E53+'[8]August '!E53+[8]September!E53+[8]October!E53+[8]November!E53+[8]December!E53)</f>
        <v>#REF!</v>
      </c>
      <c r="F50" s="22" t="e">
        <f>SUM(#REF!+#REF!+[8]March!F53+[8]April!F53+[8]May!F53+[8]June!F53+[8]July!F53+'[8]August '!F53+[8]September!F53+[8]October!F53+[8]November!F53+[8]December!F53)</f>
        <v>#REF!</v>
      </c>
      <c r="G50" s="22" t="e">
        <f>SUM(#REF!+#REF!+[8]March!G53+[8]April!G53+[8]May!G53+[8]June!G53+[8]July!G53+'[8]August '!G53+[8]September!G53+[8]October!G53+[8]November!G53+[8]December!G53)</f>
        <v>#REF!</v>
      </c>
      <c r="H50" s="22" t="e">
        <f>SUM(#REF!+#REF!+[8]March!H53+[8]April!H53+[8]May!H53+[8]June!H53+[8]July!H53+'[8]August '!H53+[8]September!H53+[8]October!H53+[8]November!H53+[8]December!H53)</f>
        <v>#REF!</v>
      </c>
      <c r="I50" s="22" t="e">
        <f>SUM(#REF!+#REF!+[8]March!I53+[8]April!I53+[8]May!I53+[8]June!I53+[8]July!I53+'[8]August '!I53+[8]September!I53+[8]October!I53+[8]November!I53+[8]December!I53)</f>
        <v>#REF!</v>
      </c>
      <c r="J50" s="3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C52" s="1"/>
      <c r="D52" s="1"/>
      <c r="E52" s="1"/>
      <c r="F52" s="1"/>
      <c r="H52" s="1"/>
      <c r="I52" s="6" t="s">
        <v>227</v>
      </c>
      <c r="J52" s="3" t="s">
        <v>3</v>
      </c>
      <c r="K52" s="1"/>
      <c r="L52" s="70"/>
      <c r="M52" s="70"/>
      <c r="N52" s="70"/>
      <c r="O52" s="1"/>
      <c r="P52" s="1"/>
      <c r="Q52" s="1"/>
    </row>
    <row r="53" spans="1:17" ht="16.5" thickBot="1" x14ac:dyDescent="0.3">
      <c r="A53" s="1"/>
      <c r="B53" s="1"/>
      <c r="C53" s="1"/>
      <c r="D53" s="1" t="s">
        <v>70</v>
      </c>
      <c r="E53" s="202" t="s">
        <v>319</v>
      </c>
      <c r="F53" s="7" t="s">
        <v>71</v>
      </c>
      <c r="G53" s="6" t="s">
        <v>291</v>
      </c>
      <c r="H53" s="49"/>
      <c r="I53" s="50" t="s">
        <v>73</v>
      </c>
      <c r="J53" s="50" t="s">
        <v>74</v>
      </c>
      <c r="K53" s="50" t="s">
        <v>75</v>
      </c>
      <c r="L53" s="70"/>
      <c r="M53" s="70"/>
      <c r="N53" s="70"/>
      <c r="O53" s="1"/>
      <c r="P53" s="1"/>
    </row>
    <row r="54" spans="1:17" x14ac:dyDescent="0.25">
      <c r="A54" s="1"/>
      <c r="B54" s="1"/>
      <c r="C54" s="1"/>
      <c r="D54" s="1" t="s">
        <v>15</v>
      </c>
      <c r="E54" s="203"/>
      <c r="F54" s="163" t="s">
        <v>228</v>
      </c>
      <c r="G54" s="10" t="s">
        <v>236</v>
      </c>
      <c r="H54" s="3" t="s">
        <v>77</v>
      </c>
      <c r="I54" s="22"/>
      <c r="J54" s="51"/>
      <c r="K54" s="52"/>
      <c r="L54" s="173"/>
      <c r="M54" s="174"/>
      <c r="N54" s="174"/>
      <c r="O54" s="1"/>
    </row>
    <row r="55" spans="1:17" ht="15.75" x14ac:dyDescent="0.25">
      <c r="A55" s="1"/>
      <c r="B55" s="1"/>
      <c r="C55" s="1"/>
      <c r="D55" s="1" t="s">
        <v>16</v>
      </c>
      <c r="E55" s="204">
        <f>((1/E58)/0.0004)^(1/3)</f>
        <v>10.977229266805823</v>
      </c>
      <c r="F55" s="166"/>
      <c r="G55" s="11">
        <f>((1/G58)/0.0004)^(1/3)</f>
        <v>11.327581283990412</v>
      </c>
      <c r="H55" s="3" t="s">
        <v>78</v>
      </c>
      <c r="I55" s="22"/>
      <c r="J55" s="51"/>
      <c r="K55" s="52"/>
      <c r="L55" s="175"/>
      <c r="M55" s="176"/>
      <c r="N55" s="176"/>
      <c r="O55" s="1"/>
    </row>
    <row r="56" spans="1:17" ht="15.75" x14ac:dyDescent="0.25">
      <c r="A56" s="1"/>
      <c r="B56" s="1"/>
      <c r="C56" s="1"/>
      <c r="D56" s="1" t="s">
        <v>17</v>
      </c>
      <c r="E56" s="205">
        <f>E63+E62</f>
        <v>4201</v>
      </c>
      <c r="F56" s="165">
        <v>263</v>
      </c>
      <c r="G56" s="83">
        <f>G63+G62</f>
        <v>3917</v>
      </c>
      <c r="H56" s="3" t="s">
        <v>125</v>
      </c>
      <c r="I56" s="22"/>
      <c r="J56" s="51"/>
      <c r="K56" s="52"/>
      <c r="L56" s="206">
        <f>G56</f>
        <v>3917</v>
      </c>
      <c r="M56" s="176"/>
      <c r="N56" s="176"/>
      <c r="O56" s="1"/>
    </row>
    <row r="57" spans="1:17" ht="15.75" x14ac:dyDescent="0.25">
      <c r="D57" s="1" t="s">
        <v>18</v>
      </c>
      <c r="E57" s="205">
        <f>E56/E58</f>
        <v>2222.7513227513227</v>
      </c>
      <c r="F57" s="183"/>
      <c r="G57" s="15">
        <f>G56/G58</f>
        <v>2277.3255813953488</v>
      </c>
      <c r="H57" s="3" t="s">
        <v>125</v>
      </c>
      <c r="I57" s="22"/>
      <c r="J57" s="51"/>
      <c r="K57" s="52"/>
      <c r="L57" s="206">
        <f>G57</f>
        <v>2277.3255813953488</v>
      </c>
      <c r="M57" s="174"/>
      <c r="N57" s="174"/>
      <c r="O57" s="1"/>
    </row>
    <row r="58" spans="1:17" ht="15.75" x14ac:dyDescent="0.25">
      <c r="D58" s="1" t="s">
        <v>19</v>
      </c>
      <c r="E58" s="204">
        <v>1.89</v>
      </c>
      <c r="F58" s="166"/>
      <c r="G58" s="11">
        <v>1.72</v>
      </c>
      <c r="H58" s="3" t="s">
        <v>81</v>
      </c>
      <c r="I58" s="22"/>
      <c r="J58" s="51"/>
      <c r="K58" s="52"/>
      <c r="L58" s="177"/>
      <c r="M58" s="178"/>
      <c r="N58" s="178"/>
      <c r="O58" s="1"/>
    </row>
    <row r="59" spans="1:17" ht="15.75" x14ac:dyDescent="0.25">
      <c r="D59" s="1" t="s">
        <v>20</v>
      </c>
      <c r="E59" s="207"/>
      <c r="F59" s="167"/>
      <c r="G59" s="17">
        <v>44947</v>
      </c>
      <c r="H59" s="122" t="s">
        <v>83</v>
      </c>
      <c r="I59" s="54"/>
      <c r="J59" s="55"/>
      <c r="K59" s="95"/>
      <c r="L59" s="177"/>
      <c r="M59" s="178"/>
      <c r="N59" s="178"/>
      <c r="O59" s="1"/>
    </row>
    <row r="60" spans="1:17" ht="20.25" thickBot="1" x14ac:dyDescent="0.45">
      <c r="D60" s="1" t="s">
        <v>29</v>
      </c>
      <c r="E60" s="208" t="s">
        <v>320</v>
      </c>
      <c r="F60" s="184" t="e">
        <f>F63/F64</f>
        <v>#DIV/0!</v>
      </c>
      <c r="G60" s="19"/>
      <c r="H60" s="122" t="s">
        <v>266</v>
      </c>
      <c r="I60" s="76"/>
      <c r="J60" s="97"/>
      <c r="K60" s="98"/>
      <c r="L60" s="177"/>
      <c r="M60" s="178"/>
      <c r="N60" s="178"/>
      <c r="O60" s="1"/>
    </row>
    <row r="61" spans="1:17" ht="15.75" x14ac:dyDescent="0.25">
      <c r="D61" s="1" t="s">
        <v>84</v>
      </c>
      <c r="E61" s="209"/>
      <c r="F61" s="20">
        <v>0</v>
      </c>
      <c r="G61" s="20">
        <v>0</v>
      </c>
      <c r="H61" s="3" t="s">
        <v>127</v>
      </c>
      <c r="I61" s="54">
        <f>SUM(I54:I60)</f>
        <v>0</v>
      </c>
      <c r="J61" s="6"/>
      <c r="K61" s="54" t="s">
        <v>267</v>
      </c>
      <c r="L61" s="1"/>
      <c r="M61" s="1"/>
      <c r="N61" s="1"/>
      <c r="O61" s="1"/>
    </row>
    <row r="62" spans="1:17" ht="15.75" x14ac:dyDescent="0.25">
      <c r="D62" s="1" t="s">
        <v>86</v>
      </c>
      <c r="E62" s="210"/>
      <c r="F62" s="20">
        <v>0</v>
      </c>
      <c r="G62" s="20">
        <v>0</v>
      </c>
      <c r="H62" s="1" t="s">
        <v>32</v>
      </c>
      <c r="I62" s="157"/>
      <c r="J62" s="1"/>
      <c r="K62" s="52"/>
      <c r="M62" s="1"/>
      <c r="N62" s="1"/>
      <c r="O62" s="1"/>
    </row>
    <row r="63" spans="1:17" ht="19.5" x14ac:dyDescent="0.4">
      <c r="D63" s="1" t="s">
        <v>17</v>
      </c>
      <c r="E63" s="211">
        <v>4201</v>
      </c>
      <c r="F63" s="23"/>
      <c r="G63" s="22">
        <v>3917</v>
      </c>
      <c r="H63" s="1" t="s">
        <v>29</v>
      </c>
      <c r="I63" s="154" t="e">
        <f>I61/I62</f>
        <v>#DIV/0!</v>
      </c>
      <c r="J63" s="64"/>
      <c r="L63" s="52">
        <f>G63</f>
        <v>3917</v>
      </c>
      <c r="M63" s="1"/>
      <c r="N63" s="1"/>
      <c r="O63" s="1"/>
      <c r="P63" s="1"/>
    </row>
    <row r="64" spans="1:17" ht="15.75" x14ac:dyDescent="0.25">
      <c r="D64" s="1" t="s">
        <v>32</v>
      </c>
      <c r="E64" s="212">
        <v>4201</v>
      </c>
      <c r="F64" s="39"/>
      <c r="G64" s="14">
        <v>3917</v>
      </c>
      <c r="H64" s="1"/>
      <c r="I64" s="3"/>
      <c r="J64" s="1"/>
      <c r="K64" s="1"/>
      <c r="L64" s="52">
        <f>G64</f>
        <v>3917</v>
      </c>
      <c r="M64" s="1"/>
      <c r="N64" s="1"/>
      <c r="O64" s="1"/>
      <c r="P64" s="1"/>
    </row>
    <row r="65" spans="1:17" ht="19.5" x14ac:dyDescent="0.4">
      <c r="D65" s="1" t="s">
        <v>88</v>
      </c>
      <c r="E65" s="213"/>
      <c r="F65" s="159"/>
      <c r="G65" s="127">
        <f>G63-G64</f>
        <v>0</v>
      </c>
      <c r="H65" s="1"/>
      <c r="I65" s="1"/>
      <c r="J65" s="3"/>
      <c r="K65" s="1"/>
      <c r="L65" s="1"/>
      <c r="M65" s="1"/>
      <c r="N65" s="1"/>
      <c r="O65" s="1"/>
      <c r="P65" s="1"/>
    </row>
    <row r="66" spans="1:17" x14ac:dyDescent="0.25">
      <c r="D66" s="1" t="s">
        <v>34</v>
      </c>
      <c r="E66" s="211"/>
      <c r="F66" s="22"/>
      <c r="G66" s="22"/>
      <c r="H66" s="1"/>
      <c r="I66" s="1"/>
      <c r="J66" s="3"/>
      <c r="K66" s="1"/>
      <c r="L66" s="1"/>
      <c r="M66" s="1"/>
      <c r="N66" s="1"/>
      <c r="O66" s="1"/>
      <c r="P66" s="1"/>
    </row>
    <row r="67" spans="1:17" x14ac:dyDescent="0.25">
      <c r="D67" s="1"/>
      <c r="E67" s="22"/>
      <c r="F67" s="22"/>
      <c r="G67" s="22"/>
      <c r="H67" s="1"/>
      <c r="I67" s="1"/>
      <c r="J67" s="3"/>
      <c r="K67" s="1"/>
      <c r="L67" s="1"/>
      <c r="M67" s="1"/>
      <c r="N67" s="1"/>
      <c r="O67" s="1"/>
      <c r="P67" s="1"/>
      <c r="Q67" s="1"/>
    </row>
    <row r="68" spans="1:17" x14ac:dyDescent="0.25">
      <c r="D68" s="1"/>
      <c r="E68" s="22"/>
      <c r="F68" s="22"/>
      <c r="G68" s="22"/>
      <c r="H68" s="1"/>
      <c r="I68" s="1"/>
      <c r="J68" s="3"/>
      <c r="K68" s="1"/>
      <c r="L68" s="1"/>
      <c r="M68" s="1"/>
      <c r="N68" s="1"/>
      <c r="O68" s="1"/>
      <c r="P68" s="1"/>
      <c r="Q68" s="1"/>
    </row>
    <row r="69" spans="1:17" x14ac:dyDescent="0.25">
      <c r="D69" s="1"/>
      <c r="E69" s="22"/>
      <c r="F69" s="22"/>
      <c r="G69" s="22"/>
      <c r="H69" s="1"/>
      <c r="I69" s="1"/>
      <c r="J69" s="3"/>
      <c r="K69" s="1"/>
      <c r="L69" s="1"/>
      <c r="M69" s="1"/>
      <c r="N69" s="1"/>
      <c r="O69" s="1"/>
      <c r="P69" s="1"/>
      <c r="Q69" s="1"/>
    </row>
    <row r="70" spans="1:17" x14ac:dyDescent="0.25">
      <c r="D70" s="1"/>
      <c r="E70" s="22"/>
      <c r="F70" s="22"/>
      <c r="G70" s="22"/>
      <c r="J70" s="33"/>
      <c r="L70" s="1"/>
      <c r="M70" s="1"/>
      <c r="N70" s="1"/>
      <c r="O70" s="1"/>
      <c r="P70" s="1"/>
      <c r="Q70" s="1"/>
    </row>
    <row r="71" spans="1:17" x14ac:dyDescent="0.25">
      <c r="D71" s="1"/>
      <c r="E71" s="51"/>
      <c r="F71" s="51"/>
      <c r="G71" s="51"/>
      <c r="M71" s="1"/>
      <c r="N71" s="1"/>
      <c r="O71" s="1"/>
      <c r="P71" s="1"/>
      <c r="Q71" s="1"/>
    </row>
    <row r="72" spans="1:17" ht="15.75" thickBot="1" x14ac:dyDescent="0.3">
      <c r="A72" s="1"/>
      <c r="B72" s="1"/>
      <c r="C72" s="1"/>
      <c r="D72" s="1"/>
      <c r="E72" s="1"/>
      <c r="F72" s="1"/>
      <c r="G72" s="1"/>
      <c r="P72" s="1"/>
      <c r="Q72" s="1"/>
    </row>
    <row r="73" spans="1:17" ht="15.75" thickBot="1" x14ac:dyDescent="0.3">
      <c r="D73" s="65"/>
      <c r="E73" s="66"/>
      <c r="F73" s="66"/>
      <c r="G73" s="66"/>
      <c r="M73" s="1"/>
      <c r="N73" s="1"/>
    </row>
    <row r="74" spans="1:17" x14ac:dyDescent="0.25">
      <c r="D74" s="68" t="s">
        <v>89</v>
      </c>
      <c r="E74" s="69"/>
      <c r="F74" s="70"/>
      <c r="G74" s="71" t="s">
        <v>90</v>
      </c>
      <c r="H74" s="67"/>
    </row>
    <row r="75" spans="1:17" x14ac:dyDescent="0.25">
      <c r="D75" s="73" t="s">
        <v>17</v>
      </c>
      <c r="E75" s="54" t="e">
        <f>SUM(#REF!,B24:I24,B40:I40)</f>
        <v>#REF!</v>
      </c>
      <c r="F75" s="70"/>
      <c r="G75" s="70" t="s">
        <v>17</v>
      </c>
      <c r="H75" s="74">
        <f>SUM(F56)</f>
        <v>263</v>
      </c>
    </row>
    <row r="76" spans="1:17" x14ac:dyDescent="0.25">
      <c r="D76" s="73" t="s">
        <v>18</v>
      </c>
      <c r="E76" s="54">
        <f>SUM(B10:I10,B25:D25,F22,H25,B41:D41,H41)</f>
        <v>60213.366386944865</v>
      </c>
      <c r="F76" s="70"/>
      <c r="G76" s="70" t="s">
        <v>18</v>
      </c>
      <c r="H76" s="74"/>
      <c r="J76" s="33"/>
    </row>
    <row r="77" spans="1:17" ht="15.75" thickBot="1" x14ac:dyDescent="0.3">
      <c r="D77" s="75" t="s">
        <v>34</v>
      </c>
      <c r="E77" s="76" t="e">
        <f>SUM(B19:I19,B34:I34,B50:I50)</f>
        <v>#REF!</v>
      </c>
      <c r="F77" s="77"/>
      <c r="G77" s="77" t="s">
        <v>34</v>
      </c>
      <c r="H77" s="74">
        <f>SUM(F57)</f>
        <v>0</v>
      </c>
      <c r="J77" s="33"/>
    </row>
    <row r="78" spans="1:17" ht="15.75" thickBot="1" x14ac:dyDescent="0.3">
      <c r="H78" s="78">
        <f>B66</f>
        <v>0</v>
      </c>
      <c r="J78" s="33"/>
    </row>
    <row r="79" spans="1:17" x14ac:dyDescent="0.25">
      <c r="D79" s="65" t="s">
        <v>91</v>
      </c>
      <c r="E79" s="66"/>
      <c r="F79" s="66"/>
      <c r="G79" s="79"/>
      <c r="H79" s="1"/>
      <c r="J79" s="33"/>
    </row>
    <row r="80" spans="1:17" x14ac:dyDescent="0.25">
      <c r="A80" s="1"/>
      <c r="D80" s="73" t="s">
        <v>92</v>
      </c>
      <c r="E80" s="70"/>
      <c r="F80" s="80"/>
      <c r="G80" s="74" t="e">
        <f>SUM(E75,H76)</f>
        <v>#REF!</v>
      </c>
      <c r="H80" s="1"/>
      <c r="J80" s="33"/>
    </row>
    <row r="81" spans="1:10" x14ac:dyDescent="0.25">
      <c r="A81" s="1"/>
      <c r="D81" s="73" t="s">
        <v>93</v>
      </c>
      <c r="E81" s="70"/>
      <c r="F81" s="80"/>
      <c r="G81" s="74">
        <f>SUM(E76,H77)</f>
        <v>60213.366386944865</v>
      </c>
      <c r="J81" s="33"/>
    </row>
    <row r="82" spans="1:10" ht="15.75" thickBot="1" x14ac:dyDescent="0.3">
      <c r="A82" s="1"/>
      <c r="D82" s="75" t="s">
        <v>94</v>
      </c>
      <c r="E82" s="77"/>
      <c r="F82" s="81"/>
      <c r="G82" s="78">
        <f>SUM(B18:I18,B33:I33,B49:H49)</f>
        <v>-21898</v>
      </c>
      <c r="J82" s="33"/>
    </row>
  </sheetData>
  <mergeCells count="1">
    <mergeCell ref="D74:E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Malaise</dc:creator>
  <cp:lastModifiedBy>Brian Malaise</cp:lastModifiedBy>
  <dcterms:created xsi:type="dcterms:W3CDTF">2025-03-13T19:54:35Z</dcterms:created>
  <dcterms:modified xsi:type="dcterms:W3CDTF">2025-03-13T20:20:22Z</dcterms:modified>
</cp:coreProperties>
</file>