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scago\Documents\GitHub\IA_School\Semestres\Other\Proyectos de Inversión\Casos Finales\"/>
    </mc:Choice>
  </mc:AlternateContent>
  <xr:revisionPtr revIDLastSave="0" documentId="13_ncr:1_{1EA5523D-8767-4A8D-9AED-C9B1AD2A51E8}" xr6:coauthVersionLast="47" xr6:coauthVersionMax="47" xr10:uidLastSave="{00000000-0000-0000-0000-000000000000}"/>
  <bookViews>
    <workbookView xWindow="-113" yWindow="-113" windowWidth="24267" windowHeight="13023" activeTab="5" xr2:uid="{DF7EAB89-8D33-4DCA-878B-1977CA593F3E}"/>
  </bookViews>
  <sheets>
    <sheet name="1. Fresadora" sheetId="1" r:id="rId1"/>
    <sheet name="3. TVEO" sheetId="2" r:id="rId2"/>
    <sheet name="4. Cementera" sheetId="3" r:id="rId3"/>
    <sheet name="5. Mina" sheetId="4" r:id="rId4"/>
    <sheet name="6. Camión de Volteo" sheetId="5" r:id="rId5"/>
    <sheet name="7. Teslaaa" sheetId="8"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7" i="8" l="1"/>
  <c r="J8" i="8"/>
  <c r="J9" i="8"/>
  <c r="J10" i="8"/>
  <c r="J11" i="8"/>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52" i="8"/>
  <c r="J53" i="8"/>
  <c r="J54" i="8"/>
  <c r="J55" i="8"/>
  <c r="J56" i="8"/>
  <c r="J57" i="8"/>
  <c r="J58" i="8"/>
  <c r="J59" i="8"/>
  <c r="J60" i="8"/>
  <c r="J61" i="8"/>
  <c r="J62" i="8"/>
  <c r="J63" i="8"/>
  <c r="J64" i="8"/>
  <c r="J65" i="8"/>
  <c r="J66" i="8"/>
  <c r="J67" i="8"/>
  <c r="J68" i="8"/>
  <c r="J69" i="8"/>
  <c r="J70" i="8"/>
  <c r="J71" i="8"/>
  <c r="J72" i="8"/>
  <c r="J73" i="8"/>
  <c r="J74" i="8"/>
  <c r="J75" i="8"/>
  <c r="J76" i="8"/>
  <c r="J77" i="8"/>
  <c r="J6" i="8"/>
  <c r="M8"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54" i="8"/>
  <c r="I55" i="8"/>
  <c r="I56" i="8"/>
  <c r="I57" i="8"/>
  <c r="I58" i="8"/>
  <c r="I59" i="8"/>
  <c r="I60" i="8"/>
  <c r="I61" i="8"/>
  <c r="I62" i="8"/>
  <c r="I63" i="8"/>
  <c r="I64" i="8"/>
  <c r="I65" i="8"/>
  <c r="I66" i="8"/>
  <c r="I67" i="8"/>
  <c r="I68" i="8"/>
  <c r="I69" i="8"/>
  <c r="I70" i="8"/>
  <c r="I71" i="8"/>
  <c r="I72" i="8"/>
  <c r="I73" i="8"/>
  <c r="I74" i="8"/>
  <c r="I75" i="8"/>
  <c r="I76" i="8"/>
  <c r="I77" i="8"/>
  <c r="H7" i="8"/>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H49" i="8"/>
  <c r="H50" i="8"/>
  <c r="H51" i="8"/>
  <c r="H52" i="8"/>
  <c r="H53" i="8"/>
  <c r="H54" i="8"/>
  <c r="H55" i="8"/>
  <c r="H56" i="8"/>
  <c r="H57" i="8"/>
  <c r="H58" i="8"/>
  <c r="H59" i="8"/>
  <c r="H60" i="8"/>
  <c r="H61" i="8"/>
  <c r="H62" i="8"/>
  <c r="H63" i="8"/>
  <c r="H64" i="8"/>
  <c r="H65" i="8"/>
  <c r="H66" i="8"/>
  <c r="H67" i="8"/>
  <c r="H68" i="8"/>
  <c r="H69" i="8"/>
  <c r="H70" i="8"/>
  <c r="H71" i="8"/>
  <c r="H72" i="8"/>
  <c r="H73" i="8"/>
  <c r="H74" i="8"/>
  <c r="H75" i="8"/>
  <c r="H76" i="8"/>
  <c r="H77" i="8"/>
  <c r="G7" i="8"/>
  <c r="M6" i="8" s="1"/>
  <c r="I6" i="8" s="1"/>
  <c r="G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6" i="8"/>
  <c r="C10" i="8"/>
  <c r="L11" i="4"/>
  <c r="L10" i="4"/>
  <c r="L9" i="4"/>
  <c r="L8" i="4"/>
  <c r="L7" i="4"/>
  <c r="N11" i="4"/>
  <c r="N10" i="4"/>
  <c r="N9" i="4"/>
  <c r="N8" i="4"/>
  <c r="N7" i="4"/>
  <c r="O8" i="4"/>
  <c r="O9" i="4"/>
  <c r="O10" i="4"/>
  <c r="O11" i="4"/>
  <c r="O7" i="4"/>
  <c r="Q8" i="4"/>
  <c r="Q9" i="4"/>
  <c r="Q10" i="4"/>
  <c r="Q11" i="4"/>
  <c r="Q7" i="4"/>
  <c r="P11" i="4"/>
  <c r="P6" i="4"/>
  <c r="M8" i="4"/>
  <c r="M9" i="4"/>
  <c r="R9" i="4" s="1"/>
  <c r="M10" i="4"/>
  <c r="M11" i="4"/>
  <c r="M7" i="4"/>
  <c r="C17" i="4"/>
  <c r="K11" i="4" s="1"/>
  <c r="L6" i="1"/>
  <c r="Q6" i="1"/>
  <c r="I5" i="5"/>
  <c r="K5" i="5" s="1"/>
  <c r="H10" i="5"/>
  <c r="H7" i="5" s="1"/>
  <c r="I7" i="5" s="1"/>
  <c r="J7" i="5" s="1"/>
  <c r="K7" i="5" s="1"/>
  <c r="F30" i="3"/>
  <c r="F31" i="3"/>
  <c r="F32" i="3"/>
  <c r="F33" i="3"/>
  <c r="F29" i="3"/>
  <c r="F25" i="3"/>
  <c r="F26" i="3"/>
  <c r="F27" i="3"/>
  <c r="F28" i="3"/>
  <c r="F24" i="3"/>
  <c r="F20" i="3"/>
  <c r="F21" i="3"/>
  <c r="F22" i="3"/>
  <c r="F23" i="3"/>
  <c r="F19" i="3"/>
  <c r="E15" i="3"/>
  <c r="E16" i="3"/>
  <c r="E17" i="3"/>
  <c r="E18" i="3"/>
  <c r="E19" i="3"/>
  <c r="E20" i="3"/>
  <c r="E21" i="3"/>
  <c r="E22" i="3"/>
  <c r="E23" i="3"/>
  <c r="E24" i="3"/>
  <c r="E25" i="3"/>
  <c r="E26" i="3"/>
  <c r="E27" i="3"/>
  <c r="E28" i="3"/>
  <c r="E29" i="3"/>
  <c r="E30" i="3"/>
  <c r="E31" i="3"/>
  <c r="E32" i="3"/>
  <c r="E33" i="3"/>
  <c r="E14" i="3"/>
  <c r="D15" i="3"/>
  <c r="D16" i="3"/>
  <c r="D17" i="3"/>
  <c r="D18" i="3"/>
  <c r="D19" i="3"/>
  <c r="D20" i="3"/>
  <c r="D21" i="3"/>
  <c r="G21" i="3" s="1"/>
  <c r="D22" i="3"/>
  <c r="D23" i="3"/>
  <c r="D24" i="3"/>
  <c r="D25" i="3"/>
  <c r="D26" i="3"/>
  <c r="D27" i="3"/>
  <c r="G27" i="3" s="1"/>
  <c r="D28" i="3"/>
  <c r="D29" i="3"/>
  <c r="D30" i="3"/>
  <c r="D31" i="3"/>
  <c r="D32" i="3"/>
  <c r="D33" i="3"/>
  <c r="D14" i="3"/>
  <c r="F15" i="3"/>
  <c r="F16" i="3"/>
  <c r="F17" i="3"/>
  <c r="F18" i="3"/>
  <c r="F14" i="3"/>
  <c r="C13" i="3"/>
  <c r="G13" i="3" s="1"/>
  <c r="H24" i="2"/>
  <c r="G24" i="2" s="1"/>
  <c r="H25" i="2"/>
  <c r="G25" i="2" s="1"/>
  <c r="H26" i="2"/>
  <c r="G26" i="2" s="1"/>
  <c r="H27" i="2"/>
  <c r="G27" i="2" s="1"/>
  <c r="H28" i="2"/>
  <c r="G28" i="2" s="1"/>
  <c r="H23" i="2"/>
  <c r="G23" i="2" s="1"/>
  <c r="F24" i="2"/>
  <c r="F25" i="2"/>
  <c r="F26" i="2"/>
  <c r="F27" i="2"/>
  <c r="F28" i="2"/>
  <c r="F23" i="2"/>
  <c r="D25" i="2"/>
  <c r="D22" i="2"/>
  <c r="I22" i="2" s="1"/>
  <c r="K22" i="2" s="1"/>
  <c r="C27" i="2"/>
  <c r="C28" i="2"/>
  <c r="C26" i="2"/>
  <c r="C24" i="2"/>
  <c r="C25" i="2"/>
  <c r="C23" i="2"/>
  <c r="H15" i="2"/>
  <c r="G15" i="2" s="1"/>
  <c r="H16" i="2"/>
  <c r="G16" i="2" s="1"/>
  <c r="H17" i="2"/>
  <c r="E17" i="2" s="1"/>
  <c r="H18" i="2"/>
  <c r="G18" i="2" s="1"/>
  <c r="H19" i="2"/>
  <c r="E19" i="2" s="1"/>
  <c r="H14" i="2"/>
  <c r="E14" i="2" s="1"/>
  <c r="F19" i="2"/>
  <c r="C15" i="2"/>
  <c r="C16" i="2"/>
  <c r="C17" i="2"/>
  <c r="C18" i="2"/>
  <c r="C19" i="2"/>
  <c r="C14" i="2"/>
  <c r="D13" i="2"/>
  <c r="I13" i="2" s="1"/>
  <c r="K13" i="2" s="1"/>
  <c r="Q12" i="1"/>
  <c r="K6" i="1"/>
  <c r="Q7" i="1"/>
  <c r="Q8" i="1"/>
  <c r="Q9" i="1"/>
  <c r="Q10" i="1"/>
  <c r="K7" i="1"/>
  <c r="K8" i="1"/>
  <c r="K9" i="1"/>
  <c r="K10" i="1"/>
  <c r="K11" i="1"/>
  <c r="K12" i="1"/>
  <c r="G26" i="3" l="1"/>
  <c r="G18" i="3"/>
  <c r="G25" i="3"/>
  <c r="G33" i="3"/>
  <c r="G32" i="3"/>
  <c r="G16" i="3"/>
  <c r="G17" i="3"/>
  <c r="G23" i="3"/>
  <c r="G30" i="3"/>
  <c r="G22" i="3"/>
  <c r="G20" i="3"/>
  <c r="G29" i="3"/>
  <c r="G24" i="3"/>
  <c r="G28" i="3"/>
  <c r="G19" i="3"/>
  <c r="G14" i="3"/>
  <c r="G31" i="3"/>
  <c r="G15" i="3"/>
  <c r="R7" i="4"/>
  <c r="J6" i="4"/>
  <c r="R6" i="4" s="1"/>
  <c r="R16" i="4" s="1"/>
  <c r="R10" i="4"/>
  <c r="R8" i="4"/>
  <c r="E18" i="2"/>
  <c r="I18" i="2" s="1"/>
  <c r="J18" i="2" s="1"/>
  <c r="K18" i="2" s="1"/>
  <c r="E27" i="2"/>
  <c r="I27" i="2" s="1"/>
  <c r="J27" i="2" s="1"/>
  <c r="K27" i="2" s="1"/>
  <c r="G19" i="2"/>
  <c r="I19" i="2" s="1"/>
  <c r="J19" i="2" s="1"/>
  <c r="K19" i="2" s="1"/>
  <c r="E28" i="2"/>
  <c r="I28" i="2" s="1"/>
  <c r="J28" i="2" s="1"/>
  <c r="K28" i="2" s="1"/>
  <c r="G14" i="2"/>
  <c r="I14" i="2" s="1"/>
  <c r="E26" i="2"/>
  <c r="I26" i="2" s="1"/>
  <c r="J26" i="2" s="1"/>
  <c r="K26" i="2" s="1"/>
  <c r="E16" i="2"/>
  <c r="I16" i="2" s="1"/>
  <c r="H6" i="8"/>
  <c r="M7" i="8"/>
  <c r="R11" i="4"/>
  <c r="Q13" i="1"/>
  <c r="K14" i="1"/>
  <c r="K15" i="1" s="1"/>
  <c r="K16" i="1" s="1"/>
  <c r="G17" i="2"/>
  <c r="I17" i="2" s="1"/>
  <c r="J17" i="2" s="1"/>
  <c r="K17" i="2" s="1"/>
  <c r="E15" i="2"/>
  <c r="I15" i="2" s="1"/>
  <c r="E23" i="2"/>
  <c r="I23" i="2" s="1"/>
  <c r="J23" i="2" s="1"/>
  <c r="K23" i="2" s="1"/>
  <c r="E25" i="2"/>
  <c r="I25" i="2" s="1"/>
  <c r="J25" i="2" s="1"/>
  <c r="K25" i="2" s="1"/>
  <c r="E24" i="2"/>
  <c r="I24" i="2" s="1"/>
  <c r="J24" i="2" s="1"/>
  <c r="K24" i="2" s="1"/>
  <c r="H6" i="5"/>
  <c r="I6" i="5" s="1"/>
  <c r="J6" i="5" s="1"/>
  <c r="K6" i="5" s="1"/>
  <c r="H12" i="5" s="1"/>
  <c r="J29" i="3" l="1"/>
  <c r="J30" i="3" s="1"/>
  <c r="J31" i="3" s="1"/>
  <c r="J14" i="3"/>
  <c r="J15" i="3" s="1"/>
  <c r="J16" i="3" s="1"/>
  <c r="J19" i="3"/>
  <c r="J20" i="3" s="1"/>
  <c r="J21" i="3" s="1"/>
  <c r="J24" i="3"/>
  <c r="J25" i="3" s="1"/>
  <c r="J26" i="3" s="1"/>
  <c r="R13" i="4"/>
  <c r="R14" i="4" s="1"/>
  <c r="J14" i="2"/>
  <c r="K14" i="2" s="1"/>
  <c r="M21" i="2"/>
  <c r="M22" i="2" s="1"/>
  <c r="M23" i="2"/>
  <c r="Q14" i="1"/>
  <c r="J15" i="2"/>
  <c r="K15" i="2" s="1"/>
  <c r="J16" i="2"/>
  <c r="K16" i="2" s="1"/>
  <c r="M12" i="2" l="1"/>
  <c r="M13" i="2" s="1"/>
  <c r="M1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Sara Carolina Gómez Delgado</author>
  </authors>
  <commentList>
    <comment ref="J26" authorId="0" shapeId="0" xr:uid="{10AF3BAF-BE37-40A9-A906-A3874DCCD99E}">
      <text>
        <r>
          <rPr>
            <b/>
            <sz val="9"/>
            <color indexed="81"/>
            <rFont val="Tahoma"/>
            <family val="2"/>
          </rPr>
          <t>Sara Carolina Gómez Delgado:</t>
        </r>
        <r>
          <rPr>
            <sz val="9"/>
            <color indexed="81"/>
            <rFont val="Tahoma"/>
            <family val="2"/>
          </rPr>
          <t xml:space="preserve">
Respuesta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Sara Carolina Gómez Delgado</author>
  </authors>
  <commentList>
    <comment ref="H12" authorId="0" shapeId="0" xr:uid="{D4D2A116-A551-438F-B111-240064D576AD}">
      <text>
        <r>
          <rPr>
            <b/>
            <sz val="9"/>
            <color indexed="81"/>
            <rFont val="Tahoma"/>
            <family val="2"/>
          </rPr>
          <t>Sara Carolina Gómez Delgado:</t>
        </r>
        <r>
          <rPr>
            <sz val="9"/>
            <color indexed="81"/>
            <rFont val="Tahoma"/>
            <family val="2"/>
          </rPr>
          <t xml:space="preserve">
Debería continuar con el negocio.
</t>
        </r>
      </text>
    </comment>
  </commentList>
</comments>
</file>

<file path=xl/sharedStrings.xml><?xml version="1.0" encoding="utf-8"?>
<sst xmlns="http://schemas.openxmlformats.org/spreadsheetml/2006/main" count="203" uniqueCount="119">
  <si>
    <t xml:space="preserve">Reemplazo vieja maquinaria fresadora </t>
  </si>
  <si>
    <t>TREMA</t>
  </si>
  <si>
    <t>costo inicial</t>
  </si>
  <si>
    <t>valor de retorno</t>
  </si>
  <si>
    <t>CAO</t>
  </si>
  <si>
    <t>CAM</t>
  </si>
  <si>
    <t>Años</t>
  </si>
  <si>
    <t>ventas</t>
  </si>
  <si>
    <t>Total</t>
  </si>
  <si>
    <t>VNA</t>
  </si>
  <si>
    <t>VNA TOTAL</t>
  </si>
  <si>
    <t>PAGO</t>
  </si>
  <si>
    <t>(+/-)</t>
  </si>
  <si>
    <t>año</t>
  </si>
  <si>
    <t>Unidades vendidas</t>
  </si>
  <si>
    <t>Año</t>
  </si>
  <si>
    <t>Grande</t>
  </si>
  <si>
    <t>Pequeña</t>
  </si>
  <si>
    <t>Gastos Variables</t>
  </si>
  <si>
    <t>Valor de Rescate</t>
  </si>
  <si>
    <t>Vida Útil</t>
  </si>
  <si>
    <t>Valor Inicial</t>
  </si>
  <si>
    <t>6 años</t>
  </si>
  <si>
    <t>3 años</t>
  </si>
  <si>
    <t>Capacidad</t>
  </si>
  <si>
    <t xml:space="preserve">90,000 u </t>
  </si>
  <si>
    <t>50,000 u</t>
  </si>
  <si>
    <t>Precio de venta/u</t>
  </si>
  <si>
    <t>Tasa de impuesto a las utilidades</t>
  </si>
  <si>
    <t>Vida del proyecto</t>
  </si>
  <si>
    <t>Costo Inicial</t>
  </si>
  <si>
    <t>Ganancias</t>
  </si>
  <si>
    <t>Unidades Vendidas</t>
  </si>
  <si>
    <t>Impuestos</t>
  </si>
  <si>
    <t>Utilidades después de impuestos</t>
  </si>
  <si>
    <t>Utilidades antes de impuestos</t>
  </si>
  <si>
    <t>Inversión</t>
  </si>
  <si>
    <t>Gastos combustibles</t>
  </si>
  <si>
    <t>Gastos electricidad</t>
  </si>
  <si>
    <t>años</t>
  </si>
  <si>
    <t>anuales</t>
  </si>
  <si>
    <t>Costos/ton</t>
  </si>
  <si>
    <t>Desde</t>
  </si>
  <si>
    <t>Hasta</t>
  </si>
  <si>
    <t>anual</t>
  </si>
  <si>
    <t>Mismas utilidades</t>
  </si>
  <si>
    <t>0 a 5</t>
  </si>
  <si>
    <t>6 a 10</t>
  </si>
  <si>
    <t>11 a 15</t>
  </si>
  <si>
    <t>16 a 20</t>
  </si>
  <si>
    <t>Inversión Inicial</t>
  </si>
  <si>
    <t>Valor de retorno</t>
  </si>
  <si>
    <t>Utilidades s/impuestos</t>
  </si>
  <si>
    <t>Utilidades c/impuestos</t>
  </si>
  <si>
    <t>Préstamo</t>
  </si>
  <si>
    <t>interés</t>
  </si>
  <si>
    <t>impuesto</t>
  </si>
  <si>
    <t>TIR</t>
  </si>
  <si>
    <t>Pago capital</t>
  </si>
  <si>
    <t>Pago intereses</t>
  </si>
  <si>
    <t>Respuesta 2:</t>
  </si>
  <si>
    <t>Te vas por el gas, dependiendo de si te conviene</t>
  </si>
  <si>
    <t>Opción nueva</t>
  </si>
  <si>
    <t>Opción vieja</t>
  </si>
  <si>
    <t>Proyecto cuprífero mina "El ojo dorado"</t>
  </si>
  <si>
    <t>Codelco</t>
  </si>
  <si>
    <t>Oferta</t>
  </si>
  <si>
    <t>Estudios geológicos</t>
  </si>
  <si>
    <t>Densidad</t>
  </si>
  <si>
    <t>Primera capa</t>
  </si>
  <si>
    <t>Segunda capa</t>
  </si>
  <si>
    <t>Tercera capa</t>
  </si>
  <si>
    <t>Años explotacion</t>
  </si>
  <si>
    <t>Precio tonelada</t>
  </si>
  <si>
    <t>Traslados e instalaciones</t>
  </si>
  <si>
    <t>2 camiones</t>
  </si>
  <si>
    <t>Maquinaria pesada</t>
  </si>
  <si>
    <t>Inversiones</t>
  </si>
  <si>
    <t>2 edificios</t>
  </si>
  <si>
    <t>CAO y CAM</t>
  </si>
  <si>
    <t>Administracion</t>
  </si>
  <si>
    <t>Costo tonelada</t>
  </si>
  <si>
    <t>Banco</t>
  </si>
  <si>
    <t xml:space="preserve">Tasa de interes </t>
  </si>
  <si>
    <t>Alternativas</t>
  </si>
  <si>
    <t>Valor de rescate</t>
  </si>
  <si>
    <t>Extras</t>
  </si>
  <si>
    <t>Inversion banco</t>
  </si>
  <si>
    <t>Capital de trabajo</t>
  </si>
  <si>
    <t>Se regresa al final del proyecto</t>
  </si>
  <si>
    <t>Tasa de interes</t>
  </si>
  <si>
    <t>Analisis de flujos</t>
  </si>
  <si>
    <t xml:space="preserve">Inversión </t>
  </si>
  <si>
    <t>Toneladas extraidas dia</t>
  </si>
  <si>
    <t xml:space="preserve">Tesla </t>
  </si>
  <si>
    <t>Datos</t>
  </si>
  <si>
    <t>Pago</t>
  </si>
  <si>
    <t>Enganche</t>
  </si>
  <si>
    <t xml:space="preserve">CAT </t>
  </si>
  <si>
    <t xml:space="preserve">Tasa </t>
  </si>
  <si>
    <t>mensual</t>
  </si>
  <si>
    <t>m</t>
  </si>
  <si>
    <t>Tasa del periodo</t>
  </si>
  <si>
    <t>IVA</t>
  </si>
  <si>
    <t>Tabla de amortización</t>
  </si>
  <si>
    <t>Pago con impuestos</t>
  </si>
  <si>
    <t>nPer</t>
  </si>
  <si>
    <t xml:space="preserve">VNA </t>
  </si>
  <si>
    <t>Representa el 50% del valor del carro</t>
  </si>
  <si>
    <t>Valor total del carro</t>
  </si>
  <si>
    <t>Representa el 100% del valor del carro</t>
  </si>
  <si>
    <t>Intereses</t>
  </si>
  <si>
    <t>Valor total de los intereses</t>
  </si>
  <si>
    <t>Basado en el VNA Total, se puede apreciar que utilizar máquinas pequeñas genera un ingreso mayor. La diferencia en tasa de rendimiento es significativamente mayor, incluso compensa el trabajo de añadir y comprar nuevas máquinas eventualmente. Cabe mencionar que irse por las máquinas pequeñas, representa un riesgo, debido a que se presume que habrá fondos suficientes para comprar máquinas extras dentro de 3 años. Sin embargo, el rendiemiento esperado soporta el riesgo</t>
  </si>
  <si>
    <r>
      <t>La vieja máquina fresadora, actualmente deja una ganancia de $246,978.85 anualmente, lo cual suena bien. Sin embargo, al comparar con la nueva máquina fresadora, observamos cómo la ganancia asciende significativamente a $262,048.48 anualmente. Por lo mencionado anteriormente, podemos deducir que a la empresa maderera</t>
    </r>
    <r>
      <rPr>
        <b/>
        <sz val="12"/>
        <color theme="7" tint="-0.249977111117893"/>
        <rFont val="Calibri"/>
        <family val="2"/>
        <scheme val="minor"/>
      </rPr>
      <t xml:space="preserve"> le conviene adquirir una máquina nueva y distinta</t>
    </r>
    <r>
      <rPr>
        <sz val="11"/>
        <color theme="1"/>
        <rFont val="Calibri"/>
        <family val="2"/>
        <scheme val="minor"/>
      </rPr>
      <t xml:space="preserve"> a la antigua a pesar de que se tenga que cambiar cada 4 años, que comprar el mismo modelo que ya se tenía anteriormente.</t>
    </r>
  </si>
  <si>
    <t>Compañía "TVEO"</t>
  </si>
  <si>
    <t>Cementera</t>
  </si>
  <si>
    <t>Mina</t>
  </si>
  <si>
    <t>Camión de Volteo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</si>
</sst>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8" formatCode="&quot;$&quot;#,##0.00;[Red]\-&quot;$&quot;#,##0.00"/>
    <numFmt numFmtId="44" formatCode="_-&quot;$&quot;* #,##0.00_-;\-&quot;$&quot;* #,##0.00_-;_-&quot;$&quot;* &quot;-&quot;??_-;_-@_-"/>
    <numFmt numFmtId="164" formatCode="&quot;$&quot;#,##0.00"/>
    <numFmt numFmtId="165" formatCode="0.0%"/>
    <numFmt numFmtId="166" formatCode="_-&quot;$&quot;* #,##0.0_-;\-&quot;$&quot;* #,##0.0_-;_-&quot;$&quot;* &quot;-&quot;??_-;_-@_-"/>
  </numFmts>
  <fonts count="8" x14ac:knownFonts="1">
    <font>
      <sz val="11"/>
      <color theme="1"/>
      <name val="Calibri"/>
      <family val="2"/>
      <scheme val="minor"/>
    </font>
    <font>
      <sz val="11"/>
      <color theme="1"/>
      <name val="Calibri"/>
      <family val="2"/>
      <scheme val="minor"/>
    </font>
    <font>
      <b/>
      <sz val="11"/>
      <color theme="1"/>
      <name val="Calibri"/>
      <family val="2"/>
      <scheme val="minor"/>
    </font>
    <font>
      <b/>
      <sz val="22"/>
      <color rgb="FF000000"/>
      <name val="Calibri"/>
      <family val="2"/>
      <scheme val="minor"/>
    </font>
    <font>
      <sz val="9"/>
      <color indexed="81"/>
      <name val="Tahoma"/>
      <family val="2"/>
    </font>
    <font>
      <b/>
      <sz val="9"/>
      <color indexed="81"/>
      <name val="Tahoma"/>
      <family val="2"/>
    </font>
    <font>
      <b/>
      <sz val="12"/>
      <color theme="7" tint="-0.249977111117893"/>
      <name val="Calibri"/>
      <family val="2"/>
      <scheme val="minor"/>
    </font>
    <font>
      <sz val="12"/>
      <color theme="1"/>
      <name val="Calibri"/>
      <family val="2"/>
      <scheme val="minor"/>
    </font>
  </fonts>
  <fills count="9">
    <fill>
      <patternFill patternType="none"/>
    </fill>
    <fill>
      <patternFill patternType="gray125"/>
    </fill>
    <fill>
      <patternFill patternType="solid">
        <fgColor theme="8" tint="0.79998168889431442"/>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rgb="FFFFF9E7"/>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4"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78">
    <xf numFmtId="0" fontId="0" fillId="0" borderId="0" xfId="0"/>
    <xf numFmtId="0" fontId="3" fillId="0" borderId="0" xfId="0" applyFont="1"/>
    <xf numFmtId="0" fontId="0" fillId="0" borderId="1" xfId="0" applyBorder="1"/>
    <xf numFmtId="3" fontId="0" fillId="0" borderId="0" xfId="0" applyNumberFormat="1"/>
    <xf numFmtId="0" fontId="0" fillId="2" borderId="1" xfId="0" applyFill="1" applyBorder="1"/>
    <xf numFmtId="0" fontId="0" fillId="3" borderId="1" xfId="0" applyFill="1" applyBorder="1"/>
    <xf numFmtId="44" fontId="0" fillId="2" borderId="1" xfId="1" applyFont="1" applyFill="1" applyBorder="1"/>
    <xf numFmtId="44" fontId="0" fillId="3" borderId="1" xfId="1" applyFont="1" applyFill="1" applyBorder="1"/>
    <xf numFmtId="9" fontId="0" fillId="0" borderId="1" xfId="0" applyNumberFormat="1" applyBorder="1"/>
    <xf numFmtId="8" fontId="0" fillId="0" borderId="1" xfId="0" applyNumberFormat="1" applyBorder="1"/>
    <xf numFmtId="0" fontId="2" fillId="0" borderId="0" xfId="0" applyFont="1"/>
    <xf numFmtId="0" fontId="0" fillId="0" borderId="1" xfId="0" applyBorder="1" applyAlignment="1">
      <alignment horizontal="center"/>
    </xf>
    <xf numFmtId="0" fontId="0" fillId="0" borderId="1" xfId="0" applyBorder="1" applyAlignment="1">
      <alignment horizontal="center" vertical="center"/>
    </xf>
    <xf numFmtId="0" fontId="0" fillId="0" borderId="0" xfId="0" applyAlignment="1">
      <alignment horizontal="center" vertical="center"/>
    </xf>
    <xf numFmtId="3" fontId="0" fillId="0" borderId="1" xfId="0" applyNumberFormat="1" applyBorder="1"/>
    <xf numFmtId="44" fontId="0" fillId="0" borderId="1" xfId="1" applyFont="1" applyBorder="1"/>
    <xf numFmtId="44" fontId="0" fillId="0" borderId="1" xfId="1" applyFont="1" applyBorder="1" applyAlignment="1">
      <alignment horizontal="center" vertical="center"/>
    </xf>
    <xf numFmtId="0" fontId="0" fillId="0" borderId="1" xfId="0" applyBorder="1" applyAlignment="1">
      <alignment horizontal="left" vertical="center"/>
    </xf>
    <xf numFmtId="6" fontId="0" fillId="0" borderId="1" xfId="0" applyNumberFormat="1" applyBorder="1"/>
    <xf numFmtId="0" fontId="0" fillId="4" borderId="1" xfId="0" applyFill="1" applyBorder="1" applyAlignment="1">
      <alignment horizontal="center" vertical="center"/>
    </xf>
    <xf numFmtId="0" fontId="0" fillId="4" borderId="1" xfId="0" applyFill="1" applyBorder="1"/>
    <xf numFmtId="0" fontId="0" fillId="4" borderId="1" xfId="0" applyFill="1" applyBorder="1" applyAlignment="1">
      <alignment horizontal="left" vertical="center"/>
    </xf>
    <xf numFmtId="0" fontId="0" fillId="4" borderId="2" xfId="0" applyFill="1" applyBorder="1"/>
    <xf numFmtId="0" fontId="0" fillId="0" borderId="0" xfId="0" applyAlignment="1">
      <alignment horizontal="left" vertical="center"/>
    </xf>
    <xf numFmtId="44" fontId="0" fillId="0" borderId="1" xfId="0" applyNumberFormat="1" applyBorder="1"/>
    <xf numFmtId="8" fontId="0" fillId="0" borderId="0" xfId="0" applyNumberFormat="1"/>
    <xf numFmtId="44" fontId="0" fillId="0" borderId="1" xfId="1" applyFont="1" applyBorder="1" applyAlignment="1">
      <alignment horizontal="center"/>
    </xf>
    <xf numFmtId="0" fontId="0" fillId="2" borderId="1" xfId="0" applyFill="1" applyBorder="1" applyAlignment="1">
      <alignment horizontal="center"/>
    </xf>
    <xf numFmtId="44" fontId="0" fillId="0" borderId="0" xfId="1" applyFont="1" applyBorder="1" applyAlignment="1">
      <alignment horizontal="center" vertical="center"/>
    </xf>
    <xf numFmtId="44" fontId="0" fillId="0" borderId="0" xfId="1" applyFont="1" applyBorder="1"/>
    <xf numFmtId="8" fontId="0" fillId="0" borderId="0" xfId="1" applyNumberFormat="1" applyFont="1" applyBorder="1"/>
    <xf numFmtId="10" fontId="0" fillId="0" borderId="1" xfId="0" applyNumberFormat="1" applyBorder="1"/>
    <xf numFmtId="164" fontId="0" fillId="0" borderId="0" xfId="1" applyNumberFormat="1" applyFont="1" applyBorder="1"/>
    <xf numFmtId="10" fontId="0" fillId="0" borderId="0" xfId="0" applyNumberFormat="1"/>
    <xf numFmtId="10" fontId="0" fillId="0" borderId="1" xfId="2" applyNumberFormat="1" applyFont="1" applyBorder="1"/>
    <xf numFmtId="1" fontId="0" fillId="0" borderId="0" xfId="0" applyNumberFormat="1"/>
    <xf numFmtId="44" fontId="0" fillId="0" borderId="0" xfId="0" applyNumberFormat="1"/>
    <xf numFmtId="44" fontId="0" fillId="0" borderId="0" xfId="1" applyFont="1"/>
    <xf numFmtId="166" fontId="0" fillId="0" borderId="0" xfId="1" applyNumberFormat="1" applyFont="1"/>
    <xf numFmtId="9" fontId="0" fillId="0" borderId="0" xfId="0" applyNumberFormat="1"/>
    <xf numFmtId="9" fontId="0" fillId="0" borderId="0" xfId="2" applyFont="1"/>
    <xf numFmtId="165" fontId="0" fillId="0" borderId="1" xfId="0" applyNumberFormat="1" applyBorder="1"/>
    <xf numFmtId="166" fontId="0" fillId="0" borderId="1" xfId="1" applyNumberFormat="1" applyFont="1" applyBorder="1"/>
    <xf numFmtId="164" fontId="0" fillId="0" borderId="0" xfId="0" applyNumberFormat="1"/>
    <xf numFmtId="9" fontId="0" fillId="0" borderId="1" xfId="2" applyFont="1" applyBorder="1"/>
    <xf numFmtId="0" fontId="0" fillId="6" borderId="1" xfId="0" applyFill="1" applyBorder="1"/>
    <xf numFmtId="0" fontId="0" fillId="4" borderId="1" xfId="0" applyFill="1" applyBorder="1" applyAlignment="1">
      <alignment horizontal="center"/>
    </xf>
    <xf numFmtId="44" fontId="0" fillId="2" borderId="1" xfId="1" applyFont="1" applyFill="1" applyBorder="1" applyAlignment="1">
      <alignment horizontal="center" vertical="center"/>
    </xf>
    <xf numFmtId="0" fontId="0" fillId="2" borderId="1" xfId="0" applyFill="1" applyBorder="1" applyAlignment="1">
      <alignment horizontal="center" vertical="center"/>
    </xf>
    <xf numFmtId="44" fontId="0" fillId="2" borderId="1" xfId="0" applyNumberFormat="1" applyFill="1" applyBorder="1"/>
    <xf numFmtId="8" fontId="0" fillId="2" borderId="1" xfId="1" applyNumberFormat="1" applyFont="1" applyFill="1" applyBorder="1"/>
    <xf numFmtId="9" fontId="0" fillId="7" borderId="1" xfId="0" applyNumberFormat="1" applyFill="1" applyBorder="1"/>
    <xf numFmtId="8" fontId="0" fillId="7" borderId="1" xfId="0" applyNumberFormat="1" applyFill="1" applyBorder="1"/>
    <xf numFmtId="0" fontId="0" fillId="6" borderId="1" xfId="0" applyFill="1" applyBorder="1" applyAlignment="1">
      <alignment horizontal="right"/>
    </xf>
    <xf numFmtId="0" fontId="0" fillId="7" borderId="1" xfId="0" applyFill="1" applyBorder="1"/>
    <xf numFmtId="10" fontId="0" fillId="7" borderId="1" xfId="0" applyNumberFormat="1" applyFill="1" applyBorder="1" applyAlignment="1">
      <alignment horizontal="left" indent="6"/>
    </xf>
    <xf numFmtId="44" fontId="0" fillId="0" borderId="1" xfId="1" applyFont="1" applyFill="1" applyBorder="1" applyAlignment="1">
      <alignment horizontal="center" vertical="center"/>
    </xf>
    <xf numFmtId="44" fontId="0" fillId="0" borderId="1" xfId="1" applyFont="1" applyBorder="1" applyAlignment="1">
      <alignment horizontal="center" vertical="top"/>
    </xf>
    <xf numFmtId="0" fontId="0" fillId="0" borderId="1" xfId="0" applyBorder="1" applyAlignment="1">
      <alignment horizontal="center" vertical="top"/>
    </xf>
    <xf numFmtId="3" fontId="0" fillId="0" borderId="1" xfId="0" applyNumberFormat="1" applyBorder="1" applyAlignment="1">
      <alignment horizontal="center"/>
    </xf>
    <xf numFmtId="6" fontId="0" fillId="0" borderId="1" xfId="0" applyNumberFormat="1" applyBorder="1" applyAlignment="1">
      <alignment horizontal="center"/>
    </xf>
    <xf numFmtId="9" fontId="0" fillId="0" borderId="1" xfId="0" applyNumberFormat="1" applyBorder="1" applyAlignment="1">
      <alignment horizontal="center"/>
    </xf>
    <xf numFmtId="0" fontId="0" fillId="5" borderId="1" xfId="0" applyFill="1" applyBorder="1" applyAlignment="1">
      <alignment horizontal="center" vertical="center" wrapText="1"/>
    </xf>
    <xf numFmtId="0" fontId="7" fillId="5" borderId="3" xfId="0" applyFont="1" applyFill="1" applyBorder="1" applyAlignment="1">
      <alignment horizontal="center" vertical="center" wrapText="1"/>
    </xf>
    <xf numFmtId="0" fontId="7" fillId="5" borderId="4" xfId="0" applyFont="1" applyFill="1" applyBorder="1" applyAlignment="1">
      <alignment horizontal="center" vertical="center" wrapText="1"/>
    </xf>
    <xf numFmtId="0" fontId="7" fillId="5" borderId="5" xfId="0" applyFont="1" applyFill="1" applyBorder="1" applyAlignment="1">
      <alignment horizontal="center" vertical="center" wrapText="1"/>
    </xf>
    <xf numFmtId="0" fontId="7" fillId="5" borderId="6" xfId="0" applyFont="1" applyFill="1" applyBorder="1" applyAlignment="1">
      <alignment horizontal="center" vertical="center" wrapText="1"/>
    </xf>
    <xf numFmtId="0" fontId="7" fillId="5" borderId="0" xfId="0" applyFont="1" applyFill="1" applyAlignment="1">
      <alignment horizontal="center" vertical="center" wrapText="1"/>
    </xf>
    <xf numFmtId="0" fontId="7" fillId="5" borderId="7" xfId="0" applyFont="1" applyFill="1" applyBorder="1" applyAlignment="1">
      <alignment horizontal="center" vertical="center" wrapText="1"/>
    </xf>
    <xf numFmtId="0" fontId="7" fillId="5" borderId="8" xfId="0" applyFont="1" applyFill="1" applyBorder="1" applyAlignment="1">
      <alignment horizontal="center" vertical="center" wrapText="1"/>
    </xf>
    <xf numFmtId="0" fontId="7" fillId="5" borderId="9" xfId="0" applyFont="1" applyFill="1" applyBorder="1" applyAlignment="1">
      <alignment horizontal="center" vertical="center" wrapText="1"/>
    </xf>
    <xf numFmtId="0" fontId="7" fillId="5" borderId="10" xfId="0" applyFont="1" applyFill="1" applyBorder="1" applyAlignment="1">
      <alignment horizontal="center" vertical="center" wrapText="1"/>
    </xf>
    <xf numFmtId="0" fontId="0" fillId="8" borderId="1" xfId="0" applyFill="1" applyBorder="1"/>
    <xf numFmtId="44" fontId="0" fillId="8" borderId="1" xfId="1" applyFont="1" applyFill="1" applyBorder="1"/>
    <xf numFmtId="0" fontId="0" fillId="4" borderId="11" xfId="0" applyFill="1" applyBorder="1"/>
    <xf numFmtId="0" fontId="0" fillId="0" borderId="11" xfId="1" applyNumberFormat="1" applyFont="1" applyBorder="1"/>
    <xf numFmtId="0" fontId="0" fillId="0" borderId="0" xfId="0" applyFill="1" applyBorder="1"/>
    <xf numFmtId="0" fontId="0" fillId="0" borderId="0" xfId="1" applyNumberFormat="1" applyFont="1" applyFill="1" applyBorder="1"/>
  </cellXfs>
  <cellStyles count="3">
    <cellStyle name="Moneda" xfId="1" builtinId="4"/>
    <cellStyle name="Normal" xfId="0" builtinId="0"/>
    <cellStyle name="Porcentaje" xfId="2" builtinId="5"/>
  </cellStyles>
  <dxfs count="0"/>
  <tableStyles count="0" defaultTableStyle="TableStyleMedium2" defaultPivotStyle="PivotStyleLight16"/>
  <colors>
    <mruColors>
      <color rgb="FFFFF9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780256-FAFA-45AD-BD21-220A3A64CB91}">
  <dimension ref="B2:R20"/>
  <sheetViews>
    <sheetView zoomScale="98" zoomScaleNormal="98" workbookViewId="0">
      <selection activeCell="E5" sqref="E5"/>
    </sheetView>
  </sheetViews>
  <sheetFormatPr baseColWidth="10" defaultColWidth="11.5546875" defaultRowHeight="15.05" x14ac:dyDescent="0.3"/>
  <cols>
    <col min="1" max="1" width="1.6640625" customWidth="1"/>
    <col min="3" max="3" width="4.44140625" bestFit="1" customWidth="1"/>
    <col min="4" max="4" width="11.5546875" customWidth="1"/>
    <col min="5" max="5" width="6" customWidth="1"/>
    <col min="6" max="6" width="11.6640625" bestFit="1" customWidth="1"/>
    <col min="7" max="7" width="15.77734375" customWidth="1"/>
    <col min="8" max="8" width="12.33203125" bestFit="1" customWidth="1"/>
    <col min="10" max="11" width="12.33203125" bestFit="1" customWidth="1"/>
    <col min="12" max="12" width="11.6640625" bestFit="1" customWidth="1"/>
    <col min="13" max="13" width="14.21875" bestFit="1" customWidth="1"/>
    <col min="14" max="14" width="12.33203125" bestFit="1" customWidth="1"/>
    <col min="16" max="17" width="12.33203125" bestFit="1" customWidth="1"/>
  </cols>
  <sheetData>
    <row r="2" spans="2:18" ht="28.2" x14ac:dyDescent="0.5">
      <c r="B2" s="1" t="s">
        <v>0</v>
      </c>
    </row>
    <row r="4" spans="2:18" x14ac:dyDescent="0.3">
      <c r="B4" s="45" t="s">
        <v>1</v>
      </c>
      <c r="C4" s="8">
        <v>0.1</v>
      </c>
      <c r="F4" s="10" t="s">
        <v>63</v>
      </c>
      <c r="L4" s="10" t="s">
        <v>62</v>
      </c>
    </row>
    <row r="5" spans="2:18" x14ac:dyDescent="0.3">
      <c r="E5" s="11" t="s">
        <v>6</v>
      </c>
      <c r="F5" s="4" t="s">
        <v>2</v>
      </c>
      <c r="G5" s="4" t="s">
        <v>3</v>
      </c>
      <c r="H5" s="4" t="s">
        <v>4</v>
      </c>
      <c r="I5" s="4" t="s">
        <v>5</v>
      </c>
      <c r="J5" s="4" t="s">
        <v>7</v>
      </c>
      <c r="K5" s="4" t="s">
        <v>8</v>
      </c>
      <c r="L5" s="5" t="s">
        <v>2</v>
      </c>
      <c r="M5" s="5" t="s">
        <v>3</v>
      </c>
      <c r="N5" s="5" t="s">
        <v>4</v>
      </c>
      <c r="O5" s="5" t="s">
        <v>5</v>
      </c>
      <c r="P5" s="5" t="s">
        <v>7</v>
      </c>
      <c r="Q5" s="5" t="s">
        <v>8</v>
      </c>
    </row>
    <row r="6" spans="2:18" x14ac:dyDescent="0.3">
      <c r="E6" s="12">
        <v>0</v>
      </c>
      <c r="F6" s="6">
        <v>-48000</v>
      </c>
      <c r="G6" s="6"/>
      <c r="H6" s="6"/>
      <c r="I6" s="6"/>
      <c r="J6" s="6"/>
      <c r="K6" s="6">
        <f>SUM(F6:J6)</f>
        <v>-48000</v>
      </c>
      <c r="L6" s="7">
        <f>-40000-40000+8000</f>
        <v>-72000</v>
      </c>
      <c r="M6" s="7"/>
      <c r="N6" s="7"/>
      <c r="O6" s="7"/>
      <c r="P6" s="7"/>
      <c r="Q6" s="7">
        <f>SUM(L6:P6)</f>
        <v>-72000</v>
      </c>
    </row>
    <row r="7" spans="2:18" x14ac:dyDescent="0.3">
      <c r="E7" s="12">
        <v>1</v>
      </c>
      <c r="F7" s="6"/>
      <c r="G7" s="6"/>
      <c r="H7" s="6">
        <v>-142000</v>
      </c>
      <c r="I7" s="6"/>
      <c r="J7" s="6">
        <v>400000</v>
      </c>
      <c r="K7" s="6">
        <f t="shared" ref="K7:K12" si="0">SUM(F7:J7)</f>
        <v>258000</v>
      </c>
      <c r="L7" s="7"/>
      <c r="M7" s="7"/>
      <c r="N7" s="7">
        <v>-120000</v>
      </c>
      <c r="O7" s="7"/>
      <c r="P7" s="7">
        <v>405000</v>
      </c>
      <c r="Q7" s="7">
        <f t="shared" ref="Q7:Q10" si="1">SUM(L7:P7)</f>
        <v>285000</v>
      </c>
    </row>
    <row r="8" spans="2:18" x14ac:dyDescent="0.3">
      <c r="E8" s="12">
        <v>2</v>
      </c>
      <c r="F8" s="6"/>
      <c r="G8" s="6"/>
      <c r="H8" s="6">
        <v>-142000</v>
      </c>
      <c r="I8" s="6"/>
      <c r="J8" s="6">
        <v>400000</v>
      </c>
      <c r="K8" s="6">
        <f t="shared" si="0"/>
        <v>258000</v>
      </c>
      <c r="L8" s="7"/>
      <c r="M8" s="7"/>
      <c r="N8" s="7">
        <v>-120000</v>
      </c>
      <c r="O8" s="7"/>
      <c r="P8" s="7">
        <v>406000</v>
      </c>
      <c r="Q8" s="7">
        <f t="shared" si="1"/>
        <v>286000</v>
      </c>
    </row>
    <row r="9" spans="2:18" x14ac:dyDescent="0.3">
      <c r="E9" s="12">
        <v>3</v>
      </c>
      <c r="F9" s="6"/>
      <c r="G9" s="6"/>
      <c r="H9" s="6">
        <v>-142000</v>
      </c>
      <c r="I9" s="6"/>
      <c r="J9" s="6">
        <v>400000</v>
      </c>
      <c r="K9" s="6">
        <f t="shared" si="0"/>
        <v>258000</v>
      </c>
      <c r="L9" s="7"/>
      <c r="M9" s="7"/>
      <c r="N9" s="7">
        <v>-120000</v>
      </c>
      <c r="O9" s="7"/>
      <c r="P9" s="7">
        <v>409000</v>
      </c>
      <c r="Q9" s="7">
        <f t="shared" si="1"/>
        <v>289000</v>
      </c>
    </row>
    <row r="10" spans="2:18" x14ac:dyDescent="0.3">
      <c r="E10" s="12">
        <v>4</v>
      </c>
      <c r="F10" s="6"/>
      <c r="G10" s="6"/>
      <c r="H10" s="6">
        <v>-142000</v>
      </c>
      <c r="I10" s="6"/>
      <c r="J10" s="6">
        <v>400000</v>
      </c>
      <c r="K10" s="6">
        <f t="shared" si="0"/>
        <v>258000</v>
      </c>
      <c r="L10" s="7"/>
      <c r="M10" s="7">
        <v>0</v>
      </c>
      <c r="N10" s="7">
        <v>-120000</v>
      </c>
      <c r="O10" s="7"/>
      <c r="P10" s="7">
        <v>410000</v>
      </c>
      <c r="Q10" s="7">
        <f t="shared" si="1"/>
        <v>290000</v>
      </c>
    </row>
    <row r="11" spans="2:18" x14ac:dyDescent="0.3">
      <c r="E11" s="12">
        <v>5</v>
      </c>
      <c r="F11" s="6"/>
      <c r="G11" s="6"/>
      <c r="H11" s="6">
        <v>-142000</v>
      </c>
      <c r="I11" s="6"/>
      <c r="J11" s="6">
        <v>400000</v>
      </c>
      <c r="K11" s="6">
        <f t="shared" si="0"/>
        <v>258000</v>
      </c>
      <c r="P11" s="3"/>
      <c r="Q11" s="3"/>
    </row>
    <row r="12" spans="2:18" x14ac:dyDescent="0.3">
      <c r="E12" s="12">
        <v>6</v>
      </c>
      <c r="F12" s="6"/>
      <c r="G12" s="6"/>
      <c r="H12" s="6">
        <v>-142000</v>
      </c>
      <c r="I12" s="6"/>
      <c r="J12" s="6">
        <v>400000</v>
      </c>
      <c r="K12" s="6">
        <f t="shared" si="0"/>
        <v>258000</v>
      </c>
      <c r="P12" s="45" t="s">
        <v>9</v>
      </c>
      <c r="Q12" s="9">
        <f>NPV(C4,Q7:Q10)</f>
        <v>910658.42497097177</v>
      </c>
    </row>
    <row r="13" spans="2:18" x14ac:dyDescent="0.3">
      <c r="P13" s="45" t="s">
        <v>10</v>
      </c>
      <c r="Q13" s="9">
        <f>Q12+Q6</f>
        <v>838658.42497097177</v>
      </c>
    </row>
    <row r="14" spans="2:18" x14ac:dyDescent="0.3">
      <c r="J14" s="45" t="s">
        <v>9</v>
      </c>
      <c r="K14" s="9">
        <f>NPV(C4,K7:K12)</f>
        <v>1123657.260461254</v>
      </c>
      <c r="P14" s="45" t="s">
        <v>11</v>
      </c>
      <c r="Q14" s="9">
        <f>-PMT(C4,E10,Q13)</f>
        <v>264572.24736048258</v>
      </c>
      <c r="R14" t="s">
        <v>12</v>
      </c>
    </row>
    <row r="15" spans="2:18" x14ac:dyDescent="0.3">
      <c r="J15" s="45" t="s">
        <v>10</v>
      </c>
      <c r="K15" s="9">
        <f>K14+K6</f>
        <v>1075657.260461254</v>
      </c>
    </row>
    <row r="16" spans="2:18" x14ac:dyDescent="0.3">
      <c r="J16" s="45" t="s">
        <v>11</v>
      </c>
      <c r="K16" s="9">
        <f>-PMT(C4,E12,K15)</f>
        <v>246978.84574259201</v>
      </c>
      <c r="L16" t="s">
        <v>12</v>
      </c>
    </row>
    <row r="17" spans="3:10" ht="7.55" customHeight="1" x14ac:dyDescent="0.3"/>
    <row r="18" spans="3:10" ht="155.9" customHeight="1" x14ac:dyDescent="0.3">
      <c r="C18" s="62" t="s">
        <v>114</v>
      </c>
      <c r="D18" s="62"/>
      <c r="E18" s="62"/>
      <c r="F18" s="62"/>
      <c r="G18" s="62"/>
    </row>
    <row r="19" spans="3:10" x14ac:dyDescent="0.3">
      <c r="J19" s="25"/>
    </row>
    <row r="20" spans="3:10" ht="14.4" x14ac:dyDescent="0.3">
      <c r="H20" s="25"/>
    </row>
  </sheetData>
  <mergeCells count="1">
    <mergeCell ref="C18:G18"/>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ECF15-6822-4EE2-B3BE-6B316A49C0F5}">
  <dimension ref="B1:M37"/>
  <sheetViews>
    <sheetView zoomScale="85" zoomScaleNormal="85" workbookViewId="0">
      <selection activeCell="B2" sqref="B2"/>
    </sheetView>
  </sheetViews>
  <sheetFormatPr baseColWidth="10" defaultColWidth="11.5546875" defaultRowHeight="15.05" x14ac:dyDescent="0.3"/>
  <cols>
    <col min="1" max="1" width="5.6640625" customWidth="1"/>
    <col min="2" max="2" width="5.5546875" customWidth="1"/>
    <col min="3" max="3" width="16.33203125" bestFit="1" customWidth="1"/>
    <col min="4" max="4" width="13.77734375" bestFit="1" customWidth="1"/>
    <col min="5" max="6" width="14.6640625" bestFit="1" customWidth="1"/>
    <col min="7" max="7" width="13.77734375" bestFit="1" customWidth="1"/>
    <col min="8" max="8" width="16.5546875" customWidth="1"/>
    <col min="9" max="9" width="27.88671875" bestFit="1" customWidth="1"/>
    <col min="10" max="10" width="12.33203125" bestFit="1" customWidth="1"/>
    <col min="11" max="11" width="28.109375" bestFit="1" customWidth="1"/>
    <col min="12" max="12" width="10.33203125" bestFit="1" customWidth="1"/>
    <col min="13" max="13" width="12.44140625" bestFit="1" customWidth="1"/>
  </cols>
  <sheetData>
    <row r="1" spans="2:13" customFormat="1" x14ac:dyDescent="0.3"/>
    <row r="2" spans="2:13" customFormat="1" ht="28.2" x14ac:dyDescent="0.5">
      <c r="B2" s="1" t="s">
        <v>115</v>
      </c>
    </row>
    <row r="3" spans="2:13" s="1" customFormat="1" ht="12.55" customHeight="1" x14ac:dyDescent="0.5"/>
    <row r="4" spans="2:13" customFormat="1" x14ac:dyDescent="0.3">
      <c r="B4" s="19" t="s">
        <v>15</v>
      </c>
      <c r="C4" s="20" t="s">
        <v>14</v>
      </c>
      <c r="E4" s="17"/>
      <c r="F4" s="21" t="s">
        <v>16</v>
      </c>
      <c r="G4" s="21" t="s">
        <v>17</v>
      </c>
    </row>
    <row r="5" spans="2:13" customFormat="1" ht="15.05" customHeight="1" x14ac:dyDescent="0.3">
      <c r="B5" s="12">
        <v>1</v>
      </c>
      <c r="C5" s="59">
        <v>20000</v>
      </c>
      <c r="E5" s="21" t="s">
        <v>5</v>
      </c>
      <c r="F5" s="16">
        <v>-2000000</v>
      </c>
      <c r="G5" s="57">
        <v>-1200000</v>
      </c>
      <c r="I5" s="20" t="s">
        <v>27</v>
      </c>
      <c r="J5" s="60">
        <v>90</v>
      </c>
    </row>
    <row r="6" spans="2:13" customFormat="1" ht="14.4" customHeight="1" x14ac:dyDescent="0.3">
      <c r="B6" s="12">
        <v>2</v>
      </c>
      <c r="C6" s="59">
        <v>30000</v>
      </c>
      <c r="E6" s="21" t="s">
        <v>18</v>
      </c>
      <c r="F6" s="16">
        <v>-30</v>
      </c>
      <c r="G6" s="57">
        <v>-31</v>
      </c>
      <c r="I6" s="20" t="s">
        <v>28</v>
      </c>
      <c r="J6" s="61">
        <v>0.2</v>
      </c>
    </row>
    <row r="7" spans="2:13" customFormat="1" ht="14.4" customHeight="1" x14ac:dyDescent="0.3">
      <c r="B7" s="12">
        <v>3</v>
      </c>
      <c r="C7" s="59">
        <v>50000</v>
      </c>
      <c r="E7" s="21" t="s">
        <v>19</v>
      </c>
      <c r="F7" s="16">
        <v>40000</v>
      </c>
      <c r="G7" s="57">
        <v>0</v>
      </c>
      <c r="I7" s="20" t="s">
        <v>29</v>
      </c>
      <c r="J7" s="11" t="s">
        <v>22</v>
      </c>
    </row>
    <row r="8" spans="2:13" customFormat="1" ht="14.4" customHeight="1" x14ac:dyDescent="0.3">
      <c r="B8" s="12">
        <v>4</v>
      </c>
      <c r="C8" s="59">
        <v>80000</v>
      </c>
      <c r="E8" s="21" t="s">
        <v>20</v>
      </c>
      <c r="F8" s="12" t="s">
        <v>22</v>
      </c>
      <c r="G8" s="58" t="s">
        <v>23</v>
      </c>
      <c r="I8" s="20" t="s">
        <v>1</v>
      </c>
      <c r="J8" s="61">
        <v>0.12</v>
      </c>
    </row>
    <row r="9" spans="2:13" customFormat="1" ht="14.4" customHeight="1" x14ac:dyDescent="0.3">
      <c r="B9" s="12">
        <v>5</v>
      </c>
      <c r="C9" s="59">
        <v>80000</v>
      </c>
      <c r="E9" s="21" t="s">
        <v>21</v>
      </c>
      <c r="F9" s="56">
        <v>-2500000</v>
      </c>
      <c r="G9" s="57">
        <v>-1200000</v>
      </c>
    </row>
    <row r="10" spans="2:13" customFormat="1" x14ac:dyDescent="0.3">
      <c r="B10" s="12">
        <v>6</v>
      </c>
      <c r="C10" s="59">
        <v>80000</v>
      </c>
      <c r="E10" s="21" t="s">
        <v>24</v>
      </c>
      <c r="F10" s="12" t="s">
        <v>25</v>
      </c>
      <c r="G10" s="58" t="s">
        <v>26</v>
      </c>
    </row>
    <row r="11" spans="2:13" customFormat="1" x14ac:dyDescent="0.3">
      <c r="B11" s="10" t="s">
        <v>16</v>
      </c>
      <c r="E11" s="23"/>
    </row>
    <row r="12" spans="2:13" customFormat="1" x14ac:dyDescent="0.3">
      <c r="B12" s="2"/>
      <c r="C12" s="20" t="s">
        <v>5</v>
      </c>
      <c r="D12" s="20" t="s">
        <v>30</v>
      </c>
      <c r="E12" s="21" t="s">
        <v>18</v>
      </c>
      <c r="F12" s="20" t="s">
        <v>19</v>
      </c>
      <c r="G12" s="20" t="s">
        <v>31</v>
      </c>
      <c r="H12" s="20" t="s">
        <v>32</v>
      </c>
      <c r="I12" s="20" t="s">
        <v>35</v>
      </c>
      <c r="J12" s="20" t="s">
        <v>33</v>
      </c>
      <c r="K12" s="20" t="s">
        <v>34</v>
      </c>
      <c r="L12" s="22" t="s">
        <v>9</v>
      </c>
      <c r="M12" s="25">
        <f>NPV(J8,K14:K19)</f>
        <v>3541362.2682061666</v>
      </c>
    </row>
    <row r="13" spans="2:13" customFormat="1" ht="14.4" x14ac:dyDescent="0.3">
      <c r="B13" s="12">
        <v>0</v>
      </c>
      <c r="C13" s="2"/>
      <c r="D13" s="24">
        <f>F9</f>
        <v>-2500000</v>
      </c>
      <c r="E13" s="2"/>
      <c r="F13" s="2"/>
      <c r="G13" s="2"/>
      <c r="H13" s="2"/>
      <c r="I13" s="15">
        <f>SUM(C13:G13)</f>
        <v>-2500000</v>
      </c>
      <c r="J13" s="15"/>
      <c r="K13" s="15">
        <f>I13+J13</f>
        <v>-2500000</v>
      </c>
      <c r="L13" t="s">
        <v>10</v>
      </c>
      <c r="M13" s="25">
        <f>M12+K13</f>
        <v>1041362.2682061666</v>
      </c>
    </row>
    <row r="14" spans="2:13" customFormat="1" ht="14.4" x14ac:dyDescent="0.3">
      <c r="B14" s="12">
        <v>1</v>
      </c>
      <c r="C14" s="24">
        <f>$F$5</f>
        <v>-2000000</v>
      </c>
      <c r="D14" s="2"/>
      <c r="E14" s="24">
        <f>$F$6*H14</f>
        <v>-600000</v>
      </c>
      <c r="F14" s="2"/>
      <c r="G14" s="18">
        <f>H14*$J$5</f>
        <v>1800000</v>
      </c>
      <c r="H14" s="14">
        <f t="shared" ref="H14:H19" si="0">C5</f>
        <v>20000</v>
      </c>
      <c r="I14" s="15">
        <f>SUM(C14:G14)</f>
        <v>-800000</v>
      </c>
      <c r="J14" s="15">
        <f>MIN(0,I14*$J$6*-1)</f>
        <v>0</v>
      </c>
      <c r="K14" s="15">
        <f>I14+J14</f>
        <v>-800000</v>
      </c>
      <c r="L14" t="s">
        <v>57</v>
      </c>
      <c r="M14" s="33">
        <f>IRR(K13:K19)</f>
        <v>0.19140574831816526</v>
      </c>
    </row>
    <row r="15" spans="2:13" customFormat="1" ht="14.4" x14ac:dyDescent="0.3">
      <c r="B15" s="12">
        <v>2</v>
      </c>
      <c r="C15" s="24">
        <f t="shared" ref="C15:C19" si="1">$F$5</f>
        <v>-2000000</v>
      </c>
      <c r="D15" s="2"/>
      <c r="E15" s="24">
        <f>$F$6*H15</f>
        <v>-900000</v>
      </c>
      <c r="F15" s="2"/>
      <c r="G15" s="18">
        <f t="shared" ref="G15:G18" si="2">H15*$J$5</f>
        <v>2700000</v>
      </c>
      <c r="H15" s="14">
        <f t="shared" si="0"/>
        <v>30000</v>
      </c>
      <c r="I15" s="15">
        <f t="shared" ref="I15:I19" si="3">SUM(C15:G15)</f>
        <v>-200000</v>
      </c>
      <c r="J15" s="15">
        <f t="shared" ref="J15:J18" si="4">MIN(0,I15*$J$6*-1)</f>
        <v>0</v>
      </c>
      <c r="K15" s="15">
        <f t="shared" ref="K15:K17" si="5">I15+J15</f>
        <v>-200000</v>
      </c>
    </row>
    <row r="16" spans="2:13" customFormat="1" ht="14.4" x14ac:dyDescent="0.3">
      <c r="B16" s="12">
        <v>3</v>
      </c>
      <c r="C16" s="24">
        <f t="shared" si="1"/>
        <v>-2000000</v>
      </c>
      <c r="D16" s="2"/>
      <c r="E16" s="24">
        <f>$F$6*H16</f>
        <v>-1500000</v>
      </c>
      <c r="F16" s="2"/>
      <c r="G16" s="18">
        <f t="shared" si="2"/>
        <v>4500000</v>
      </c>
      <c r="H16" s="14">
        <f t="shared" si="0"/>
        <v>50000</v>
      </c>
      <c r="I16" s="15">
        <f t="shared" si="3"/>
        <v>1000000</v>
      </c>
      <c r="J16" s="15">
        <f t="shared" si="4"/>
        <v>-200000</v>
      </c>
      <c r="K16" s="15">
        <f t="shared" si="5"/>
        <v>800000</v>
      </c>
    </row>
    <row r="17" spans="2:13" customFormat="1" ht="14.4" x14ac:dyDescent="0.3">
      <c r="B17" s="12">
        <v>4</v>
      </c>
      <c r="C17" s="24">
        <f t="shared" si="1"/>
        <v>-2000000</v>
      </c>
      <c r="D17" s="2"/>
      <c r="E17" s="24">
        <f>$F$6*H17</f>
        <v>-2400000</v>
      </c>
      <c r="F17" s="2"/>
      <c r="G17" s="18">
        <f t="shared" si="2"/>
        <v>7200000</v>
      </c>
      <c r="H17" s="14">
        <f t="shared" si="0"/>
        <v>80000</v>
      </c>
      <c r="I17" s="15">
        <f t="shared" si="3"/>
        <v>2800000</v>
      </c>
      <c r="J17" s="15">
        <f t="shared" si="4"/>
        <v>-560000</v>
      </c>
      <c r="K17" s="15">
        <f t="shared" si="5"/>
        <v>2240000</v>
      </c>
    </row>
    <row r="18" spans="2:13" customFormat="1" ht="14.4" x14ac:dyDescent="0.3">
      <c r="B18" s="12">
        <v>5</v>
      </c>
      <c r="C18" s="24">
        <f t="shared" si="1"/>
        <v>-2000000</v>
      </c>
      <c r="D18" s="2"/>
      <c r="E18" s="24">
        <f t="shared" ref="E18" si="6">$F$6*H18</f>
        <v>-2400000</v>
      </c>
      <c r="F18" s="2"/>
      <c r="G18" s="18">
        <f t="shared" si="2"/>
        <v>7200000</v>
      </c>
      <c r="H18" s="14">
        <f t="shared" si="0"/>
        <v>80000</v>
      </c>
      <c r="I18" s="15">
        <f t="shared" si="3"/>
        <v>2800000</v>
      </c>
      <c r="J18" s="15">
        <f t="shared" si="4"/>
        <v>-560000</v>
      </c>
      <c r="K18" s="15">
        <f>I18+J18</f>
        <v>2240000</v>
      </c>
    </row>
    <row r="19" spans="2:13" customFormat="1" x14ac:dyDescent="0.3">
      <c r="B19" s="12">
        <v>6</v>
      </c>
      <c r="C19" s="24">
        <f t="shared" si="1"/>
        <v>-2000000</v>
      </c>
      <c r="D19" s="2"/>
      <c r="E19" s="24">
        <f>$F$6*H19</f>
        <v>-2400000</v>
      </c>
      <c r="F19" s="24">
        <f>F7</f>
        <v>40000</v>
      </c>
      <c r="G19" s="18">
        <f>H19*$J$5</f>
        <v>7200000</v>
      </c>
      <c r="H19" s="14">
        <f t="shared" si="0"/>
        <v>80000</v>
      </c>
      <c r="I19" s="15">
        <f t="shared" si="3"/>
        <v>2840000</v>
      </c>
      <c r="J19" s="15">
        <f>MIN(0,I19*$J$6*-1)</f>
        <v>-568000</v>
      </c>
      <c r="K19" s="15">
        <f>I19+J19</f>
        <v>2272000</v>
      </c>
    </row>
    <row r="20" spans="2:13" customFormat="1" x14ac:dyDescent="0.3">
      <c r="B20" s="10" t="s">
        <v>17</v>
      </c>
    </row>
    <row r="21" spans="2:13" customFormat="1" x14ac:dyDescent="0.3">
      <c r="B21" s="2"/>
      <c r="C21" s="20" t="s">
        <v>5</v>
      </c>
      <c r="D21" s="20" t="s">
        <v>30</v>
      </c>
      <c r="E21" s="21" t="s">
        <v>18</v>
      </c>
      <c r="F21" s="20" t="s">
        <v>19</v>
      </c>
      <c r="G21" s="20" t="s">
        <v>31</v>
      </c>
      <c r="H21" s="20" t="s">
        <v>32</v>
      </c>
      <c r="I21" s="20" t="s">
        <v>35</v>
      </c>
      <c r="J21" s="20" t="s">
        <v>33</v>
      </c>
      <c r="K21" s="20" t="s">
        <v>34</v>
      </c>
      <c r="L21" s="22" t="s">
        <v>9</v>
      </c>
      <c r="M21" s="25">
        <f>NPV(J8,K23:K28)</f>
        <v>3055979.2628655988</v>
      </c>
    </row>
    <row r="22" spans="2:13" customFormat="1" ht="14.4" x14ac:dyDescent="0.3">
      <c r="B22" s="12">
        <v>0</v>
      </c>
      <c r="C22" s="2"/>
      <c r="D22" s="24">
        <f>$G$9</f>
        <v>-1200000</v>
      </c>
      <c r="E22" s="2"/>
      <c r="F22" s="2"/>
      <c r="G22" s="2"/>
      <c r="H22" s="2"/>
      <c r="I22" s="15">
        <f>SUM(C22:G22)</f>
        <v>-1200000</v>
      </c>
      <c r="J22" s="15"/>
      <c r="K22" s="15">
        <f>I22</f>
        <v>-1200000</v>
      </c>
      <c r="L22" t="s">
        <v>10</v>
      </c>
      <c r="M22" s="25">
        <f>M21+K22</f>
        <v>1855979.2628655988</v>
      </c>
    </row>
    <row r="23" spans="2:13" customFormat="1" ht="14.4" x14ac:dyDescent="0.3">
      <c r="B23" s="12">
        <v>1</v>
      </c>
      <c r="C23" s="24">
        <f>$G$5</f>
        <v>-1200000</v>
      </c>
      <c r="D23" s="2"/>
      <c r="E23" s="24">
        <f>$G$6*H23</f>
        <v>-620000</v>
      </c>
      <c r="F23" s="24">
        <f>$G$7</f>
        <v>0</v>
      </c>
      <c r="G23" s="18">
        <f>H23*$J$5</f>
        <v>1800000</v>
      </c>
      <c r="H23" s="14">
        <f t="shared" ref="H23:H28" si="7">C5</f>
        <v>20000</v>
      </c>
      <c r="I23" s="15">
        <f t="shared" ref="I23:I28" si="8">SUM(C23:G23)</f>
        <v>-20000</v>
      </c>
      <c r="J23" s="15">
        <f>MIN(0,I23*$J$6*-1)</f>
        <v>0</v>
      </c>
      <c r="K23" s="15">
        <f>J23+I23</f>
        <v>-20000</v>
      </c>
      <c r="L23" t="s">
        <v>57</v>
      </c>
      <c r="M23" s="33">
        <f>IRR(K22:K28)</f>
        <v>0.36199008491108953</v>
      </c>
    </row>
    <row r="24" spans="2:13" customFormat="1" ht="14.4" x14ac:dyDescent="0.3">
      <c r="B24" s="12">
        <v>2</v>
      </c>
      <c r="C24" s="24">
        <f t="shared" ref="C24:C25" si="9">$G$5</f>
        <v>-1200000</v>
      </c>
      <c r="D24" s="2"/>
      <c r="E24" s="24">
        <f t="shared" ref="E24:E25" si="10">$G$6*H24</f>
        <v>-930000</v>
      </c>
      <c r="F24" s="24">
        <f t="shared" ref="F24:F28" si="11">$G$7</f>
        <v>0</v>
      </c>
      <c r="G24" s="18">
        <f t="shared" ref="G24:G27" si="12">H24*$J$5</f>
        <v>2700000</v>
      </c>
      <c r="H24" s="14">
        <f t="shared" si="7"/>
        <v>30000</v>
      </c>
      <c r="I24" s="15">
        <f t="shared" si="8"/>
        <v>570000</v>
      </c>
      <c r="J24" s="15">
        <f>MIN(0,I24*$J$6*-1)</f>
        <v>-114000</v>
      </c>
      <c r="K24" s="15">
        <f>J24+I24</f>
        <v>456000</v>
      </c>
    </row>
    <row r="25" spans="2:13" customFormat="1" ht="14.4" x14ac:dyDescent="0.3">
      <c r="B25" s="12">
        <v>3</v>
      </c>
      <c r="C25" s="24">
        <f t="shared" si="9"/>
        <v>-1200000</v>
      </c>
      <c r="D25" s="24">
        <f>$G$9*2</f>
        <v>-2400000</v>
      </c>
      <c r="E25" s="24">
        <f t="shared" si="10"/>
        <v>-1550000</v>
      </c>
      <c r="F25" s="24">
        <f t="shared" si="11"/>
        <v>0</v>
      </c>
      <c r="G25" s="18">
        <f t="shared" si="12"/>
        <v>4500000</v>
      </c>
      <c r="H25" s="14">
        <f t="shared" si="7"/>
        <v>50000</v>
      </c>
      <c r="I25" s="15">
        <f t="shared" si="8"/>
        <v>-650000</v>
      </c>
      <c r="J25" s="15">
        <f>MIN(0,I25*$J$6*-1)</f>
        <v>0</v>
      </c>
      <c r="K25" s="15">
        <f t="shared" ref="K25:K28" si="13">J25+I25</f>
        <v>-650000</v>
      </c>
    </row>
    <row r="26" spans="2:13" customFormat="1" ht="14.4" x14ac:dyDescent="0.3">
      <c r="B26" s="12">
        <v>4</v>
      </c>
      <c r="C26" s="24">
        <f>$G$5*2</f>
        <v>-2400000</v>
      </c>
      <c r="E26" s="24">
        <f>$G$6*H26</f>
        <v>-2480000</v>
      </c>
      <c r="F26" s="24">
        <f t="shared" si="11"/>
        <v>0</v>
      </c>
      <c r="G26" s="18">
        <f t="shared" si="12"/>
        <v>7200000</v>
      </c>
      <c r="H26" s="14">
        <f t="shared" si="7"/>
        <v>80000</v>
      </c>
      <c r="I26" s="15">
        <f t="shared" si="8"/>
        <v>2320000</v>
      </c>
      <c r="J26" s="15">
        <f t="shared" ref="J26:J28" si="14">MIN(0,I26*$J$6*-1)</f>
        <v>-464000</v>
      </c>
      <c r="K26" s="15">
        <f t="shared" si="13"/>
        <v>1856000</v>
      </c>
    </row>
    <row r="27" spans="2:13" customFormat="1" ht="14.4" x14ac:dyDescent="0.3">
      <c r="B27" s="12">
        <v>5</v>
      </c>
      <c r="C27" s="24">
        <f t="shared" ref="C27:C28" si="15">$G$5*2</f>
        <v>-2400000</v>
      </c>
      <c r="D27" s="2"/>
      <c r="E27" s="24">
        <f>$G$6*H27</f>
        <v>-2480000</v>
      </c>
      <c r="F27" s="24">
        <f t="shared" si="11"/>
        <v>0</v>
      </c>
      <c r="G27" s="18">
        <f t="shared" si="12"/>
        <v>7200000</v>
      </c>
      <c r="H27" s="14">
        <f t="shared" si="7"/>
        <v>80000</v>
      </c>
      <c r="I27" s="15">
        <f t="shared" si="8"/>
        <v>2320000</v>
      </c>
      <c r="J27" s="15">
        <f t="shared" si="14"/>
        <v>-464000</v>
      </c>
      <c r="K27" s="15">
        <f t="shared" si="13"/>
        <v>1856000</v>
      </c>
    </row>
    <row r="28" spans="2:13" customFormat="1" ht="14.4" x14ac:dyDescent="0.3">
      <c r="B28" s="12">
        <v>6</v>
      </c>
      <c r="C28" s="24">
        <f t="shared" si="15"/>
        <v>-2400000</v>
      </c>
      <c r="D28" s="2"/>
      <c r="E28" s="24">
        <f>$G$6*H28</f>
        <v>-2480000</v>
      </c>
      <c r="F28" s="24">
        <f t="shared" si="11"/>
        <v>0</v>
      </c>
      <c r="G28" s="18">
        <f>H28*$J$5</f>
        <v>7200000</v>
      </c>
      <c r="H28" s="14">
        <f t="shared" si="7"/>
        <v>80000</v>
      </c>
      <c r="I28" s="15">
        <f t="shared" si="8"/>
        <v>2320000</v>
      </c>
      <c r="J28" s="15">
        <f t="shared" si="14"/>
        <v>-464000</v>
      </c>
      <c r="K28" s="15">
        <f t="shared" si="13"/>
        <v>1856000</v>
      </c>
    </row>
    <row r="29" spans="2:13" customFormat="1" ht="8.15" customHeight="1" x14ac:dyDescent="0.3"/>
    <row r="30" spans="2:13" customFormat="1" x14ac:dyDescent="0.3">
      <c r="C30" s="63" t="s">
        <v>113</v>
      </c>
      <c r="D30" s="64"/>
      <c r="E30" s="64"/>
      <c r="F30" s="65"/>
    </row>
    <row r="31" spans="2:13" customFormat="1" x14ac:dyDescent="0.3">
      <c r="C31" s="66"/>
      <c r="D31" s="67"/>
      <c r="E31" s="67"/>
      <c r="F31" s="68"/>
    </row>
    <row r="32" spans="2:13" customFormat="1" x14ac:dyDescent="0.3">
      <c r="C32" s="66"/>
      <c r="D32" s="67"/>
      <c r="E32" s="67"/>
      <c r="F32" s="68"/>
    </row>
    <row r="33" spans="3:6" customFormat="1" x14ac:dyDescent="0.3">
      <c r="C33" s="66"/>
      <c r="D33" s="67"/>
      <c r="E33" s="67"/>
      <c r="F33" s="68"/>
    </row>
    <row r="34" spans="3:6" customFormat="1" x14ac:dyDescent="0.3">
      <c r="C34" s="66"/>
      <c r="D34" s="67"/>
      <c r="E34" s="67"/>
      <c r="F34" s="68"/>
    </row>
    <row r="35" spans="3:6" customFormat="1" ht="61.4" customHeight="1" x14ac:dyDescent="0.3">
      <c r="C35" s="69"/>
      <c r="D35" s="70"/>
      <c r="E35" s="70"/>
      <c r="F35" s="71"/>
    </row>
    <row r="36" spans="3:6" customFormat="1" x14ac:dyDescent="0.3"/>
    <row r="37" spans="3:6" customFormat="1" x14ac:dyDescent="0.3"/>
  </sheetData>
  <mergeCells count="1">
    <mergeCell ref="C30:F35"/>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B1DD7-39B3-4B02-8727-4912941BB3F7}">
  <dimension ref="B2:N33"/>
  <sheetViews>
    <sheetView zoomScale="85" zoomScaleNormal="85" workbookViewId="0">
      <selection activeCell="B2" sqref="B2"/>
    </sheetView>
  </sheetViews>
  <sheetFormatPr baseColWidth="10" defaultColWidth="11.5546875" defaultRowHeight="15.05" x14ac:dyDescent="0.3"/>
  <cols>
    <col min="1" max="1" width="3.33203125" customWidth="1"/>
    <col min="2" max="2" width="17.77734375" bestFit="1" customWidth="1"/>
    <col min="3" max="3" width="11.33203125" bestFit="1" customWidth="1"/>
    <col min="4" max="4" width="17.77734375" bestFit="1" customWidth="1"/>
    <col min="5" max="5" width="16.5546875" bestFit="1" customWidth="1"/>
    <col min="6" max="6" width="10.33203125" bestFit="1" customWidth="1"/>
    <col min="7" max="7" width="11.33203125" bestFit="1" customWidth="1"/>
    <col min="8" max="8" width="2.21875" customWidth="1"/>
    <col min="10" max="10" width="12" bestFit="1" customWidth="1"/>
  </cols>
  <sheetData>
    <row r="2" spans="2:11" ht="28.2" x14ac:dyDescent="0.5">
      <c r="B2" s="1" t="s">
        <v>116</v>
      </c>
    </row>
    <row r="5" spans="2:11" x14ac:dyDescent="0.3">
      <c r="B5" s="4" t="s">
        <v>36</v>
      </c>
      <c r="C5" s="15">
        <v>-12000</v>
      </c>
      <c r="E5" s="27" t="s">
        <v>41</v>
      </c>
      <c r="F5" s="27" t="s">
        <v>42</v>
      </c>
      <c r="G5" s="27" t="s">
        <v>43</v>
      </c>
    </row>
    <row r="6" spans="2:11" x14ac:dyDescent="0.3">
      <c r="B6" s="4" t="s">
        <v>20</v>
      </c>
      <c r="C6" s="2">
        <v>20</v>
      </c>
      <c r="D6" t="s">
        <v>39</v>
      </c>
      <c r="E6" s="26">
        <v>-550</v>
      </c>
      <c r="F6" s="11">
        <v>0</v>
      </c>
      <c r="G6" s="11">
        <v>5</v>
      </c>
    </row>
    <row r="7" spans="2:11" x14ac:dyDescent="0.3">
      <c r="B7" s="4" t="s">
        <v>37</v>
      </c>
      <c r="C7" s="15">
        <v>-20000</v>
      </c>
      <c r="D7" t="s">
        <v>40</v>
      </c>
      <c r="E7" s="26">
        <v>-800</v>
      </c>
      <c r="F7" s="11">
        <v>6</v>
      </c>
      <c r="G7" s="11">
        <v>10</v>
      </c>
    </row>
    <row r="8" spans="2:11" x14ac:dyDescent="0.3">
      <c r="B8" s="4" t="s">
        <v>38</v>
      </c>
      <c r="C8" s="15">
        <v>-450</v>
      </c>
      <c r="D8" t="s">
        <v>40</v>
      </c>
      <c r="E8" s="26">
        <v>-1500</v>
      </c>
      <c r="F8" s="11">
        <v>11</v>
      </c>
      <c r="G8" s="11">
        <v>15</v>
      </c>
    </row>
    <row r="9" spans="2:11" x14ac:dyDescent="0.3">
      <c r="B9" s="4" t="s">
        <v>1</v>
      </c>
      <c r="C9" s="8">
        <v>7.0000000000000007E-2</v>
      </c>
      <c r="D9" t="s">
        <v>44</v>
      </c>
      <c r="E9" s="26">
        <v>-2500</v>
      </c>
      <c r="F9" s="11">
        <v>16</v>
      </c>
      <c r="G9" s="11">
        <v>20</v>
      </c>
    </row>
    <row r="10" spans="2:11" x14ac:dyDescent="0.3">
      <c r="B10" s="4" t="s">
        <v>45</v>
      </c>
      <c r="C10" s="2"/>
    </row>
    <row r="12" spans="2:11" x14ac:dyDescent="0.3">
      <c r="B12" s="2"/>
      <c r="C12" s="4" t="s">
        <v>36</v>
      </c>
      <c r="D12" s="4" t="s">
        <v>37</v>
      </c>
      <c r="E12" s="4" t="s">
        <v>38</v>
      </c>
      <c r="F12" s="4" t="s">
        <v>41</v>
      </c>
      <c r="G12" s="4" t="s">
        <v>8</v>
      </c>
    </row>
    <row r="13" spans="2:11" x14ac:dyDescent="0.3">
      <c r="B13" s="2">
        <v>0</v>
      </c>
      <c r="C13" s="24">
        <f>C5</f>
        <v>-12000</v>
      </c>
      <c r="E13" s="2"/>
      <c r="F13" s="2"/>
      <c r="G13" s="24">
        <f>SUM(C13:F13)</f>
        <v>-12000</v>
      </c>
      <c r="I13" s="2" t="s">
        <v>46</v>
      </c>
    </row>
    <row r="14" spans="2:11" x14ac:dyDescent="0.3">
      <c r="B14" s="2">
        <v>1</v>
      </c>
      <c r="C14" s="2"/>
      <c r="D14" s="24">
        <f>$C$7</f>
        <v>-20000</v>
      </c>
      <c r="E14" s="24">
        <f>$C$8</f>
        <v>-450</v>
      </c>
      <c r="F14" s="24">
        <f>$E$6</f>
        <v>-550</v>
      </c>
      <c r="G14" s="24">
        <f t="shared" ref="G14:G33" si="0">SUM(C14:F14)</f>
        <v>-21000</v>
      </c>
      <c r="I14" s="4" t="s">
        <v>9</v>
      </c>
      <c r="J14" s="9">
        <f>NPV(C9,G14:G18)</f>
        <v>-86104.146154899456</v>
      </c>
    </row>
    <row r="15" spans="2:11" x14ac:dyDescent="0.3">
      <c r="B15" s="2">
        <v>2</v>
      </c>
      <c r="C15" s="2"/>
      <c r="D15" s="24">
        <f t="shared" ref="D15:D33" si="1">$C$7</f>
        <v>-20000</v>
      </c>
      <c r="E15" s="24">
        <f t="shared" ref="E15:E33" si="2">$C$8</f>
        <v>-450</v>
      </c>
      <c r="F15" s="24">
        <f t="shared" ref="F15:F18" si="3">$E$6</f>
        <v>-550</v>
      </c>
      <c r="G15" s="24">
        <f t="shared" si="0"/>
        <v>-21000</v>
      </c>
      <c r="I15" s="4" t="s">
        <v>10</v>
      </c>
      <c r="J15" s="9">
        <f>J14+G13</f>
        <v>-98104.146154899456</v>
      </c>
    </row>
    <row r="16" spans="2:11" x14ac:dyDescent="0.3">
      <c r="B16" s="2">
        <v>3</v>
      </c>
      <c r="C16" s="2"/>
      <c r="D16" s="24">
        <f t="shared" si="1"/>
        <v>-20000</v>
      </c>
      <c r="E16" s="24">
        <f t="shared" si="2"/>
        <v>-450</v>
      </c>
      <c r="F16" s="24">
        <f t="shared" si="3"/>
        <v>-550</v>
      </c>
      <c r="G16" s="24">
        <f t="shared" si="0"/>
        <v>-21000</v>
      </c>
      <c r="I16" s="4" t="s">
        <v>11</v>
      </c>
      <c r="J16" s="9">
        <f>-PMT(C9,B18,J15)</f>
        <v>-23926.68833329649</v>
      </c>
      <c r="K16" t="s">
        <v>12</v>
      </c>
    </row>
    <row r="17" spans="2:14" x14ac:dyDescent="0.3">
      <c r="B17" s="2">
        <v>4</v>
      </c>
      <c r="C17" s="2"/>
      <c r="D17" s="24">
        <f t="shared" si="1"/>
        <v>-20000</v>
      </c>
      <c r="E17" s="24">
        <f t="shared" si="2"/>
        <v>-450</v>
      </c>
      <c r="F17" s="24">
        <f t="shared" si="3"/>
        <v>-550</v>
      </c>
      <c r="G17" s="24">
        <f t="shared" si="0"/>
        <v>-21000</v>
      </c>
    </row>
    <row r="18" spans="2:14" x14ac:dyDescent="0.3">
      <c r="B18" s="2">
        <v>5</v>
      </c>
      <c r="C18" s="2"/>
      <c r="D18" s="24">
        <f t="shared" si="1"/>
        <v>-20000</v>
      </c>
      <c r="E18" s="24">
        <f t="shared" si="2"/>
        <v>-450</v>
      </c>
      <c r="F18" s="24">
        <f t="shared" si="3"/>
        <v>-550</v>
      </c>
      <c r="G18" s="24">
        <f t="shared" si="0"/>
        <v>-21000</v>
      </c>
      <c r="I18" s="2" t="s">
        <v>47</v>
      </c>
    </row>
    <row r="19" spans="2:14" x14ac:dyDescent="0.3">
      <c r="B19" s="2">
        <v>6</v>
      </c>
      <c r="C19" s="2"/>
      <c r="D19" s="24">
        <f t="shared" si="1"/>
        <v>-20000</v>
      </c>
      <c r="E19" s="24">
        <f t="shared" si="2"/>
        <v>-450</v>
      </c>
      <c r="F19" s="24">
        <f>$E$7</f>
        <v>-800</v>
      </c>
      <c r="G19" s="24">
        <f t="shared" si="0"/>
        <v>-21250</v>
      </c>
      <c r="I19" s="4" t="s">
        <v>9</v>
      </c>
      <c r="J19" s="9">
        <f>NPV(C9,G14:G23)</f>
        <v>-148226.05838583087</v>
      </c>
    </row>
    <row r="20" spans="2:14" x14ac:dyDescent="0.3">
      <c r="B20" s="2">
        <v>7</v>
      </c>
      <c r="C20" s="2"/>
      <c r="D20" s="24">
        <f t="shared" si="1"/>
        <v>-20000</v>
      </c>
      <c r="E20" s="24">
        <f t="shared" si="2"/>
        <v>-450</v>
      </c>
      <c r="F20" s="24">
        <f t="shared" ref="F20:F23" si="4">$E$7</f>
        <v>-800</v>
      </c>
      <c r="G20" s="24">
        <f t="shared" si="0"/>
        <v>-21250</v>
      </c>
      <c r="I20" s="4" t="s">
        <v>10</v>
      </c>
      <c r="J20" s="9">
        <f>J19+G13</f>
        <v>-160226.05838583087</v>
      </c>
    </row>
    <row r="21" spans="2:14" x14ac:dyDescent="0.3">
      <c r="B21" s="2">
        <v>8</v>
      </c>
      <c r="C21" s="2"/>
      <c r="D21" s="24">
        <f t="shared" si="1"/>
        <v>-20000</v>
      </c>
      <c r="E21" s="24">
        <f t="shared" si="2"/>
        <v>-450</v>
      </c>
      <c r="F21" s="24">
        <f t="shared" si="4"/>
        <v>-800</v>
      </c>
      <c r="G21" s="24">
        <f t="shared" si="0"/>
        <v>-21250</v>
      </c>
      <c r="I21" s="4" t="s">
        <v>11</v>
      </c>
      <c r="J21" s="9">
        <f>-PMT(C9,B23,J20)</f>
        <v>-22812.586064823532</v>
      </c>
      <c r="K21" t="s">
        <v>12</v>
      </c>
    </row>
    <row r="22" spans="2:14" x14ac:dyDescent="0.3">
      <c r="B22" s="2">
        <v>9</v>
      </c>
      <c r="C22" s="2"/>
      <c r="D22" s="24">
        <f t="shared" si="1"/>
        <v>-20000</v>
      </c>
      <c r="E22" s="24">
        <f t="shared" si="2"/>
        <v>-450</v>
      </c>
      <c r="F22" s="24">
        <f t="shared" si="4"/>
        <v>-800</v>
      </c>
      <c r="G22" s="24">
        <f t="shared" si="0"/>
        <v>-21250</v>
      </c>
      <c r="M22" t="s">
        <v>60</v>
      </c>
      <c r="N22" t="s">
        <v>61</v>
      </c>
    </row>
    <row r="23" spans="2:14" x14ac:dyDescent="0.3">
      <c r="B23" s="2">
        <v>10</v>
      </c>
      <c r="C23" s="2"/>
      <c r="D23" s="24">
        <f t="shared" si="1"/>
        <v>-20000</v>
      </c>
      <c r="E23" s="24">
        <f t="shared" si="2"/>
        <v>-450</v>
      </c>
      <c r="F23" s="24">
        <f t="shared" si="4"/>
        <v>-800</v>
      </c>
      <c r="G23" s="24">
        <f t="shared" si="0"/>
        <v>-21250</v>
      </c>
      <c r="I23" s="2" t="s">
        <v>48</v>
      </c>
    </row>
    <row r="24" spans="2:14" x14ac:dyDescent="0.3">
      <c r="B24" s="2">
        <v>11</v>
      </c>
      <c r="C24" s="2"/>
      <c r="D24" s="24">
        <f t="shared" si="1"/>
        <v>-20000</v>
      </c>
      <c r="E24" s="24">
        <f t="shared" si="2"/>
        <v>-450</v>
      </c>
      <c r="F24" s="24">
        <f>$E$8</f>
        <v>-1500</v>
      </c>
      <c r="G24" s="24">
        <f t="shared" si="0"/>
        <v>-21950</v>
      </c>
      <c r="I24" s="4" t="s">
        <v>9</v>
      </c>
      <c r="J24" s="9">
        <f>NPV(C9,G14:G28)</f>
        <v>-193977.15597450593</v>
      </c>
    </row>
    <row r="25" spans="2:14" x14ac:dyDescent="0.3">
      <c r="B25" s="2">
        <v>12</v>
      </c>
      <c r="C25" s="2"/>
      <c r="D25" s="24">
        <f t="shared" si="1"/>
        <v>-20000</v>
      </c>
      <c r="E25" s="24">
        <f t="shared" si="2"/>
        <v>-450</v>
      </c>
      <c r="F25" s="24">
        <f t="shared" ref="F25:F28" si="5">$E$8</f>
        <v>-1500</v>
      </c>
      <c r="G25" s="24">
        <f t="shared" si="0"/>
        <v>-21950</v>
      </c>
      <c r="I25" s="4" t="s">
        <v>10</v>
      </c>
      <c r="J25" s="9">
        <f>J24+G13</f>
        <v>-205977.15597450593</v>
      </c>
    </row>
    <row r="26" spans="2:14" x14ac:dyDescent="0.3">
      <c r="B26" s="2">
        <v>13</v>
      </c>
      <c r="C26" s="2"/>
      <c r="D26" s="24">
        <f t="shared" si="1"/>
        <v>-20000</v>
      </c>
      <c r="E26" s="24">
        <f t="shared" si="2"/>
        <v>-450</v>
      </c>
      <c r="F26" s="24">
        <f t="shared" si="5"/>
        <v>-1500</v>
      </c>
      <c r="G26" s="24">
        <f t="shared" si="0"/>
        <v>-21950</v>
      </c>
      <c r="I26" s="4" t="s">
        <v>11</v>
      </c>
      <c r="J26" s="9">
        <f>-PMT(C9,B28,J25)</f>
        <v>-22615.184537201567</v>
      </c>
      <c r="K26" t="s">
        <v>12</v>
      </c>
    </row>
    <row r="27" spans="2:14" x14ac:dyDescent="0.3">
      <c r="B27" s="2">
        <v>14</v>
      </c>
      <c r="C27" s="2"/>
      <c r="D27" s="24">
        <f t="shared" si="1"/>
        <v>-20000</v>
      </c>
      <c r="E27" s="24">
        <f t="shared" si="2"/>
        <v>-450</v>
      </c>
      <c r="F27" s="24">
        <f t="shared" si="5"/>
        <v>-1500</v>
      </c>
      <c r="G27" s="24">
        <f t="shared" si="0"/>
        <v>-21950</v>
      </c>
    </row>
    <row r="28" spans="2:14" x14ac:dyDescent="0.3">
      <c r="B28" s="2">
        <v>15</v>
      </c>
      <c r="C28" s="2"/>
      <c r="D28" s="24">
        <f t="shared" si="1"/>
        <v>-20000</v>
      </c>
      <c r="E28" s="24">
        <f t="shared" si="2"/>
        <v>-450</v>
      </c>
      <c r="F28" s="24">
        <f t="shared" si="5"/>
        <v>-1500</v>
      </c>
      <c r="G28" s="24">
        <f t="shared" si="0"/>
        <v>-21950</v>
      </c>
      <c r="I28" s="2" t="s">
        <v>49</v>
      </c>
    </row>
    <row r="29" spans="2:14" x14ac:dyDescent="0.3">
      <c r="B29" s="2">
        <v>16</v>
      </c>
      <c r="C29" s="2"/>
      <c r="D29" s="24">
        <f t="shared" si="1"/>
        <v>-20000</v>
      </c>
      <c r="E29" s="24">
        <f t="shared" si="2"/>
        <v>-450</v>
      </c>
      <c r="F29" s="24">
        <f>$E$9</f>
        <v>-2500</v>
      </c>
      <c r="G29" s="24">
        <f t="shared" si="0"/>
        <v>-22950</v>
      </c>
      <c r="I29" s="4" t="s">
        <v>9</v>
      </c>
      <c r="J29" s="9">
        <f>NPV(C9,G14:G33)</f>
        <v>-228083.15649184689</v>
      </c>
    </row>
    <row r="30" spans="2:14" x14ac:dyDescent="0.3">
      <c r="B30" s="2">
        <v>17</v>
      </c>
      <c r="C30" s="2"/>
      <c r="D30" s="24">
        <f t="shared" si="1"/>
        <v>-20000</v>
      </c>
      <c r="E30" s="24">
        <f t="shared" si="2"/>
        <v>-450</v>
      </c>
      <c r="F30" s="24">
        <f t="shared" ref="F30:F33" si="6">$E$9</f>
        <v>-2500</v>
      </c>
      <c r="G30" s="24">
        <f t="shared" si="0"/>
        <v>-22950</v>
      </c>
      <c r="I30" s="4" t="s">
        <v>10</v>
      </c>
      <c r="J30" s="9">
        <f>J29+G13</f>
        <v>-240083.15649184689</v>
      </c>
    </row>
    <row r="31" spans="2:14" x14ac:dyDescent="0.3">
      <c r="B31" s="2">
        <v>18</v>
      </c>
      <c r="C31" s="2"/>
      <c r="D31" s="24">
        <f t="shared" si="1"/>
        <v>-20000</v>
      </c>
      <c r="E31" s="24">
        <f t="shared" si="2"/>
        <v>-450</v>
      </c>
      <c r="F31" s="24">
        <f t="shared" si="6"/>
        <v>-2500</v>
      </c>
      <c r="G31" s="24">
        <f t="shared" si="0"/>
        <v>-22950</v>
      </c>
      <c r="I31" s="4" t="s">
        <v>11</v>
      </c>
      <c r="J31" s="9">
        <f>-PMT(C9,B33,J30)</f>
        <v>-22662.151562941341</v>
      </c>
      <c r="K31" t="s">
        <v>12</v>
      </c>
    </row>
    <row r="32" spans="2:14" x14ac:dyDescent="0.3">
      <c r="B32" s="2">
        <v>19</v>
      </c>
      <c r="C32" s="2"/>
      <c r="D32" s="24">
        <f t="shared" si="1"/>
        <v>-20000</v>
      </c>
      <c r="E32" s="24">
        <f t="shared" si="2"/>
        <v>-450</v>
      </c>
      <c r="F32" s="24">
        <f t="shared" si="6"/>
        <v>-2500</v>
      </c>
      <c r="G32" s="24">
        <f t="shared" si="0"/>
        <v>-22950</v>
      </c>
    </row>
    <row r="33" spans="2:7" x14ac:dyDescent="0.3">
      <c r="B33" s="2">
        <v>20</v>
      </c>
      <c r="C33" s="2"/>
      <c r="D33" s="24">
        <f t="shared" si="1"/>
        <v>-20000</v>
      </c>
      <c r="E33" s="24">
        <f t="shared" si="2"/>
        <v>-450</v>
      </c>
      <c r="F33" s="24">
        <f t="shared" si="6"/>
        <v>-2500</v>
      </c>
      <c r="G33" s="24">
        <f t="shared" si="0"/>
        <v>-22950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19ECC-99D3-421D-96A2-DB3C0A57A488}">
  <dimension ref="B2:R50"/>
  <sheetViews>
    <sheetView topLeftCell="E1" workbookViewId="0">
      <selection activeCell="F2" sqref="F2"/>
    </sheetView>
  </sheetViews>
  <sheetFormatPr baseColWidth="10" defaultColWidth="11.5546875" defaultRowHeight="15.05" x14ac:dyDescent="0.3"/>
  <cols>
    <col min="2" max="2" width="22" customWidth="1"/>
    <col min="3" max="3" width="15.44140625" bestFit="1" customWidth="1"/>
    <col min="4" max="4" width="27.88671875" bestFit="1" customWidth="1"/>
    <col min="5" max="5" width="5.5546875" customWidth="1"/>
    <col min="6" max="6" width="16" bestFit="1" customWidth="1"/>
    <col min="7" max="7" width="14.5546875" bestFit="1" customWidth="1"/>
    <col min="9" max="9" width="15.6640625" bestFit="1" customWidth="1"/>
    <col min="10" max="10" width="12.33203125" bestFit="1" customWidth="1"/>
    <col min="11" max="11" width="15.21875" bestFit="1" customWidth="1"/>
    <col min="15" max="15" width="12.33203125" bestFit="1" customWidth="1"/>
    <col min="16" max="16" width="16.21875" bestFit="1" customWidth="1"/>
  </cols>
  <sheetData>
    <row r="2" spans="2:18" ht="28.2" x14ac:dyDescent="0.5">
      <c r="B2" s="1" t="s">
        <v>64</v>
      </c>
      <c r="F2" s="1" t="s">
        <v>117</v>
      </c>
    </row>
    <row r="4" spans="2:18" x14ac:dyDescent="0.3">
      <c r="B4" s="10" t="s">
        <v>65</v>
      </c>
      <c r="I4" s="10" t="s">
        <v>91</v>
      </c>
    </row>
    <row r="5" spans="2:18" x14ac:dyDescent="0.3">
      <c r="B5" t="s">
        <v>66</v>
      </c>
      <c r="C5" s="37">
        <v>125000</v>
      </c>
      <c r="I5" s="20" t="s">
        <v>15</v>
      </c>
      <c r="J5" s="20" t="s">
        <v>92</v>
      </c>
      <c r="K5" s="20" t="s">
        <v>51</v>
      </c>
      <c r="L5" s="20" t="s">
        <v>4</v>
      </c>
      <c r="M5" s="20" t="s">
        <v>5</v>
      </c>
      <c r="N5" s="20" t="s">
        <v>31</v>
      </c>
      <c r="O5" s="20" t="s">
        <v>82</v>
      </c>
      <c r="P5" s="20" t="s">
        <v>88</v>
      </c>
      <c r="Q5" s="20" t="s">
        <v>33</v>
      </c>
      <c r="R5" s="20" t="s">
        <v>8</v>
      </c>
    </row>
    <row r="6" spans="2:18" x14ac:dyDescent="0.3">
      <c r="I6" s="2">
        <v>0</v>
      </c>
      <c r="J6" s="9">
        <f>SUM(C15:C18)</f>
        <v>-565000</v>
      </c>
      <c r="K6" s="9"/>
      <c r="L6" s="9"/>
      <c r="M6" s="9"/>
      <c r="N6" s="9"/>
      <c r="O6" s="9">
        <v>300000</v>
      </c>
      <c r="P6" s="9">
        <f>C36</f>
        <v>15000</v>
      </c>
      <c r="Q6" s="9"/>
      <c r="R6" s="9">
        <f>SUM(J6:Q6)</f>
        <v>-250000</v>
      </c>
    </row>
    <row r="7" spans="2:18" x14ac:dyDescent="0.3">
      <c r="B7" s="10" t="s">
        <v>67</v>
      </c>
      <c r="E7" s="76"/>
      <c r="I7" s="2">
        <v>1</v>
      </c>
      <c r="J7" s="9"/>
      <c r="K7" s="9"/>
      <c r="L7" s="9">
        <f>D9*C25*365</f>
        <v>-131400</v>
      </c>
      <c r="M7" s="9">
        <f>$C$23</f>
        <v>-20000</v>
      </c>
      <c r="N7" s="9">
        <f>D9*G9*365</f>
        <v>328500</v>
      </c>
      <c r="O7" s="9">
        <f>PMT($C$34,$I$11,$O$6)</f>
        <v>-95933.352538436055</v>
      </c>
      <c r="P7" s="9"/>
      <c r="Q7" s="9">
        <f>C46</f>
        <v>-3108</v>
      </c>
      <c r="R7" s="9">
        <f t="shared" ref="R7:R11" si="0">SUM(J7:Q7)</f>
        <v>78058.647461563945</v>
      </c>
    </row>
    <row r="8" spans="2:18" x14ac:dyDescent="0.3">
      <c r="B8" s="2"/>
      <c r="C8" s="20" t="s">
        <v>68</v>
      </c>
      <c r="D8" s="74" t="s">
        <v>93</v>
      </c>
      <c r="E8" s="76"/>
      <c r="F8" s="20" t="s">
        <v>72</v>
      </c>
      <c r="G8" s="20" t="s">
        <v>73</v>
      </c>
      <c r="I8" s="2">
        <v>2</v>
      </c>
      <c r="J8" s="9"/>
      <c r="K8" s="9"/>
      <c r="L8" s="9">
        <f>D9*C26*365</f>
        <v>-131400</v>
      </c>
      <c r="M8" s="9">
        <f t="shared" ref="M8:M11" si="1">$C$23</f>
        <v>-20000</v>
      </c>
      <c r="N8" s="9">
        <f>G9*D9*365</f>
        <v>328500</v>
      </c>
      <c r="O8" s="9">
        <f>PMT($C$34,$I$11,$O$6)</f>
        <v>-95933.352538436055</v>
      </c>
      <c r="P8" s="9"/>
      <c r="Q8" s="9">
        <f t="shared" ref="Q8:Q11" si="2">C47</f>
        <v>-4014</v>
      </c>
      <c r="R8" s="9">
        <f t="shared" si="0"/>
        <v>77152.647461563945</v>
      </c>
    </row>
    <row r="9" spans="2:18" x14ac:dyDescent="0.3">
      <c r="B9" s="20" t="s">
        <v>69</v>
      </c>
      <c r="C9" s="41">
        <v>3.2000000000000001E-2</v>
      </c>
      <c r="D9" s="75">
        <v>30</v>
      </c>
      <c r="E9" s="77"/>
      <c r="F9" s="72">
        <v>2</v>
      </c>
      <c r="G9" s="73">
        <v>30</v>
      </c>
      <c r="I9" s="2">
        <v>3</v>
      </c>
      <c r="J9" s="9"/>
      <c r="K9" s="9"/>
      <c r="L9" s="9">
        <f>D10*C27*365</f>
        <v>-109500</v>
      </c>
      <c r="M9" s="9">
        <f t="shared" si="1"/>
        <v>-20000</v>
      </c>
      <c r="N9" s="9">
        <f>D10*G10*365</f>
        <v>456250</v>
      </c>
      <c r="O9" s="9">
        <f>PMT($C$34,$I$11,$O$6)</f>
        <v>-95933.352538436055</v>
      </c>
      <c r="P9" s="9"/>
      <c r="Q9" s="9">
        <f t="shared" si="2"/>
        <v>-23041</v>
      </c>
      <c r="R9" s="9">
        <f t="shared" si="0"/>
        <v>207775.64746156393</v>
      </c>
    </row>
    <row r="10" spans="2:18" x14ac:dyDescent="0.3">
      <c r="B10" s="20" t="s">
        <v>70</v>
      </c>
      <c r="C10" s="41">
        <v>3.7999999999999999E-2</v>
      </c>
      <c r="D10" s="75">
        <v>25</v>
      </c>
      <c r="E10" s="77"/>
      <c r="F10" s="72">
        <v>2</v>
      </c>
      <c r="G10" s="73">
        <v>50</v>
      </c>
      <c r="I10" s="2">
        <v>4</v>
      </c>
      <c r="J10" s="9"/>
      <c r="K10" s="9"/>
      <c r="L10" s="9">
        <f>D10*C28*365</f>
        <v>-91250</v>
      </c>
      <c r="M10" s="9">
        <f t="shared" si="1"/>
        <v>-20000</v>
      </c>
      <c r="N10" s="9">
        <f>D10*G10*365</f>
        <v>456250</v>
      </c>
      <c r="O10" s="9">
        <f>PMT($C$34,$I$11,$O$6)</f>
        <v>-95933.352538436055</v>
      </c>
      <c r="P10" s="9"/>
      <c r="Q10" s="9">
        <f t="shared" si="2"/>
        <v>-26492</v>
      </c>
      <c r="R10" s="9">
        <f t="shared" si="0"/>
        <v>222574.64746156393</v>
      </c>
    </row>
    <row r="11" spans="2:18" x14ac:dyDescent="0.3">
      <c r="B11" s="20" t="s">
        <v>71</v>
      </c>
      <c r="C11" s="41">
        <v>2.5000000000000001E-2</v>
      </c>
      <c r="D11" s="75">
        <v>35</v>
      </c>
      <c r="E11" s="77"/>
      <c r="F11" s="72">
        <v>1</v>
      </c>
      <c r="G11" s="73">
        <v>20</v>
      </c>
      <c r="I11" s="2">
        <v>5</v>
      </c>
      <c r="J11" s="9"/>
      <c r="K11" s="9">
        <f>-0.1*(C15+C17+C18)</f>
        <v>54000</v>
      </c>
      <c r="L11" s="9">
        <f>D11*C29*365</f>
        <v>-102200</v>
      </c>
      <c r="M11" s="9">
        <f t="shared" si="1"/>
        <v>-20000</v>
      </c>
      <c r="N11" s="9">
        <f>D11*G11*365</f>
        <v>255500</v>
      </c>
      <c r="O11" s="9">
        <f>PMT($C$34,$I$11,$O$6)</f>
        <v>-95933.352538436055</v>
      </c>
      <c r="P11" s="9">
        <f>-C36</f>
        <v>-15000</v>
      </c>
      <c r="Q11" s="9">
        <f t="shared" si="2"/>
        <v>-2577</v>
      </c>
      <c r="R11" s="9">
        <f t="shared" si="0"/>
        <v>73789.647461563945</v>
      </c>
    </row>
    <row r="12" spans="2:18" x14ac:dyDescent="0.3">
      <c r="E12" s="76"/>
    </row>
    <row r="13" spans="2:18" x14ac:dyDescent="0.3">
      <c r="E13" s="76"/>
      <c r="Q13" t="s">
        <v>9</v>
      </c>
      <c r="R13" s="25">
        <f>NPV(C41,R7:R11)</f>
        <v>426775.70454910013</v>
      </c>
    </row>
    <row r="14" spans="2:18" x14ac:dyDescent="0.3">
      <c r="B14" s="10" t="s">
        <v>77</v>
      </c>
      <c r="E14" s="76"/>
      <c r="Q14" t="s">
        <v>10</v>
      </c>
      <c r="R14" s="25">
        <f>R13+R6</f>
        <v>176775.70454910013</v>
      </c>
    </row>
    <row r="15" spans="2:18" x14ac:dyDescent="0.3">
      <c r="B15" t="s">
        <v>76</v>
      </c>
      <c r="C15" s="37">
        <v>-300000</v>
      </c>
      <c r="E15" s="76"/>
    </row>
    <row r="16" spans="2:18" x14ac:dyDescent="0.3">
      <c r="B16" t="s">
        <v>74</v>
      </c>
      <c r="C16" s="37">
        <v>-25000</v>
      </c>
      <c r="Q16" t="s">
        <v>57</v>
      </c>
      <c r="R16" s="33">
        <f>IRR(R6:R11)</f>
        <v>0.38450784697364293</v>
      </c>
    </row>
    <row r="17" spans="2:4" x14ac:dyDescent="0.3">
      <c r="B17" t="s">
        <v>75</v>
      </c>
      <c r="C17" s="38">
        <f>-45000*2</f>
        <v>-90000</v>
      </c>
    </row>
    <row r="18" spans="2:4" x14ac:dyDescent="0.3">
      <c r="B18" t="s">
        <v>78</v>
      </c>
      <c r="C18" s="38">
        <v>-150000</v>
      </c>
    </row>
    <row r="19" spans="2:4" x14ac:dyDescent="0.3">
      <c r="B19" t="s">
        <v>85</v>
      </c>
      <c r="C19" s="40">
        <v>0.1</v>
      </c>
    </row>
    <row r="21" spans="2:4" x14ac:dyDescent="0.3">
      <c r="C21" s="38"/>
    </row>
    <row r="22" spans="2:4" x14ac:dyDescent="0.3">
      <c r="B22" s="10" t="s">
        <v>79</v>
      </c>
      <c r="C22" s="38"/>
    </row>
    <row r="23" spans="2:4" x14ac:dyDescent="0.3">
      <c r="B23" t="s">
        <v>80</v>
      </c>
      <c r="C23" s="38">
        <v>-20000</v>
      </c>
      <c r="D23" t="s">
        <v>40</v>
      </c>
    </row>
    <row r="24" spans="2:4" x14ac:dyDescent="0.3">
      <c r="B24" s="2" t="s">
        <v>15</v>
      </c>
      <c r="C24" s="42" t="s">
        <v>81</v>
      </c>
    </row>
    <row r="25" spans="2:4" x14ac:dyDescent="0.3">
      <c r="B25" s="2">
        <v>1</v>
      </c>
      <c r="C25" s="42">
        <v>-12</v>
      </c>
    </row>
    <row r="26" spans="2:4" x14ac:dyDescent="0.3">
      <c r="B26" s="2">
        <v>2</v>
      </c>
      <c r="C26" s="42">
        <v>-12</v>
      </c>
    </row>
    <row r="27" spans="2:4" x14ac:dyDescent="0.3">
      <c r="B27" s="2">
        <v>3</v>
      </c>
      <c r="C27" s="42">
        <v>-12</v>
      </c>
    </row>
    <row r="28" spans="2:4" x14ac:dyDescent="0.3">
      <c r="B28" s="2">
        <v>4</v>
      </c>
      <c r="C28" s="42">
        <v>-10</v>
      </c>
    </row>
    <row r="29" spans="2:4" x14ac:dyDescent="0.3">
      <c r="B29" s="2">
        <v>5</v>
      </c>
      <c r="C29" s="42">
        <v>-8</v>
      </c>
    </row>
    <row r="32" spans="2:4" x14ac:dyDescent="0.3">
      <c r="B32" s="10" t="s">
        <v>86</v>
      </c>
    </row>
    <row r="33" spans="2:4" x14ac:dyDescent="0.3">
      <c r="B33" t="s">
        <v>87</v>
      </c>
      <c r="C33" s="37">
        <v>300000</v>
      </c>
    </row>
    <row r="34" spans="2:4" x14ac:dyDescent="0.3">
      <c r="B34" t="s">
        <v>83</v>
      </c>
      <c r="C34" s="39">
        <v>0.18</v>
      </c>
    </row>
    <row r="36" spans="2:4" x14ac:dyDescent="0.3">
      <c r="B36" t="s">
        <v>88</v>
      </c>
      <c r="C36" s="37">
        <v>15000</v>
      </c>
      <c r="D36" t="s">
        <v>89</v>
      </c>
    </row>
    <row r="37" spans="2:4" x14ac:dyDescent="0.3">
      <c r="B37" t="s">
        <v>90</v>
      </c>
      <c r="C37" s="39">
        <v>0</v>
      </c>
    </row>
    <row r="40" spans="2:4" x14ac:dyDescent="0.3">
      <c r="B40" s="10" t="s">
        <v>84</v>
      </c>
    </row>
    <row r="41" spans="2:4" x14ac:dyDescent="0.3">
      <c r="B41" t="s">
        <v>1</v>
      </c>
      <c r="C41" s="39">
        <v>0.15</v>
      </c>
    </row>
    <row r="44" spans="2:4" x14ac:dyDescent="0.3">
      <c r="B44" s="10" t="s">
        <v>33</v>
      </c>
    </row>
    <row r="45" spans="2:4" x14ac:dyDescent="0.3">
      <c r="B45" s="2" t="s">
        <v>15</v>
      </c>
      <c r="C45" s="2" t="s">
        <v>33</v>
      </c>
    </row>
    <row r="46" spans="2:4" x14ac:dyDescent="0.3">
      <c r="B46" s="2">
        <v>1</v>
      </c>
      <c r="C46" s="15">
        <v>-3108</v>
      </c>
    </row>
    <row r="47" spans="2:4" x14ac:dyDescent="0.3">
      <c r="B47" s="2">
        <v>2</v>
      </c>
      <c r="C47" s="15">
        <v>-4014</v>
      </c>
    </row>
    <row r="48" spans="2:4" x14ac:dyDescent="0.3">
      <c r="B48" s="2">
        <v>3</v>
      </c>
      <c r="C48" s="15">
        <v>-23041</v>
      </c>
    </row>
    <row r="49" spans="2:3" x14ac:dyDescent="0.3">
      <c r="B49" s="2">
        <v>4</v>
      </c>
      <c r="C49" s="15">
        <v>-26492</v>
      </c>
    </row>
    <row r="50" spans="2:3" x14ac:dyDescent="0.3">
      <c r="B50" s="2">
        <v>5</v>
      </c>
      <c r="C50" s="15">
        <v>-2577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610D1-0A17-4CF5-883E-744262988952}">
  <dimension ref="B2:L12"/>
  <sheetViews>
    <sheetView workbookViewId="0">
      <selection activeCell="E17" sqref="E17"/>
    </sheetView>
  </sheetViews>
  <sheetFormatPr baseColWidth="10" defaultColWidth="11.5546875" defaultRowHeight="15.05" x14ac:dyDescent="0.3"/>
  <cols>
    <col min="1" max="1" width="6.5546875" customWidth="1"/>
    <col min="3" max="3" width="4.109375" bestFit="1" customWidth="1"/>
    <col min="4" max="4" width="13.77734375" bestFit="1" customWidth="1"/>
    <col min="5" max="5" width="14.44140625" bestFit="1" customWidth="1"/>
    <col min="7" max="7" width="12.33203125" bestFit="1" customWidth="1"/>
    <col min="8" max="8" width="17.21875" bestFit="1" customWidth="1"/>
    <col min="9" max="9" width="19.5546875" bestFit="1" customWidth="1"/>
    <col min="10" max="10" width="12.33203125" bestFit="1" customWidth="1"/>
    <col min="11" max="11" width="19.6640625" bestFit="1" customWidth="1"/>
  </cols>
  <sheetData>
    <row r="2" spans="2:12" ht="28.2" x14ac:dyDescent="0.5">
      <c r="B2" s="1" t="s">
        <v>118</v>
      </c>
    </row>
    <row r="4" spans="2:12" x14ac:dyDescent="0.3">
      <c r="C4" s="46" t="s">
        <v>13</v>
      </c>
      <c r="D4" s="46" t="s">
        <v>50</v>
      </c>
      <c r="E4" s="20" t="s">
        <v>51</v>
      </c>
      <c r="F4" s="20" t="s">
        <v>4</v>
      </c>
      <c r="G4" s="20" t="s">
        <v>31</v>
      </c>
      <c r="H4" s="20" t="s">
        <v>54</v>
      </c>
      <c r="I4" s="20" t="s">
        <v>52</v>
      </c>
      <c r="J4" s="20" t="s">
        <v>33</v>
      </c>
      <c r="K4" s="20" t="s">
        <v>53</v>
      </c>
      <c r="L4" s="2"/>
    </row>
    <row r="5" spans="2:12" x14ac:dyDescent="0.3">
      <c r="C5" s="19">
        <v>0</v>
      </c>
      <c r="D5" s="47">
        <v>-1100000</v>
      </c>
      <c r="E5" s="48"/>
      <c r="F5" s="4"/>
      <c r="G5" s="4"/>
      <c r="H5" s="6">
        <v>600000</v>
      </c>
      <c r="I5" s="49">
        <f>SUM(D5:H5)</f>
        <v>-500000</v>
      </c>
      <c r="J5" s="4"/>
      <c r="K5" s="49">
        <f>I5+J5</f>
        <v>-500000</v>
      </c>
      <c r="L5" s="2"/>
    </row>
    <row r="6" spans="2:12" x14ac:dyDescent="0.3">
      <c r="C6" s="19">
        <v>1</v>
      </c>
      <c r="D6" s="48"/>
      <c r="E6" s="48"/>
      <c r="F6" s="6">
        <v>-60000</v>
      </c>
      <c r="G6" s="6">
        <v>950000</v>
      </c>
      <c r="H6" s="50">
        <f>H10</f>
        <v>-369069.76744186052</v>
      </c>
      <c r="I6" s="49">
        <f t="shared" ref="I6" si="0">SUM(D6:H6)</f>
        <v>520930.23255813948</v>
      </c>
      <c r="J6" s="6">
        <f>MIN(0,J9*I6*-1)</f>
        <v>-130232.55813953487</v>
      </c>
      <c r="K6" s="49">
        <f>J6+I6</f>
        <v>390697.67441860458</v>
      </c>
      <c r="L6" s="2"/>
    </row>
    <row r="7" spans="2:12" x14ac:dyDescent="0.3">
      <c r="C7" s="19">
        <v>2</v>
      </c>
      <c r="D7" s="48"/>
      <c r="E7" s="47">
        <v>350000</v>
      </c>
      <c r="F7" s="6">
        <v>-80000</v>
      </c>
      <c r="G7" s="6">
        <v>950000</v>
      </c>
      <c r="H7" s="50">
        <f>H10</f>
        <v>-369069.76744186052</v>
      </c>
      <c r="I7" s="49">
        <f>SUM(D7:H7)</f>
        <v>850930.23255813948</v>
      </c>
      <c r="J7" s="6">
        <f>MIN(0,J9*I7*-1)</f>
        <v>-212732.55813953487</v>
      </c>
      <c r="K7" s="49">
        <f>J7+I7</f>
        <v>638197.67441860458</v>
      </c>
      <c r="L7" s="2"/>
    </row>
    <row r="8" spans="2:12" x14ac:dyDescent="0.3">
      <c r="C8" s="13"/>
      <c r="D8" s="13"/>
      <c r="E8" s="28"/>
      <c r="F8" s="29"/>
      <c r="G8" s="29"/>
      <c r="H8" s="30"/>
    </row>
    <row r="9" spans="2:12" x14ac:dyDescent="0.3">
      <c r="G9" s="45" t="s">
        <v>55</v>
      </c>
      <c r="H9" s="51">
        <v>0.15</v>
      </c>
      <c r="I9" s="53" t="s">
        <v>56</v>
      </c>
      <c r="J9" s="51">
        <v>0.25</v>
      </c>
    </row>
    <row r="10" spans="2:12" x14ac:dyDescent="0.3">
      <c r="G10" s="45" t="s">
        <v>11</v>
      </c>
      <c r="H10" s="52">
        <f>PMT(H9,C7,H5)</f>
        <v>-369069.76744186052</v>
      </c>
      <c r="I10" s="45"/>
      <c r="J10" s="54"/>
    </row>
    <row r="12" spans="2:12" x14ac:dyDescent="0.3">
      <c r="G12" s="45" t="s">
        <v>57</v>
      </c>
      <c r="H12" s="55">
        <f>IRR(K5:K7)</f>
        <v>0.5861222942225115</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22DB8-DDDF-4338-8B69-318A6255ED1A}">
  <dimension ref="B2:N83"/>
  <sheetViews>
    <sheetView tabSelected="1" workbookViewId="0">
      <selection activeCell="L7" sqref="L7:P8"/>
    </sheetView>
  </sheetViews>
  <sheetFormatPr baseColWidth="10" defaultColWidth="11.5546875" defaultRowHeight="15.05" x14ac:dyDescent="0.3"/>
  <cols>
    <col min="1" max="1" width="6.6640625" customWidth="1"/>
    <col min="3" max="3" width="13.5546875" bestFit="1" customWidth="1"/>
    <col min="4" max="5" width="13.5546875" customWidth="1"/>
    <col min="8" max="8" width="13.6640625" bestFit="1" customWidth="1"/>
    <col min="9" max="9" width="12.88671875" bestFit="1" customWidth="1"/>
    <col min="10" max="10" width="16" bestFit="1" customWidth="1"/>
    <col min="12" max="12" width="18.21875" bestFit="1" customWidth="1"/>
    <col min="13" max="13" width="13.21875" bestFit="1" customWidth="1"/>
  </cols>
  <sheetData>
    <row r="2" spans="2:14" ht="28.8" x14ac:dyDescent="0.55000000000000004">
      <c r="B2" s="1" t="s">
        <v>94</v>
      </c>
      <c r="C2" s="32"/>
      <c r="E2" s="32"/>
    </row>
    <row r="4" spans="2:14" x14ac:dyDescent="0.3">
      <c r="B4" s="10" t="s">
        <v>95</v>
      </c>
      <c r="C4" s="33"/>
      <c r="E4" s="33"/>
      <c r="F4" s="10" t="s">
        <v>104</v>
      </c>
      <c r="H4" t="s">
        <v>12</v>
      </c>
      <c r="I4" t="s">
        <v>12</v>
      </c>
    </row>
    <row r="5" spans="2:14" x14ac:dyDescent="0.3">
      <c r="B5" s="2" t="s">
        <v>96</v>
      </c>
      <c r="C5" s="15">
        <v>-11999</v>
      </c>
      <c r="D5" t="s">
        <v>100</v>
      </c>
      <c r="F5" t="s">
        <v>15</v>
      </c>
      <c r="G5" t="s">
        <v>96</v>
      </c>
      <c r="H5" t="s">
        <v>58</v>
      </c>
      <c r="I5" t="s">
        <v>59</v>
      </c>
      <c r="J5" t="s">
        <v>105</v>
      </c>
    </row>
    <row r="6" spans="2:14" ht="14.4" x14ac:dyDescent="0.3">
      <c r="B6" s="2" t="s">
        <v>97</v>
      </c>
      <c r="C6" s="8">
        <v>0.5</v>
      </c>
      <c r="F6">
        <v>1</v>
      </c>
      <c r="G6" s="25">
        <f>$C$5</f>
        <v>-11999</v>
      </c>
      <c r="H6" s="25">
        <f>-PPMT($C$10,F6,$C$12,$M$6)</f>
        <v>-7010.6735497285608</v>
      </c>
      <c r="I6" s="25">
        <f>-IPMT($C$10,F6,$C$12,$M$6)</f>
        <v>-4988.3264502714392</v>
      </c>
      <c r="J6" s="25">
        <f>H6+1.16*I6</f>
        <v>-12797.13223204343</v>
      </c>
      <c r="L6" t="s">
        <v>107</v>
      </c>
      <c r="M6" s="25">
        <f>NPV(C10,G6:G77)</f>
        <v>-665850.02673256141</v>
      </c>
      <c r="N6" t="s">
        <v>108</v>
      </c>
    </row>
    <row r="7" spans="2:14" ht="14.4" x14ac:dyDescent="0.3">
      <c r="B7" s="2" t="s">
        <v>98</v>
      </c>
      <c r="C7" s="34">
        <v>9.1999999999999998E-2</v>
      </c>
      <c r="D7" t="s">
        <v>44</v>
      </c>
      <c r="F7">
        <v>2</v>
      </c>
      <c r="G7" s="25">
        <f t="shared" ref="G7:G70" si="0">$C$5</f>
        <v>-11999</v>
      </c>
      <c r="H7" s="25">
        <f t="shared" ref="H7:H70" si="1">-PPMT($C$10,F7,$C$12,$M$6)</f>
        <v>-7063.1951790719431</v>
      </c>
      <c r="I7" s="25">
        <f t="shared" ref="I7:I70" si="2">-IPMT($C$10,F7,$C$12,$M$6)</f>
        <v>-4935.8048209280569</v>
      </c>
      <c r="J7" s="25">
        <f t="shared" ref="J7:J70" si="3">H7+1.16*I7</f>
        <v>-12788.728771348487</v>
      </c>
      <c r="L7" t="s">
        <v>109</v>
      </c>
      <c r="M7" s="25">
        <f>2*M6</f>
        <v>-1331700.0534651228</v>
      </c>
      <c r="N7" t="s">
        <v>110</v>
      </c>
    </row>
    <row r="8" spans="2:14" ht="14.4" x14ac:dyDescent="0.3">
      <c r="B8" s="2" t="s">
        <v>99</v>
      </c>
      <c r="C8" s="31">
        <v>8.9899999999999994E-2</v>
      </c>
      <c r="D8" t="s">
        <v>44</v>
      </c>
      <c r="F8">
        <v>3</v>
      </c>
      <c r="G8" s="25">
        <f t="shared" si="0"/>
        <v>-11999</v>
      </c>
      <c r="H8" s="25">
        <f t="shared" si="1"/>
        <v>-7116.1102829551564</v>
      </c>
      <c r="I8" s="25">
        <f t="shared" si="2"/>
        <v>-4882.8897170448427</v>
      </c>
      <c r="J8" s="25">
        <f t="shared" si="3"/>
        <v>-12780.262354727172</v>
      </c>
      <c r="K8" s="29"/>
      <c r="L8" s="29" t="s">
        <v>111</v>
      </c>
      <c r="M8" s="25">
        <f>SUM(I6:I77)</f>
        <v>-198077.97326743853</v>
      </c>
      <c r="N8" s="25" t="s">
        <v>112</v>
      </c>
    </row>
    <row r="9" spans="2:14" ht="14.4" x14ac:dyDescent="0.3">
      <c r="B9" s="2" t="s">
        <v>101</v>
      </c>
      <c r="C9" s="2">
        <v>12</v>
      </c>
      <c r="F9">
        <v>4</v>
      </c>
      <c r="G9" s="25">
        <f t="shared" si="0"/>
        <v>-11999</v>
      </c>
      <c r="H9" s="25">
        <f t="shared" si="1"/>
        <v>-7169.4218091582961</v>
      </c>
      <c r="I9" s="25">
        <f t="shared" si="2"/>
        <v>-4829.5781908417039</v>
      </c>
      <c r="J9" s="25">
        <f t="shared" si="3"/>
        <v>-12771.732510534672</v>
      </c>
      <c r="K9" s="29"/>
      <c r="L9" s="29"/>
      <c r="M9" s="36"/>
    </row>
    <row r="10" spans="2:14" ht="14.4" x14ac:dyDescent="0.3">
      <c r="B10" s="2" t="s">
        <v>102</v>
      </c>
      <c r="C10" s="34">
        <f>C8/C9</f>
        <v>7.4916666666666664E-3</v>
      </c>
      <c r="F10">
        <v>5</v>
      </c>
      <c r="G10" s="25">
        <f t="shared" si="0"/>
        <v>-11999</v>
      </c>
      <c r="H10" s="25">
        <f t="shared" si="1"/>
        <v>-7223.1327275452404</v>
      </c>
      <c r="I10" s="25">
        <f t="shared" si="2"/>
        <v>-4775.8672724547596</v>
      </c>
      <c r="J10" s="25">
        <f t="shared" si="3"/>
        <v>-12763.13876359276</v>
      </c>
      <c r="K10" s="29"/>
      <c r="L10" s="29"/>
      <c r="M10" s="36"/>
    </row>
    <row r="11" spans="2:14" ht="14.4" x14ac:dyDescent="0.3">
      <c r="B11" s="2" t="s">
        <v>103</v>
      </c>
      <c r="C11" s="44">
        <v>0.16</v>
      </c>
      <c r="D11" s="43"/>
      <c r="F11">
        <v>6</v>
      </c>
      <c r="G11" s="25">
        <f t="shared" si="0"/>
        <v>-11999</v>
      </c>
      <c r="H11" s="25">
        <f t="shared" si="1"/>
        <v>-7277.2460302291001</v>
      </c>
      <c r="I11" s="25">
        <f t="shared" si="2"/>
        <v>-4721.7539697708989</v>
      </c>
      <c r="J11" s="25">
        <f t="shared" si="3"/>
        <v>-12754.480635163342</v>
      </c>
      <c r="K11" s="30"/>
      <c r="L11" s="29"/>
      <c r="M11" s="36"/>
    </row>
    <row r="12" spans="2:14" ht="14.4" x14ac:dyDescent="0.3">
      <c r="B12" s="2" t="s">
        <v>106</v>
      </c>
      <c r="C12" s="2">
        <v>72</v>
      </c>
      <c r="D12" s="43"/>
      <c r="E12" s="25"/>
      <c r="F12">
        <v>7</v>
      </c>
      <c r="G12" s="25">
        <f t="shared" si="0"/>
        <v>-11999</v>
      </c>
      <c r="H12" s="25">
        <f t="shared" si="1"/>
        <v>-7331.764731738901</v>
      </c>
      <c r="I12" s="25">
        <f t="shared" si="2"/>
        <v>-4667.235268261099</v>
      </c>
      <c r="J12" s="25">
        <f t="shared" si="3"/>
        <v>-12745.757642921775</v>
      </c>
      <c r="K12" s="29"/>
      <c r="L12" s="29"/>
      <c r="M12" s="36"/>
    </row>
    <row r="13" spans="2:14" ht="14.4" x14ac:dyDescent="0.3">
      <c r="C13" s="43"/>
      <c r="D13" s="43"/>
      <c r="E13" s="25"/>
      <c r="F13">
        <v>8</v>
      </c>
      <c r="G13" s="25">
        <f t="shared" si="0"/>
        <v>-11999</v>
      </c>
      <c r="H13" s="25">
        <f t="shared" si="1"/>
        <v>-7386.6918691875107</v>
      </c>
      <c r="I13" s="25">
        <f t="shared" si="2"/>
        <v>-4612.3081308124893</v>
      </c>
      <c r="J13" s="25">
        <f t="shared" si="3"/>
        <v>-12736.969300929999</v>
      </c>
      <c r="K13" s="29"/>
      <c r="L13" s="29"/>
      <c r="M13" s="36"/>
    </row>
    <row r="14" spans="2:14" ht="14.4" x14ac:dyDescent="0.3">
      <c r="C14" s="43"/>
      <c r="D14" s="43"/>
      <c r="E14" s="25"/>
      <c r="F14">
        <v>9</v>
      </c>
      <c r="G14" s="25">
        <f t="shared" si="0"/>
        <v>-11999</v>
      </c>
      <c r="H14" s="25">
        <f t="shared" si="1"/>
        <v>-7442.0305024408399</v>
      </c>
      <c r="I14" s="25">
        <f t="shared" si="2"/>
        <v>-4556.9694975591592</v>
      </c>
      <c r="J14" s="25">
        <f t="shared" si="3"/>
        <v>-12728.115119609465</v>
      </c>
      <c r="K14" s="29"/>
      <c r="L14" s="29"/>
      <c r="M14" s="36"/>
    </row>
    <row r="15" spans="2:14" ht="14.4" x14ac:dyDescent="0.3">
      <c r="C15" s="43"/>
      <c r="D15" s="43"/>
      <c r="E15" s="25"/>
      <c r="F15">
        <v>10</v>
      </c>
      <c r="G15" s="25">
        <f t="shared" si="0"/>
        <v>-11999</v>
      </c>
      <c r="H15" s="25">
        <f t="shared" si="1"/>
        <v>-7497.7837142882927</v>
      </c>
      <c r="I15" s="25">
        <f t="shared" si="2"/>
        <v>-4501.2162857117073</v>
      </c>
      <c r="J15" s="25">
        <f t="shared" si="3"/>
        <v>-12719.194605713874</v>
      </c>
      <c r="K15" s="29"/>
      <c r="L15" s="29"/>
      <c r="M15" s="36"/>
    </row>
    <row r="16" spans="2:14" ht="14.4" x14ac:dyDescent="0.3">
      <c r="C16" s="43"/>
      <c r="D16" s="43"/>
      <c r="E16" s="25"/>
      <c r="F16">
        <v>11</v>
      </c>
      <c r="G16" s="25">
        <f t="shared" si="0"/>
        <v>-11999</v>
      </c>
      <c r="H16" s="25">
        <f t="shared" si="1"/>
        <v>-7553.9546106145026</v>
      </c>
      <c r="I16" s="25">
        <f t="shared" si="2"/>
        <v>-4445.0453893854965</v>
      </c>
      <c r="J16" s="25">
        <f t="shared" si="3"/>
        <v>-12710.207262301679</v>
      </c>
      <c r="K16" s="29"/>
      <c r="L16" s="29"/>
      <c r="M16" s="36"/>
    </row>
    <row r="17" spans="3:13" ht="14.4" x14ac:dyDescent="0.3">
      <c r="C17" s="43"/>
      <c r="D17" s="43"/>
      <c r="E17" s="25"/>
      <c r="F17">
        <v>12</v>
      </c>
      <c r="G17" s="25">
        <f t="shared" si="0"/>
        <v>-11999</v>
      </c>
      <c r="H17" s="25">
        <f t="shared" si="1"/>
        <v>-7610.5463205723563</v>
      </c>
      <c r="I17" s="25">
        <f t="shared" si="2"/>
        <v>-4388.4536794276437</v>
      </c>
      <c r="J17" s="25">
        <f t="shared" si="3"/>
        <v>-12701.152588708423</v>
      </c>
      <c r="K17" s="29"/>
      <c r="L17" s="29"/>
      <c r="M17" s="36"/>
    </row>
    <row r="18" spans="3:13" ht="14.4" x14ac:dyDescent="0.3">
      <c r="C18" s="43"/>
      <c r="D18" s="43"/>
      <c r="E18" s="25"/>
      <c r="F18">
        <v>13</v>
      </c>
      <c r="G18" s="25">
        <f t="shared" si="0"/>
        <v>-11999</v>
      </c>
      <c r="H18" s="25">
        <f t="shared" si="1"/>
        <v>-7667.5619967573102</v>
      </c>
      <c r="I18" s="25">
        <f t="shared" si="2"/>
        <v>-4331.4380032426898</v>
      </c>
      <c r="J18" s="25">
        <f t="shared" si="3"/>
        <v>-12692.030080518831</v>
      </c>
      <c r="K18" s="29"/>
      <c r="L18" s="29"/>
      <c r="M18" s="36"/>
    </row>
    <row r="19" spans="3:13" ht="14.4" x14ac:dyDescent="0.3">
      <c r="C19" s="43"/>
      <c r="D19" s="43"/>
      <c r="E19" s="25"/>
      <c r="F19">
        <v>14</v>
      </c>
      <c r="G19" s="25">
        <f t="shared" si="0"/>
        <v>-11999</v>
      </c>
      <c r="H19" s="25">
        <f t="shared" si="1"/>
        <v>-7725.0048153830176</v>
      </c>
      <c r="I19" s="25">
        <f t="shared" si="2"/>
        <v>-4273.9951846169824</v>
      </c>
      <c r="J19" s="25">
        <f t="shared" si="3"/>
        <v>-12682.839229538717</v>
      </c>
      <c r="K19" s="29"/>
      <c r="L19" s="29"/>
      <c r="M19" s="36"/>
    </row>
    <row r="20" spans="3:13" ht="14.4" x14ac:dyDescent="0.3">
      <c r="C20" s="43"/>
      <c r="D20" s="43"/>
      <c r="E20" s="25"/>
      <c r="F20">
        <v>15</v>
      </c>
      <c r="G20" s="25">
        <f t="shared" si="0"/>
        <v>-11999</v>
      </c>
      <c r="H20" s="25">
        <f t="shared" si="1"/>
        <v>-7782.8779764582623</v>
      </c>
      <c r="I20" s="25">
        <f t="shared" si="2"/>
        <v>-4216.1220235417368</v>
      </c>
      <c r="J20" s="25">
        <f t="shared" si="3"/>
        <v>-12673.579523766677</v>
      </c>
      <c r="K20" s="29"/>
      <c r="L20" s="29"/>
      <c r="M20" s="36"/>
    </row>
    <row r="21" spans="3:13" ht="14.4" x14ac:dyDescent="0.3">
      <c r="C21" s="43"/>
      <c r="D21" s="43"/>
      <c r="E21" s="25"/>
      <c r="F21">
        <v>16</v>
      </c>
      <c r="G21" s="25">
        <f t="shared" si="0"/>
        <v>-11999</v>
      </c>
      <c r="H21" s="25">
        <f t="shared" si="1"/>
        <v>-7841.1847039652284</v>
      </c>
      <c r="I21" s="25">
        <f t="shared" si="2"/>
        <v>-4157.8152960347707</v>
      </c>
      <c r="J21" s="25">
        <f t="shared" si="3"/>
        <v>-12664.250447365561</v>
      </c>
      <c r="K21" s="29"/>
      <c r="L21" s="29"/>
      <c r="M21" s="36"/>
    </row>
    <row r="22" spans="3:13" ht="14.4" x14ac:dyDescent="0.3">
      <c r="C22" s="43"/>
      <c r="D22" s="43"/>
      <c r="E22" s="25"/>
      <c r="F22">
        <v>17</v>
      </c>
      <c r="G22" s="25">
        <f t="shared" si="0"/>
        <v>-11999</v>
      </c>
      <c r="H22" s="25">
        <f t="shared" si="1"/>
        <v>-7899.9282460391014</v>
      </c>
      <c r="I22" s="25">
        <f t="shared" si="2"/>
        <v>-4099.0717539608986</v>
      </c>
      <c r="J22" s="25">
        <f t="shared" si="3"/>
        <v>-12654.851480633744</v>
      </c>
      <c r="K22" s="29"/>
      <c r="L22" s="29"/>
      <c r="M22" s="36"/>
    </row>
    <row r="23" spans="3:13" ht="14.4" x14ac:dyDescent="0.3">
      <c r="C23" s="43"/>
      <c r="D23" s="43"/>
      <c r="E23" s="25"/>
      <c r="F23">
        <v>18</v>
      </c>
      <c r="G23" s="25">
        <f t="shared" si="0"/>
        <v>-11999</v>
      </c>
      <c r="H23" s="25">
        <f t="shared" si="1"/>
        <v>-7959.1118751490112</v>
      </c>
      <c r="I23" s="25">
        <f t="shared" si="2"/>
        <v>-4039.8881248509879</v>
      </c>
      <c r="J23" s="25">
        <f t="shared" si="3"/>
        <v>-12645.382099976156</v>
      </c>
      <c r="K23" s="29"/>
      <c r="L23" s="29"/>
      <c r="M23" s="36"/>
    </row>
    <row r="24" spans="3:13" ht="14.4" x14ac:dyDescent="0.3">
      <c r="C24" s="43"/>
      <c r="D24" s="43"/>
      <c r="E24" s="25"/>
      <c r="F24">
        <v>19</v>
      </c>
      <c r="G24" s="25">
        <f t="shared" si="0"/>
        <v>-11999</v>
      </c>
      <c r="H24" s="25">
        <f t="shared" si="1"/>
        <v>-8018.7388882803361</v>
      </c>
      <c r="I24" s="25">
        <f t="shared" si="2"/>
        <v>-3980.2611117196639</v>
      </c>
      <c r="J24" s="25">
        <f t="shared" si="3"/>
        <v>-12635.841777875146</v>
      </c>
      <c r="K24" s="29"/>
      <c r="L24" s="29"/>
      <c r="M24" s="36"/>
    </row>
    <row r="25" spans="3:13" ht="14.4" x14ac:dyDescent="0.3">
      <c r="C25" s="43"/>
      <c r="D25" s="43"/>
      <c r="E25" s="25"/>
      <c r="F25">
        <v>20</v>
      </c>
      <c r="G25" s="25">
        <f t="shared" si="0"/>
        <v>-11999</v>
      </c>
      <c r="H25" s="25">
        <f t="shared" si="1"/>
        <v>-8078.8126071183688</v>
      </c>
      <c r="I25" s="25">
        <f t="shared" si="2"/>
        <v>-3920.1873928816303</v>
      </c>
      <c r="J25" s="25">
        <f t="shared" si="3"/>
        <v>-12626.229982861059</v>
      </c>
      <c r="K25" s="29"/>
      <c r="L25" s="29"/>
      <c r="M25" s="36"/>
    </row>
    <row r="26" spans="3:13" ht="14.4" x14ac:dyDescent="0.3">
      <c r="C26" s="43"/>
      <c r="D26" s="43"/>
      <c r="E26" s="25"/>
      <c r="F26">
        <v>21</v>
      </c>
      <c r="G26" s="25">
        <f t="shared" si="0"/>
        <v>-11999</v>
      </c>
      <c r="H26" s="25">
        <f t="shared" si="1"/>
        <v>-8139.3363782333636</v>
      </c>
      <c r="I26" s="25">
        <f t="shared" si="2"/>
        <v>-3859.6636217666351</v>
      </c>
      <c r="J26" s="25">
        <f t="shared" si="3"/>
        <v>-12616.546179482659</v>
      </c>
      <c r="K26" s="29"/>
      <c r="L26" s="29"/>
      <c r="M26" s="36"/>
    </row>
    <row r="27" spans="3:13" ht="14.4" x14ac:dyDescent="0.3">
      <c r="C27" s="43"/>
      <c r="D27" s="43"/>
      <c r="E27" s="25"/>
      <c r="F27">
        <v>22</v>
      </c>
      <c r="G27" s="25">
        <f t="shared" si="0"/>
        <v>-11999</v>
      </c>
      <c r="H27" s="25">
        <f t="shared" si="1"/>
        <v>-8200.3135732669634</v>
      </c>
      <c r="I27" s="25">
        <f t="shared" si="2"/>
        <v>-3798.686426733037</v>
      </c>
      <c r="J27" s="25">
        <f t="shared" si="3"/>
        <v>-12606.789828277286</v>
      </c>
      <c r="K27" s="29"/>
      <c r="L27" s="29"/>
      <c r="M27" s="36"/>
    </row>
    <row r="28" spans="3:13" ht="14.4" x14ac:dyDescent="0.3">
      <c r="C28" s="43"/>
      <c r="D28" s="43"/>
      <c r="E28" s="25"/>
      <c r="F28">
        <v>23</v>
      </c>
      <c r="G28" s="25">
        <f t="shared" si="0"/>
        <v>-11999</v>
      </c>
      <c r="H28" s="25">
        <f t="shared" si="1"/>
        <v>-8261.7475891200211</v>
      </c>
      <c r="I28" s="25">
        <f t="shared" si="2"/>
        <v>-3737.2524108799789</v>
      </c>
      <c r="J28" s="25">
        <f t="shared" si="3"/>
        <v>-12596.960385740796</v>
      </c>
      <c r="K28" s="29"/>
      <c r="L28" s="29"/>
      <c r="M28" s="36"/>
    </row>
    <row r="29" spans="3:13" ht="14.4" x14ac:dyDescent="0.3">
      <c r="C29" s="43"/>
      <c r="D29" s="43"/>
      <c r="E29" s="25"/>
      <c r="F29">
        <v>24</v>
      </c>
      <c r="G29" s="25">
        <f t="shared" si="0"/>
        <v>-11999</v>
      </c>
      <c r="H29" s="25">
        <f t="shared" si="1"/>
        <v>-8323.6418481418459</v>
      </c>
      <c r="I29" s="25">
        <f t="shared" si="2"/>
        <v>-3675.358151858155</v>
      </c>
      <c r="J29" s="25">
        <f t="shared" si="3"/>
        <v>-12587.057304297305</v>
      </c>
      <c r="K29" s="29"/>
      <c r="L29" s="29"/>
      <c r="M29" s="36"/>
    </row>
    <row r="30" spans="3:13" ht="14.4" x14ac:dyDescent="0.3">
      <c r="C30" s="43"/>
      <c r="D30" s="43"/>
      <c r="E30" s="25"/>
      <c r="F30">
        <v>25</v>
      </c>
      <c r="G30" s="25">
        <f t="shared" si="0"/>
        <v>-11999</v>
      </c>
      <c r="H30" s="25">
        <f t="shared" si="1"/>
        <v>-8385.9997983208414</v>
      </c>
      <c r="I30" s="25">
        <f t="shared" si="2"/>
        <v>-3613.0002016791586</v>
      </c>
      <c r="J30" s="25">
        <f t="shared" si="3"/>
        <v>-12577.080032268666</v>
      </c>
      <c r="K30" s="29"/>
      <c r="L30" s="29"/>
      <c r="M30" s="36"/>
    </row>
    <row r="31" spans="3:13" x14ac:dyDescent="0.3">
      <c r="C31" s="43"/>
      <c r="D31" s="43"/>
      <c r="E31" s="25"/>
      <c r="F31">
        <v>26</v>
      </c>
      <c r="G31" s="25">
        <f t="shared" si="0"/>
        <v>-11999</v>
      </c>
      <c r="H31" s="25">
        <f t="shared" si="1"/>
        <v>-8448.8249134765956</v>
      </c>
      <c r="I31" s="25">
        <f t="shared" si="2"/>
        <v>-3550.1750865234048</v>
      </c>
      <c r="J31" s="25">
        <f t="shared" si="3"/>
        <v>-12567.028013843745</v>
      </c>
      <c r="K31" s="29"/>
      <c r="L31" s="29"/>
      <c r="M31" s="36"/>
    </row>
    <row r="32" spans="3:13" x14ac:dyDescent="0.3">
      <c r="C32" s="43"/>
      <c r="D32" s="43"/>
      <c r="E32" s="25"/>
      <c r="F32">
        <v>27</v>
      </c>
      <c r="G32" s="25">
        <f t="shared" si="0"/>
        <v>-11999</v>
      </c>
      <c r="H32" s="25">
        <f t="shared" si="1"/>
        <v>-8512.1206934533893</v>
      </c>
      <c r="I32" s="25">
        <f t="shared" si="2"/>
        <v>-3486.8793065466102</v>
      </c>
      <c r="J32" s="25">
        <f t="shared" si="3"/>
        <v>-12556.900689047457</v>
      </c>
      <c r="K32" s="29"/>
      <c r="L32" s="29"/>
      <c r="M32" s="36"/>
    </row>
    <row r="33" spans="3:13" x14ac:dyDescent="0.3">
      <c r="C33" s="43"/>
      <c r="D33" s="43"/>
      <c r="E33" s="25"/>
      <c r="F33">
        <v>28</v>
      </c>
      <c r="G33" s="25">
        <f t="shared" si="0"/>
        <v>-11999</v>
      </c>
      <c r="H33" s="25">
        <f t="shared" si="1"/>
        <v>-8575.8906643151786</v>
      </c>
      <c r="I33" s="25">
        <f t="shared" si="2"/>
        <v>-3423.109335684821</v>
      </c>
      <c r="J33" s="25">
        <f t="shared" si="3"/>
        <v>-12546.697493709571</v>
      </c>
      <c r="K33" s="29"/>
      <c r="L33" s="29"/>
      <c r="M33" s="36"/>
    </row>
    <row r="34" spans="3:13" x14ac:dyDescent="0.3">
      <c r="C34" s="43"/>
      <c r="D34" s="43"/>
      <c r="E34" s="25"/>
      <c r="F34">
        <v>29</v>
      </c>
      <c r="G34" s="25">
        <f t="shared" si="0"/>
        <v>-11999</v>
      </c>
      <c r="H34" s="25">
        <f t="shared" si="1"/>
        <v>-8640.1383785420057</v>
      </c>
      <c r="I34" s="25">
        <f t="shared" si="2"/>
        <v>-3358.8616214579929</v>
      </c>
      <c r="J34" s="25">
        <f t="shared" si="3"/>
        <v>-12536.417859433277</v>
      </c>
      <c r="K34" s="29"/>
      <c r="L34" s="29"/>
      <c r="M34" s="36"/>
    </row>
    <row r="35" spans="3:13" x14ac:dyDescent="0.3">
      <c r="C35" s="43"/>
      <c r="D35" s="43"/>
      <c r="E35" s="25"/>
      <c r="F35">
        <v>30</v>
      </c>
      <c r="G35" s="25">
        <f t="shared" si="0"/>
        <v>-11999</v>
      </c>
      <c r="H35" s="25">
        <f t="shared" si="1"/>
        <v>-8704.8674152279164</v>
      </c>
      <c r="I35" s="25">
        <f t="shared" si="2"/>
        <v>-3294.1325847720832</v>
      </c>
      <c r="J35" s="25">
        <f t="shared" si="3"/>
        <v>-12526.061213563533</v>
      </c>
      <c r="K35" s="29"/>
      <c r="L35" s="29"/>
      <c r="M35" s="36"/>
    </row>
    <row r="36" spans="3:13" x14ac:dyDescent="0.3">
      <c r="C36" s="43"/>
      <c r="D36" s="43"/>
      <c r="E36" s="25"/>
      <c r="F36">
        <v>31</v>
      </c>
      <c r="G36" s="25">
        <f t="shared" si="0"/>
        <v>-11999</v>
      </c>
      <c r="H36" s="25">
        <f t="shared" si="1"/>
        <v>-8770.0813802803332</v>
      </c>
      <c r="I36" s="25">
        <f t="shared" si="2"/>
        <v>-3228.9186197196673</v>
      </c>
      <c r="J36" s="25">
        <f t="shared" si="3"/>
        <v>-12515.626979155148</v>
      </c>
      <c r="K36" s="29"/>
      <c r="L36" s="29"/>
      <c r="M36" s="36"/>
    </row>
    <row r="37" spans="3:13" x14ac:dyDescent="0.3">
      <c r="C37" s="43"/>
      <c r="D37" s="43"/>
      <c r="E37" s="25"/>
      <c r="F37">
        <v>32</v>
      </c>
      <c r="G37" s="25">
        <f t="shared" si="0"/>
        <v>-11999</v>
      </c>
      <c r="H37" s="25">
        <f t="shared" si="1"/>
        <v>-8835.7839066209326</v>
      </c>
      <c r="I37" s="25">
        <f t="shared" si="2"/>
        <v>-3163.2160933790674</v>
      </c>
      <c r="J37" s="25">
        <f t="shared" si="3"/>
        <v>-12505.11457494065</v>
      </c>
      <c r="K37" s="29"/>
      <c r="L37" s="29"/>
      <c r="M37" s="36"/>
    </row>
    <row r="38" spans="3:13" x14ac:dyDescent="0.3">
      <c r="C38" s="43"/>
      <c r="D38" s="43"/>
      <c r="E38" s="25"/>
      <c r="F38">
        <v>33</v>
      </c>
      <c r="G38" s="25">
        <f t="shared" si="0"/>
        <v>-11999</v>
      </c>
      <c r="H38" s="25">
        <f t="shared" si="1"/>
        <v>-8901.9786543880346</v>
      </c>
      <c r="I38" s="25">
        <f t="shared" si="2"/>
        <v>-3097.0213456119645</v>
      </c>
      <c r="J38" s="25">
        <f t="shared" si="3"/>
        <v>-12494.523415297914</v>
      </c>
      <c r="K38" s="29"/>
      <c r="L38" s="29"/>
      <c r="M38" s="36"/>
    </row>
    <row r="39" spans="3:13" x14ac:dyDescent="0.3">
      <c r="C39" s="43"/>
      <c r="D39" s="43"/>
      <c r="E39" s="25"/>
      <c r="F39">
        <v>34</v>
      </c>
      <c r="G39" s="25">
        <f t="shared" si="0"/>
        <v>-11999</v>
      </c>
      <c r="H39" s="25">
        <f t="shared" si="1"/>
        <v>-8968.6693111404929</v>
      </c>
      <c r="I39" s="25">
        <f t="shared" si="2"/>
        <v>-3030.330688859508</v>
      </c>
      <c r="J39" s="25">
        <f t="shared" si="3"/>
        <v>-12483.852910217522</v>
      </c>
      <c r="K39" s="29"/>
      <c r="L39" s="29"/>
      <c r="M39" s="36"/>
    </row>
    <row r="40" spans="3:13" x14ac:dyDescent="0.3">
      <c r="C40" s="43"/>
      <c r="D40" s="43"/>
      <c r="E40" s="25"/>
      <c r="F40">
        <v>35</v>
      </c>
      <c r="G40" s="25">
        <f t="shared" si="0"/>
        <v>-11999</v>
      </c>
      <c r="H40" s="25">
        <f t="shared" si="1"/>
        <v>-9035.8595920631196</v>
      </c>
      <c r="I40" s="25">
        <f t="shared" si="2"/>
        <v>-2963.1404079368799</v>
      </c>
      <c r="J40" s="25">
        <f t="shared" si="3"/>
        <v>-12473.1024652699</v>
      </c>
      <c r="K40" s="29"/>
      <c r="L40" s="29"/>
      <c r="M40" s="36"/>
    </row>
    <row r="41" spans="3:13" x14ac:dyDescent="0.3">
      <c r="C41" s="43"/>
      <c r="D41" s="43"/>
      <c r="E41" s="25"/>
      <c r="F41">
        <v>36</v>
      </c>
      <c r="G41" s="25">
        <f t="shared" si="0"/>
        <v>-11999</v>
      </c>
      <c r="H41" s="25">
        <f t="shared" si="1"/>
        <v>-9103.55324017366</v>
      </c>
      <c r="I41" s="25">
        <f t="shared" si="2"/>
        <v>-2895.4467598263409</v>
      </c>
      <c r="J41" s="25">
        <f t="shared" si="3"/>
        <v>-12462.271481572216</v>
      </c>
      <c r="K41" s="29"/>
      <c r="L41" s="29"/>
      <c r="M41" s="36"/>
    </row>
    <row r="42" spans="3:13" x14ac:dyDescent="0.3">
      <c r="C42" s="43"/>
      <c r="D42" s="43"/>
      <c r="E42" s="25"/>
      <c r="F42">
        <v>37</v>
      </c>
      <c r="G42" s="25">
        <f t="shared" si="0"/>
        <v>-11999</v>
      </c>
      <c r="H42" s="25">
        <f t="shared" si="1"/>
        <v>-9171.7540265312928</v>
      </c>
      <c r="I42" s="25">
        <f t="shared" si="2"/>
        <v>-2827.2459734687063</v>
      </c>
      <c r="J42" s="25">
        <f t="shared" si="3"/>
        <v>-12451.359355754992</v>
      </c>
      <c r="K42" s="29"/>
      <c r="L42" s="29"/>
      <c r="M42" s="36"/>
    </row>
    <row r="43" spans="3:13" x14ac:dyDescent="0.3">
      <c r="C43" s="43"/>
      <c r="D43" s="43"/>
      <c r="E43" s="25"/>
      <c r="F43">
        <v>38</v>
      </c>
      <c r="G43" s="25">
        <f t="shared" si="0"/>
        <v>-11999</v>
      </c>
      <c r="H43" s="25">
        <f t="shared" si="1"/>
        <v>-9240.4657504467214</v>
      </c>
      <c r="I43" s="25">
        <f t="shared" si="2"/>
        <v>-2758.5342495532768</v>
      </c>
      <c r="J43" s="25">
        <f t="shared" si="3"/>
        <v>-12440.365479928521</v>
      </c>
      <c r="K43" s="29"/>
      <c r="L43" s="29"/>
      <c r="M43" s="36"/>
    </row>
    <row r="44" spans="3:13" x14ac:dyDescent="0.3">
      <c r="C44" s="43"/>
      <c r="D44" s="43"/>
      <c r="E44" s="25"/>
      <c r="F44">
        <v>39</v>
      </c>
      <c r="G44" s="25">
        <f t="shared" si="0"/>
        <v>-11999</v>
      </c>
      <c r="H44" s="25">
        <f t="shared" si="1"/>
        <v>-9309.6922396938189</v>
      </c>
      <c r="I44" s="25">
        <f t="shared" si="2"/>
        <v>-2689.3077603061797</v>
      </c>
      <c r="J44" s="25">
        <f t="shared" si="3"/>
        <v>-12429.289241648987</v>
      </c>
      <c r="K44" s="29"/>
      <c r="L44" s="29"/>
      <c r="M44" s="36"/>
    </row>
    <row r="45" spans="3:13" x14ac:dyDescent="0.3">
      <c r="C45" s="43"/>
      <c r="D45" s="43"/>
      <c r="E45" s="25"/>
      <c r="F45">
        <v>40</v>
      </c>
      <c r="G45" s="25">
        <f t="shared" si="0"/>
        <v>-11999</v>
      </c>
      <c r="H45" s="25">
        <f t="shared" si="1"/>
        <v>-9379.4373507228593</v>
      </c>
      <c r="I45" s="25">
        <f t="shared" si="2"/>
        <v>-2619.5626492771398</v>
      </c>
      <c r="J45" s="25">
        <f t="shared" si="3"/>
        <v>-12418.130023884341</v>
      </c>
      <c r="K45" s="29"/>
      <c r="L45" s="29"/>
      <c r="M45" s="36"/>
    </row>
    <row r="46" spans="3:13" x14ac:dyDescent="0.3">
      <c r="C46" s="43"/>
      <c r="D46" s="43"/>
      <c r="E46" s="25"/>
      <c r="F46">
        <v>41</v>
      </c>
      <c r="G46" s="25">
        <f t="shared" si="0"/>
        <v>-11999</v>
      </c>
      <c r="H46" s="25">
        <f t="shared" si="1"/>
        <v>-9449.7049688753577</v>
      </c>
      <c r="I46" s="25">
        <f t="shared" si="2"/>
        <v>-2549.2950311246414</v>
      </c>
      <c r="J46" s="25">
        <f t="shared" si="3"/>
        <v>-12406.887204979941</v>
      </c>
      <c r="K46" s="29"/>
      <c r="L46" s="29"/>
      <c r="M46" s="36"/>
    </row>
    <row r="47" spans="3:13" x14ac:dyDescent="0.3">
      <c r="C47" s="43"/>
      <c r="D47" s="43"/>
      <c r="E47" s="25"/>
      <c r="F47">
        <v>42</v>
      </c>
      <c r="G47" s="25">
        <f t="shared" si="0"/>
        <v>-11999</v>
      </c>
      <c r="H47" s="25">
        <f t="shared" si="1"/>
        <v>-9520.4990086005164</v>
      </c>
      <c r="I47" s="25">
        <f t="shared" si="2"/>
        <v>-2478.5009913994836</v>
      </c>
      <c r="J47" s="25">
        <f t="shared" si="3"/>
        <v>-12395.560158623917</v>
      </c>
      <c r="K47" s="29"/>
      <c r="L47" s="29"/>
      <c r="M47" s="36"/>
    </row>
    <row r="48" spans="3:13" x14ac:dyDescent="0.3">
      <c r="C48" s="43"/>
      <c r="D48" s="43"/>
      <c r="E48" s="25"/>
      <c r="F48">
        <v>43</v>
      </c>
      <c r="G48" s="25">
        <f t="shared" si="0"/>
        <v>-11999</v>
      </c>
      <c r="H48" s="25">
        <f t="shared" si="1"/>
        <v>-9591.8234136732826</v>
      </c>
      <c r="I48" s="25">
        <f t="shared" si="2"/>
        <v>-2407.1765863267178</v>
      </c>
      <c r="J48" s="25">
        <f t="shared" si="3"/>
        <v>-12384.148253812275</v>
      </c>
      <c r="K48" s="29"/>
      <c r="L48" s="29"/>
      <c r="M48" s="36"/>
    </row>
    <row r="49" spans="3:13" x14ac:dyDescent="0.3">
      <c r="C49" s="43"/>
      <c r="D49" s="43"/>
      <c r="E49" s="25"/>
      <c r="F49">
        <v>44</v>
      </c>
      <c r="G49" s="25">
        <f t="shared" si="0"/>
        <v>-11999</v>
      </c>
      <c r="H49" s="25">
        <f t="shared" si="1"/>
        <v>-9663.6821574140504</v>
      </c>
      <c r="I49" s="25">
        <f t="shared" si="2"/>
        <v>-2335.3178425859492</v>
      </c>
      <c r="J49" s="25">
        <f t="shared" si="3"/>
        <v>-12372.650854813752</v>
      </c>
      <c r="K49" s="29"/>
      <c r="L49" s="29"/>
      <c r="M49" s="36"/>
    </row>
    <row r="50" spans="3:13" x14ac:dyDescent="0.3">
      <c r="C50" s="43"/>
      <c r="D50" s="43"/>
      <c r="E50" s="25"/>
      <c r="F50">
        <v>45</v>
      </c>
      <c r="G50" s="25">
        <f t="shared" si="0"/>
        <v>-11999</v>
      </c>
      <c r="H50" s="25">
        <f t="shared" si="1"/>
        <v>-9736.0792429100111</v>
      </c>
      <c r="I50" s="25">
        <f t="shared" si="2"/>
        <v>-2262.9207570899894</v>
      </c>
      <c r="J50" s="25">
        <f t="shared" si="3"/>
        <v>-12361.067321134398</v>
      </c>
      <c r="K50" s="29"/>
      <c r="L50" s="29"/>
      <c r="M50" s="36"/>
    </row>
    <row r="51" spans="3:13" x14ac:dyDescent="0.3">
      <c r="C51" s="43"/>
      <c r="D51" s="43"/>
      <c r="E51" s="25"/>
      <c r="F51">
        <v>46</v>
      </c>
      <c r="G51" s="25">
        <f t="shared" si="0"/>
        <v>-11999</v>
      </c>
      <c r="H51" s="25">
        <f t="shared" si="1"/>
        <v>-9809.0187032381455</v>
      </c>
      <c r="I51" s="25">
        <f t="shared" si="2"/>
        <v>-2189.9812967618541</v>
      </c>
      <c r="J51" s="25">
        <f t="shared" si="3"/>
        <v>-12349.397007481895</v>
      </c>
      <c r="K51" s="29"/>
      <c r="L51" s="29"/>
      <c r="M51" s="36"/>
    </row>
    <row r="52" spans="3:13" x14ac:dyDescent="0.3">
      <c r="C52" s="43"/>
      <c r="D52" s="43"/>
      <c r="E52" s="25"/>
      <c r="F52">
        <v>47</v>
      </c>
      <c r="G52" s="25">
        <f t="shared" si="0"/>
        <v>-11999</v>
      </c>
      <c r="H52" s="25">
        <f t="shared" si="1"/>
        <v>-9882.504601689905</v>
      </c>
      <c r="I52" s="25">
        <f t="shared" si="2"/>
        <v>-2116.4953983100954</v>
      </c>
      <c r="J52" s="25">
        <f t="shared" si="3"/>
        <v>-12337.639263729616</v>
      </c>
      <c r="K52" s="29"/>
      <c r="L52" s="29"/>
      <c r="M52" s="36"/>
    </row>
    <row r="53" spans="3:13" x14ac:dyDescent="0.3">
      <c r="C53" s="43"/>
      <c r="D53" s="43"/>
      <c r="E53" s="25"/>
      <c r="F53">
        <v>48</v>
      </c>
      <c r="G53" s="25">
        <f t="shared" si="0"/>
        <v>-11999</v>
      </c>
      <c r="H53" s="25">
        <f t="shared" si="1"/>
        <v>-9956.5410319975654</v>
      </c>
      <c r="I53" s="25">
        <f t="shared" si="2"/>
        <v>-2042.4589680024353</v>
      </c>
      <c r="J53" s="25">
        <f t="shared" si="3"/>
        <v>-12325.79343488039</v>
      </c>
      <c r="K53" s="29"/>
      <c r="L53" s="29"/>
      <c r="M53" s="36"/>
    </row>
    <row r="54" spans="3:13" x14ac:dyDescent="0.3">
      <c r="C54" s="43"/>
      <c r="D54" s="43"/>
      <c r="E54" s="25"/>
      <c r="F54">
        <v>49</v>
      </c>
      <c r="G54" s="25">
        <f t="shared" si="0"/>
        <v>-11999</v>
      </c>
      <c r="H54" s="25">
        <f t="shared" si="1"/>
        <v>-10031.13211856228</v>
      </c>
      <c r="I54" s="25">
        <f t="shared" si="2"/>
        <v>-1967.8678814377201</v>
      </c>
      <c r="J54" s="25">
        <f t="shared" si="3"/>
        <v>-12313.858861030036</v>
      </c>
      <c r="K54" s="29"/>
      <c r="L54" s="29"/>
      <c r="M54" s="36"/>
    </row>
    <row r="55" spans="3:13" x14ac:dyDescent="0.3">
      <c r="C55" s="43"/>
      <c r="D55" s="43"/>
      <c r="E55" s="25"/>
      <c r="F55">
        <v>50</v>
      </c>
      <c r="G55" s="25">
        <f t="shared" si="0"/>
        <v>-11999</v>
      </c>
      <c r="H55" s="25">
        <f t="shared" si="1"/>
        <v>-10106.282016683841</v>
      </c>
      <c r="I55" s="25">
        <f t="shared" si="2"/>
        <v>-1892.7179833161574</v>
      </c>
      <c r="J55" s="25">
        <f t="shared" si="3"/>
        <v>-12301.834877330584</v>
      </c>
      <c r="K55" s="29"/>
      <c r="L55" s="29"/>
      <c r="M55" s="36"/>
    </row>
    <row r="56" spans="3:13" x14ac:dyDescent="0.3">
      <c r="C56" s="43"/>
      <c r="D56" s="43"/>
      <c r="E56" s="25"/>
      <c r="F56">
        <v>51</v>
      </c>
      <c r="G56" s="25">
        <f t="shared" si="0"/>
        <v>-11999</v>
      </c>
      <c r="H56" s="25">
        <f t="shared" si="1"/>
        <v>-10181.994912792165</v>
      </c>
      <c r="I56" s="25">
        <f t="shared" si="2"/>
        <v>-1817.0050872078345</v>
      </c>
      <c r="J56" s="25">
        <f t="shared" si="3"/>
        <v>-12289.720813953252</v>
      </c>
      <c r="K56" s="29"/>
      <c r="L56" s="29"/>
      <c r="M56" s="36"/>
    </row>
    <row r="57" spans="3:13" x14ac:dyDescent="0.3">
      <c r="C57" s="43"/>
      <c r="D57" s="43"/>
      <c r="E57" s="25"/>
      <c r="F57">
        <v>52</v>
      </c>
      <c r="G57" s="25">
        <f t="shared" si="0"/>
        <v>-11999</v>
      </c>
      <c r="H57" s="25">
        <f t="shared" si="1"/>
        <v>-10258.275024680499</v>
      </c>
      <c r="I57" s="25">
        <f t="shared" si="2"/>
        <v>-1740.7249753194997</v>
      </c>
      <c r="J57" s="25">
        <f t="shared" si="3"/>
        <v>-12277.515996051119</v>
      </c>
      <c r="K57" s="29"/>
      <c r="L57" s="29"/>
      <c r="M57" s="36"/>
    </row>
    <row r="58" spans="3:13" x14ac:dyDescent="0.3">
      <c r="C58" s="43"/>
      <c r="D58" s="43"/>
      <c r="E58" s="25"/>
      <c r="F58">
        <v>53</v>
      </c>
      <c r="G58" s="25">
        <f t="shared" si="0"/>
        <v>-11999</v>
      </c>
      <c r="H58" s="25">
        <f t="shared" si="1"/>
        <v>-10335.1266017404</v>
      </c>
      <c r="I58" s="25">
        <f t="shared" si="2"/>
        <v>-1663.8733982596016</v>
      </c>
      <c r="J58" s="25">
        <f t="shared" si="3"/>
        <v>-12265.219743721536</v>
      </c>
      <c r="K58" s="29"/>
      <c r="L58" s="29"/>
      <c r="M58" s="36"/>
    </row>
    <row r="59" spans="3:13" x14ac:dyDescent="0.3">
      <c r="C59" s="43"/>
      <c r="D59" s="43"/>
      <c r="E59" s="25"/>
      <c r="F59">
        <v>54</v>
      </c>
      <c r="G59" s="25">
        <f t="shared" si="0"/>
        <v>-11999</v>
      </c>
      <c r="H59" s="25">
        <f t="shared" si="1"/>
        <v>-10412.553925198436</v>
      </c>
      <c r="I59" s="25">
        <f t="shared" si="2"/>
        <v>-1586.4460748015631</v>
      </c>
      <c r="J59" s="25">
        <f t="shared" si="3"/>
        <v>-12252.831371968248</v>
      </c>
      <c r="K59" s="29"/>
      <c r="L59" s="29"/>
      <c r="M59" s="36"/>
    </row>
    <row r="60" spans="3:13" x14ac:dyDescent="0.3">
      <c r="C60" s="43"/>
      <c r="D60" s="43"/>
      <c r="E60" s="25"/>
      <c r="F60">
        <v>55</v>
      </c>
      <c r="G60" s="25">
        <f t="shared" si="0"/>
        <v>-11999</v>
      </c>
      <c r="H60" s="25">
        <f t="shared" si="1"/>
        <v>-10490.561308354714</v>
      </c>
      <c r="I60" s="25">
        <f t="shared" si="2"/>
        <v>-1508.4386916452847</v>
      </c>
      <c r="J60" s="25">
        <f t="shared" si="3"/>
        <v>-12240.350190663245</v>
      </c>
      <c r="K60" s="29"/>
      <c r="L60" s="29"/>
      <c r="M60" s="36"/>
    </row>
    <row r="61" spans="3:13" x14ac:dyDescent="0.3">
      <c r="C61" s="43"/>
      <c r="D61" s="43"/>
      <c r="E61" s="25"/>
      <c r="F61">
        <v>56</v>
      </c>
      <c r="G61" s="25">
        <f t="shared" si="0"/>
        <v>-11999</v>
      </c>
      <c r="H61" s="25">
        <f t="shared" si="1"/>
        <v>-10569.15309682314</v>
      </c>
      <c r="I61" s="25">
        <f t="shared" si="2"/>
        <v>-1429.8469031768609</v>
      </c>
      <c r="J61" s="25">
        <f t="shared" si="3"/>
        <v>-12227.775504508299</v>
      </c>
      <c r="K61" s="29"/>
      <c r="L61" s="29"/>
      <c r="M61" s="36"/>
    </row>
    <row r="62" spans="3:13" x14ac:dyDescent="0.3">
      <c r="C62" s="43"/>
      <c r="D62" s="43"/>
      <c r="E62" s="25"/>
      <c r="F62">
        <v>57</v>
      </c>
      <c r="G62" s="25">
        <f t="shared" si="0"/>
        <v>-11999</v>
      </c>
      <c r="H62" s="25">
        <f t="shared" si="1"/>
        <v>-10648.333668773506</v>
      </c>
      <c r="I62" s="25">
        <f t="shared" si="2"/>
        <v>-1350.6663312264943</v>
      </c>
      <c r="J62" s="25">
        <f t="shared" si="3"/>
        <v>-12215.10661299624</v>
      </c>
      <c r="K62" s="29"/>
      <c r="L62" s="29"/>
      <c r="M62" s="36"/>
    </row>
    <row r="63" spans="3:13" x14ac:dyDescent="0.3">
      <c r="C63" s="43"/>
      <c r="D63" s="43"/>
      <c r="E63" s="25"/>
      <c r="F63">
        <v>58</v>
      </c>
      <c r="G63" s="25">
        <f t="shared" si="0"/>
        <v>-11999</v>
      </c>
      <c r="H63" s="25">
        <f t="shared" si="1"/>
        <v>-10728.107435175401</v>
      </c>
      <c r="I63" s="25">
        <f t="shared" si="2"/>
        <v>-1270.8925648245995</v>
      </c>
      <c r="J63" s="25">
        <f t="shared" si="3"/>
        <v>-12202.342810371936</v>
      </c>
      <c r="K63" s="29"/>
      <c r="L63" s="29"/>
      <c r="M63" s="36"/>
    </row>
    <row r="64" spans="3:13" x14ac:dyDescent="0.3">
      <c r="C64" s="43"/>
      <c r="D64" s="43"/>
      <c r="E64" s="25"/>
      <c r="F64">
        <v>59</v>
      </c>
      <c r="G64" s="25">
        <f t="shared" si="0"/>
        <v>-11999</v>
      </c>
      <c r="H64" s="25">
        <f t="shared" si="1"/>
        <v>-10808.478840043923</v>
      </c>
      <c r="I64" s="25">
        <f t="shared" si="2"/>
        <v>-1190.5211599560771</v>
      </c>
      <c r="J64" s="25">
        <f t="shared" si="3"/>
        <v>-12189.483385592972</v>
      </c>
      <c r="K64" s="29"/>
      <c r="L64" s="29"/>
      <c r="M64" s="36"/>
    </row>
    <row r="65" spans="3:13" x14ac:dyDescent="0.3">
      <c r="C65" s="43"/>
      <c r="D65" s="43"/>
      <c r="E65" s="25"/>
      <c r="F65">
        <v>60</v>
      </c>
      <c r="G65" s="25">
        <f t="shared" si="0"/>
        <v>-11999</v>
      </c>
      <c r="H65" s="25">
        <f t="shared" si="1"/>
        <v>-10889.452360687254</v>
      </c>
      <c r="I65" s="25">
        <f t="shared" si="2"/>
        <v>-1109.5476393127478</v>
      </c>
      <c r="J65" s="25">
        <f t="shared" si="3"/>
        <v>-12176.527622290041</v>
      </c>
      <c r="K65" s="29"/>
      <c r="L65" s="29"/>
      <c r="M65" s="36"/>
    </row>
    <row r="66" spans="3:13" x14ac:dyDescent="0.3">
      <c r="C66" s="43"/>
      <c r="D66" s="43"/>
      <c r="E66" s="25"/>
      <c r="F66">
        <v>61</v>
      </c>
      <c r="G66" s="25">
        <f t="shared" si="0"/>
        <v>-11999</v>
      </c>
      <c r="H66" s="25">
        <f t="shared" si="1"/>
        <v>-10971.032507956066</v>
      </c>
      <c r="I66" s="25">
        <f t="shared" si="2"/>
        <v>-1027.9674920439327</v>
      </c>
      <c r="J66" s="25">
        <f t="shared" si="3"/>
        <v>-12163.474798727028</v>
      </c>
      <c r="K66" s="29"/>
      <c r="L66" s="29"/>
      <c r="M66" s="36"/>
    </row>
    <row r="67" spans="3:13" x14ac:dyDescent="0.3">
      <c r="C67" s="43"/>
      <c r="D67" s="43"/>
      <c r="E67" s="25"/>
      <c r="F67">
        <v>62</v>
      </c>
      <c r="G67" s="25">
        <f t="shared" si="0"/>
        <v>-11999</v>
      </c>
      <c r="H67" s="25">
        <f t="shared" si="1"/>
        <v>-11053.223826494837</v>
      </c>
      <c r="I67" s="25">
        <f t="shared" si="2"/>
        <v>-945.77617350516175</v>
      </c>
      <c r="J67" s="25">
        <f t="shared" si="3"/>
        <v>-12150.324187760825</v>
      </c>
      <c r="K67" s="29"/>
      <c r="L67" s="29"/>
      <c r="M67" s="36"/>
    </row>
    <row r="68" spans="3:13" x14ac:dyDescent="0.3">
      <c r="C68" s="43"/>
      <c r="D68" s="43"/>
      <c r="E68" s="25"/>
      <c r="F68">
        <v>63</v>
      </c>
      <c r="G68" s="25">
        <f t="shared" si="0"/>
        <v>-11999</v>
      </c>
      <c r="H68" s="25">
        <f t="shared" si="1"/>
        <v>-11136.030894994996</v>
      </c>
      <c r="I68" s="25">
        <f t="shared" si="2"/>
        <v>-862.96910500500439</v>
      </c>
      <c r="J68" s="25">
        <f t="shared" si="3"/>
        <v>-12137.075056800801</v>
      </c>
      <c r="K68" s="29"/>
      <c r="L68" s="29"/>
      <c r="M68" s="36"/>
    </row>
    <row r="69" spans="3:13" x14ac:dyDescent="0.3">
      <c r="C69" s="43"/>
      <c r="D69" s="43"/>
      <c r="E69" s="25"/>
      <c r="F69">
        <v>64</v>
      </c>
      <c r="G69" s="25">
        <f t="shared" si="0"/>
        <v>-11999</v>
      </c>
      <c r="H69" s="25">
        <f t="shared" si="1"/>
        <v>-11219.45832645</v>
      </c>
      <c r="I69" s="25">
        <f t="shared" si="2"/>
        <v>-779.54167355000027</v>
      </c>
      <c r="J69" s="25">
        <f t="shared" si="3"/>
        <v>-12123.726667768</v>
      </c>
      <c r="K69" s="29"/>
      <c r="L69" s="29"/>
      <c r="M69" s="36"/>
    </row>
    <row r="70" spans="3:13" x14ac:dyDescent="0.3">
      <c r="C70" s="43"/>
      <c r="D70" s="43"/>
      <c r="E70" s="25"/>
      <c r="F70">
        <v>65</v>
      </c>
      <c r="G70" s="25">
        <f t="shared" si="0"/>
        <v>-11999</v>
      </c>
      <c r="H70" s="25">
        <f t="shared" si="1"/>
        <v>-11303.51076841232</v>
      </c>
      <c r="I70" s="25">
        <f t="shared" si="2"/>
        <v>-695.48923158767911</v>
      </c>
      <c r="J70" s="25">
        <f t="shared" si="3"/>
        <v>-12110.278277054027</v>
      </c>
      <c r="K70" s="29"/>
      <c r="L70" s="29"/>
      <c r="M70" s="36"/>
    </row>
    <row r="71" spans="3:13" x14ac:dyDescent="0.3">
      <c r="C71" s="43"/>
      <c r="D71" s="43"/>
      <c r="E71" s="25"/>
      <c r="F71">
        <v>66</v>
      </c>
      <c r="G71" s="25">
        <f t="shared" ref="G71:G77" si="4">$C$5</f>
        <v>-11999</v>
      </c>
      <c r="H71" s="25">
        <f t="shared" ref="H71:H77" si="5">-PPMT($C$10,F71,$C$12,$M$6)</f>
        <v>-11388.192903252342</v>
      </c>
      <c r="I71" s="25">
        <f t="shared" ref="I71:I77" si="6">-IPMT($C$10,F71,$C$12,$M$6)</f>
        <v>-610.80709674765683</v>
      </c>
      <c r="J71" s="25">
        <f t="shared" ref="J71:J77" si="7">H71+1.16*I71</f>
        <v>-12096.729135479623</v>
      </c>
      <c r="K71" s="29"/>
      <c r="L71" s="29"/>
      <c r="M71" s="36"/>
    </row>
    <row r="72" spans="3:13" x14ac:dyDescent="0.3">
      <c r="C72" s="43"/>
      <c r="D72" s="43"/>
      <c r="E72" s="25"/>
      <c r="F72">
        <v>67</v>
      </c>
      <c r="G72" s="25">
        <f t="shared" si="4"/>
        <v>-11999</v>
      </c>
      <c r="H72" s="25">
        <f t="shared" si="5"/>
        <v>-11473.509448419209</v>
      </c>
      <c r="I72" s="25">
        <f t="shared" si="6"/>
        <v>-525.49055158079148</v>
      </c>
      <c r="J72" s="25">
        <f t="shared" si="7"/>
        <v>-12083.078488252926</v>
      </c>
      <c r="K72" s="29"/>
      <c r="L72" s="29"/>
      <c r="M72" s="36"/>
    </row>
    <row r="73" spans="3:13" x14ac:dyDescent="0.3">
      <c r="C73" s="43"/>
      <c r="D73" s="43"/>
      <c r="E73" s="25"/>
      <c r="F73">
        <v>68</v>
      </c>
      <c r="G73" s="25">
        <f t="shared" si="4"/>
        <v>-11999</v>
      </c>
      <c r="H73" s="25">
        <f t="shared" si="5"/>
        <v>-11559.465156703616</v>
      </c>
      <c r="I73" s="25">
        <f t="shared" si="6"/>
        <v>-439.53484329638411</v>
      </c>
      <c r="J73" s="25">
        <f t="shared" si="7"/>
        <v>-12069.325574927421</v>
      </c>
      <c r="K73" s="29"/>
      <c r="L73" s="29"/>
      <c r="M73" s="36"/>
    </row>
    <row r="74" spans="3:13" x14ac:dyDescent="0.3">
      <c r="C74" s="43"/>
      <c r="D74" s="43"/>
      <c r="E74" s="25"/>
      <c r="F74">
        <v>69</v>
      </c>
      <c r="G74" s="25">
        <f t="shared" si="4"/>
        <v>-11999</v>
      </c>
      <c r="H74" s="25">
        <f t="shared" si="5"/>
        <v>-11646.064816502587</v>
      </c>
      <c r="I74" s="25">
        <f t="shared" si="6"/>
        <v>-352.93518349741288</v>
      </c>
      <c r="J74" s="25">
        <f t="shared" si="7"/>
        <v>-12055.469629359586</v>
      </c>
      <c r="K74" s="29"/>
      <c r="L74" s="29"/>
      <c r="M74" s="36"/>
    </row>
    <row r="75" spans="3:13" x14ac:dyDescent="0.3">
      <c r="C75" s="43"/>
      <c r="D75" s="43"/>
      <c r="E75" s="25"/>
      <c r="F75">
        <v>70</v>
      </c>
      <c r="G75" s="25">
        <f t="shared" si="4"/>
        <v>-11999</v>
      </c>
      <c r="H75" s="25">
        <f t="shared" si="5"/>
        <v>-11733.313252086218</v>
      </c>
      <c r="I75" s="25">
        <f t="shared" si="6"/>
        <v>-265.68674791378106</v>
      </c>
      <c r="J75" s="25">
        <f t="shared" si="7"/>
        <v>-12041.509879666204</v>
      </c>
      <c r="K75" s="29"/>
      <c r="L75" s="29"/>
      <c r="M75" s="36"/>
    </row>
    <row r="76" spans="3:13" x14ac:dyDescent="0.3">
      <c r="C76" s="43"/>
      <c r="D76" s="43"/>
      <c r="E76" s="25"/>
      <c r="F76">
        <v>71</v>
      </c>
      <c r="G76" s="25">
        <f t="shared" si="4"/>
        <v>-11999</v>
      </c>
      <c r="H76" s="25">
        <f t="shared" si="5"/>
        <v>-11821.21532386643</v>
      </c>
      <c r="I76" s="25">
        <f t="shared" si="6"/>
        <v>-177.78467613356841</v>
      </c>
      <c r="J76" s="25">
        <f t="shared" si="7"/>
        <v>-12027.445548181369</v>
      </c>
      <c r="K76" s="29"/>
      <c r="L76" s="29"/>
      <c r="M76" s="36"/>
    </row>
    <row r="77" spans="3:13" x14ac:dyDescent="0.3">
      <c r="C77" s="43"/>
      <c r="D77" s="43"/>
      <c r="E77" s="25"/>
      <c r="F77">
        <v>72</v>
      </c>
      <c r="G77" s="25">
        <f t="shared" si="4"/>
        <v>-11999</v>
      </c>
      <c r="H77" s="25">
        <f t="shared" si="5"/>
        <v>-11909.77592866773</v>
      </c>
      <c r="I77" s="25">
        <f t="shared" si="6"/>
        <v>-89.224071332269105</v>
      </c>
      <c r="J77" s="25">
        <f t="shared" si="7"/>
        <v>-12013.275851413162</v>
      </c>
      <c r="K77" s="29"/>
      <c r="L77" s="29"/>
      <c r="M77" s="36"/>
    </row>
    <row r="78" spans="3:13" x14ac:dyDescent="0.3">
      <c r="C78" s="43"/>
      <c r="D78" s="43"/>
      <c r="E78" s="25"/>
      <c r="J78" s="35"/>
      <c r="K78" s="29"/>
      <c r="L78" s="29"/>
      <c r="M78" s="36"/>
    </row>
    <row r="79" spans="3:13" x14ac:dyDescent="0.3">
      <c r="C79" s="43"/>
      <c r="D79" s="43"/>
      <c r="E79" s="25"/>
      <c r="F79" s="25"/>
      <c r="J79" s="35"/>
      <c r="K79" s="29"/>
      <c r="L79" s="29"/>
      <c r="M79" s="36"/>
    </row>
    <row r="80" spans="3:13" x14ac:dyDescent="0.3">
      <c r="C80" s="43"/>
      <c r="D80" s="43"/>
      <c r="E80" s="25"/>
      <c r="F80" s="25"/>
      <c r="J80" s="35"/>
      <c r="K80" s="29"/>
      <c r="L80" s="29"/>
      <c r="M80" s="36"/>
    </row>
    <row r="81" spans="3:6" x14ac:dyDescent="0.3">
      <c r="C81" s="43"/>
      <c r="D81" s="43"/>
      <c r="E81" s="25"/>
      <c r="F81" s="25"/>
    </row>
    <row r="82" spans="3:6" x14ac:dyDescent="0.3">
      <c r="C82" s="43"/>
      <c r="D82" s="43"/>
      <c r="E82" s="25"/>
      <c r="F82" s="25"/>
    </row>
    <row r="83" spans="3:6" x14ac:dyDescent="0.3">
      <c r="C83" s="43"/>
      <c r="D83" s="43"/>
      <c r="E83" s="25"/>
      <c r="F83" s="25"/>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1. Fresadora</vt:lpstr>
      <vt:lpstr>3. TVEO</vt:lpstr>
      <vt:lpstr>4. Cementera</vt:lpstr>
      <vt:lpstr>5. Mina</vt:lpstr>
      <vt:lpstr>6. Camión de Volteo</vt:lpstr>
      <vt:lpstr>7. Teslaaa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 Carolina Gómez Delgado</dc:creator>
  <cp:lastModifiedBy>Sara Carolina Gómez Delgado</cp:lastModifiedBy>
  <dcterms:created xsi:type="dcterms:W3CDTF">2022-10-26T23:34:18Z</dcterms:created>
  <dcterms:modified xsi:type="dcterms:W3CDTF">2022-11-23T03:43:37Z</dcterms:modified>
</cp:coreProperties>
</file>