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apt33090-my.sharepoint.com/personal/nmartins_ua_pt/Documents/Aulas/SEM2/ER 2022/Aulas/02 - Avaliação Económica de Projetos de Investimento/"/>
    </mc:Choice>
  </mc:AlternateContent>
  <xr:revisionPtr revIDLastSave="13" documentId="11_3910D81A29702B186E22F6080EE9D9527E68C214" xr6:coauthVersionLast="47" xr6:coauthVersionMax="47" xr10:uidLastSave="{3291552B-35E7-466B-8F65-1759F9E1EEF8}"/>
  <bookViews>
    <workbookView xWindow="38290" yWindow="-110" windowWidth="25820" windowHeight="14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D38" i="1" l="1"/>
  <c r="E10" i="1"/>
  <c r="E9" i="1"/>
  <c r="E7" i="1" s="1"/>
  <c r="B8" i="1"/>
  <c r="C3" i="2"/>
  <c r="B21" i="1"/>
  <c r="D21" i="1" s="1"/>
  <c r="E21" i="1" s="1"/>
  <c r="B22" i="1"/>
  <c r="B7" i="1"/>
  <c r="B10" i="1" s="1"/>
  <c r="B11" i="1" s="1"/>
  <c r="B12" i="1" s="1"/>
  <c r="B13" i="1" s="1"/>
  <c r="F13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F7" i="1"/>
  <c r="E6" i="1"/>
  <c r="F21" i="1"/>
  <c r="G21" i="1" s="1"/>
  <c r="E5" i="1" l="1"/>
  <c r="B18" i="1" s="1"/>
  <c r="E8" i="1"/>
  <c r="D22" i="1" l="1"/>
  <c r="C25" i="1"/>
  <c r="D25" i="1" s="1"/>
  <c r="F25" i="1" s="1"/>
  <c r="C23" i="1"/>
  <c r="C34" i="1"/>
  <c r="D34" i="1" s="1"/>
  <c r="F34" i="1" s="1"/>
  <c r="C28" i="1"/>
  <c r="D28" i="1" s="1"/>
  <c r="F28" i="1" s="1"/>
  <c r="C24" i="1"/>
  <c r="D24" i="1" s="1"/>
  <c r="F24" i="1" s="1"/>
  <c r="C35" i="1"/>
  <c r="D35" i="1" s="1"/>
  <c r="F35" i="1" s="1"/>
  <c r="C29" i="1"/>
  <c r="D29" i="1" s="1"/>
  <c r="F29" i="1" s="1"/>
  <c r="C31" i="1"/>
  <c r="D31" i="1" s="1"/>
  <c r="F31" i="1" s="1"/>
  <c r="C33" i="1"/>
  <c r="D33" i="1" s="1"/>
  <c r="F33" i="1" s="1"/>
  <c r="C27" i="1"/>
  <c r="D27" i="1" s="1"/>
  <c r="F27" i="1" s="1"/>
  <c r="C36" i="1"/>
  <c r="D36" i="1" s="1"/>
  <c r="F36" i="1" s="1"/>
  <c r="C30" i="1"/>
  <c r="D30" i="1" s="1"/>
  <c r="F30" i="1" s="1"/>
  <c r="C32" i="1"/>
  <c r="D32" i="1" s="1"/>
  <c r="F32" i="1" s="1"/>
  <c r="C26" i="1"/>
  <c r="D26" i="1" s="1"/>
  <c r="F26" i="1" s="1"/>
  <c r="F23" i="1" l="1"/>
  <c r="D23" i="1"/>
  <c r="D39" i="1" s="1"/>
  <c r="E22" i="1"/>
  <c r="F22" i="1"/>
  <c r="G22" i="1" s="1"/>
  <c r="D41" i="1"/>
  <c r="D40" i="1"/>
  <c r="G23" i="1" l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</calcChain>
</file>

<file path=xl/sharedStrings.xml><?xml version="1.0" encoding="utf-8"?>
<sst xmlns="http://schemas.openxmlformats.org/spreadsheetml/2006/main" count="40" uniqueCount="30">
  <si>
    <t>litros</t>
  </si>
  <si>
    <t>kg</t>
  </si>
  <si>
    <t>€/mês</t>
  </si>
  <si>
    <t>PCI kJ/kg</t>
  </si>
  <si>
    <t>GJ/mês</t>
  </si>
  <si>
    <t>MWh/mês</t>
  </si>
  <si>
    <t>kWh/mês</t>
  </si>
  <si>
    <t>Poupança de gasóleo</t>
  </si>
  <si>
    <t>Consumo de gasóleo</t>
  </si>
  <si>
    <t>€/litro</t>
  </si>
  <si>
    <t>kJ/mês</t>
  </si>
  <si>
    <t>Custo</t>
  </si>
  <si>
    <t>ano</t>
  </si>
  <si>
    <t>CF</t>
  </si>
  <si>
    <t>Beneficio</t>
  </si>
  <si>
    <t>Investimento</t>
  </si>
  <si>
    <t>NPV</t>
  </si>
  <si>
    <t>IRR</t>
  </si>
  <si>
    <t>Taxa</t>
  </si>
  <si>
    <t>SPB</t>
  </si>
  <si>
    <t>cumulative CF</t>
  </si>
  <si>
    <t>DPB</t>
  </si>
  <si>
    <t>DCF</t>
  </si>
  <si>
    <t>cumulative DCF</t>
  </si>
  <si>
    <t>€/ano</t>
  </si>
  <si>
    <t>Proveitos</t>
  </si>
  <si>
    <t>Custos</t>
  </si>
  <si>
    <t>rendimento</t>
  </si>
  <si>
    <t>tx desconto de capital</t>
  </si>
  <si>
    <t xml:space="preserve">Tx de inflação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</si>
</sst>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;[Red]\-0.0\ "/>
    <numFmt numFmtId="165" formatCode="0_ ;[Red]\-0\ "/>
    <numFmt numFmtId="166" formatCode="0.0%"/>
    <numFmt numFmtId="167" formatCode="#,##0_ ;[Red]\-#,##0\ 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1" applyNumberFormat="1" applyFont="1"/>
    <xf numFmtId="1" fontId="0" fillId="0" borderId="0" xfId="0" applyNumberFormat="1" applyAlignment="1">
      <alignment horizontal="right"/>
    </xf>
    <xf numFmtId="0" fontId="4" fillId="0" borderId="0" xfId="0" applyFont="1"/>
    <xf numFmtId="166" fontId="0" fillId="0" borderId="0" xfId="1" applyNumberFormat="1" applyFont="1" applyAlignment="1">
      <alignment horizontal="right"/>
    </xf>
    <xf numFmtId="164" fontId="0" fillId="0" borderId="0" xfId="0" applyNumberFormat="1"/>
    <xf numFmtId="0" fontId="0" fillId="2" borderId="2" xfId="0" applyFill="1" applyBorder="1"/>
    <xf numFmtId="11" fontId="0" fillId="2" borderId="2" xfId="0" applyNumberFormat="1" applyFill="1" applyBorder="1"/>
    <xf numFmtId="2" fontId="0" fillId="2" borderId="2" xfId="0" applyNumberFormat="1" applyFill="1" applyBorder="1"/>
    <xf numFmtId="4" fontId="0" fillId="0" borderId="0" xfId="0" applyNumberFormat="1"/>
    <xf numFmtId="4" fontId="0" fillId="2" borderId="2" xfId="0" applyNumberFormat="1" applyFill="1" applyBorder="1"/>
    <xf numFmtId="167" fontId="1" fillId="0" borderId="0" xfId="0" applyNumberFormat="1" applyFont="1" applyAlignment="1">
      <alignment horizontal="right"/>
    </xf>
    <xf numFmtId="167" fontId="0" fillId="0" borderId="0" xfId="0" applyNumberFormat="1"/>
    <xf numFmtId="0" fontId="5" fillId="0" borderId="0" xfId="0" applyFont="1"/>
    <xf numFmtId="10" fontId="0" fillId="0" borderId="0" xfId="0" applyNumberFormat="1"/>
    <xf numFmtId="0" fontId="1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1</xdr:row>
      <xdr:rowOff>0</xdr:rowOff>
    </xdr:from>
    <xdr:to>
      <xdr:col>19</xdr:col>
      <xdr:colOff>287020</xdr:colOff>
      <xdr:row>31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BDAB66C-EBDD-4117-A9D6-4CF48E5C0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90500"/>
          <a:ext cx="6783070" cy="480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4" zoomScaleNormal="100" workbookViewId="0">
      <selection activeCell="G14" sqref="G14"/>
    </sheetView>
  </sheetViews>
  <sheetFormatPr defaultRowHeight="12.3" x14ac:dyDescent="0.4"/>
  <cols>
    <col min="1" max="1" width="13.5546875" customWidth="1"/>
    <col min="2" max="2" width="12.71875" bestFit="1" customWidth="1"/>
    <col min="3" max="3" width="10.1640625" bestFit="1" customWidth="1"/>
    <col min="4" max="4" width="13.27734375" customWidth="1"/>
    <col min="5" max="5" width="14.27734375" bestFit="1" customWidth="1"/>
    <col min="6" max="6" width="9.71875" bestFit="1" customWidth="1"/>
    <col min="7" max="7" width="15.5546875" bestFit="1" customWidth="1"/>
  </cols>
  <sheetData>
    <row r="1" spans="1:6" ht="15" x14ac:dyDescent="0.5">
      <c r="A1" s="11"/>
    </row>
    <row r="3" spans="1:6" x14ac:dyDescent="0.4">
      <c r="A3" t="s">
        <v>27</v>
      </c>
      <c r="B3">
        <v>0.8</v>
      </c>
    </row>
    <row r="4" spans="1:6" x14ac:dyDescent="0.4">
      <c r="A4" s="24" t="s">
        <v>8</v>
      </c>
      <c r="B4" s="24"/>
      <c r="D4" s="25" t="s">
        <v>7</v>
      </c>
      <c r="E4" s="25"/>
    </row>
    <row r="5" spans="1:6" x14ac:dyDescent="0.4">
      <c r="A5" t="s">
        <v>9</v>
      </c>
      <c r="B5">
        <v>1.7</v>
      </c>
      <c r="D5" t="s">
        <v>2</v>
      </c>
      <c r="E5" s="1">
        <f>E6*B5</f>
        <v>196.32164242942684</v>
      </c>
    </row>
    <row r="6" spans="1:6" x14ac:dyDescent="0.4">
      <c r="A6" t="s">
        <v>0</v>
      </c>
      <c r="B6" s="1">
        <v>5000</v>
      </c>
      <c r="D6" t="s">
        <v>0</v>
      </c>
      <c r="E6" s="1">
        <f>E7/0.835</f>
        <v>115.48331907613344</v>
      </c>
    </row>
    <row r="7" spans="1:6" x14ac:dyDescent="0.4">
      <c r="A7" t="s">
        <v>1</v>
      </c>
      <c r="B7" s="1">
        <f>B6*0.835</f>
        <v>4175</v>
      </c>
      <c r="D7" t="s">
        <v>1</v>
      </c>
      <c r="E7" s="1">
        <f>E10/E9/B3</f>
        <v>96.428571428571416</v>
      </c>
      <c r="F7" s="9">
        <f>E7/B7</f>
        <v>2.3096663815226688E-2</v>
      </c>
    </row>
    <row r="8" spans="1:6" x14ac:dyDescent="0.4">
      <c r="A8" t="s">
        <v>2</v>
      </c>
      <c r="B8" s="1">
        <f>B6*B5</f>
        <v>8500</v>
      </c>
      <c r="D8" t="s">
        <v>2</v>
      </c>
      <c r="E8" s="1">
        <f>E6*B5</f>
        <v>196.32164242942684</v>
      </c>
    </row>
    <row r="9" spans="1:6" x14ac:dyDescent="0.4">
      <c r="A9" t="s">
        <v>3</v>
      </c>
      <c r="B9" s="1">
        <v>42000</v>
      </c>
      <c r="D9" t="s">
        <v>3</v>
      </c>
      <c r="E9" s="1">
        <f>B9</f>
        <v>42000</v>
      </c>
    </row>
    <row r="10" spans="1:6" x14ac:dyDescent="0.4">
      <c r="A10" s="14" t="s">
        <v>10</v>
      </c>
      <c r="B10" s="15">
        <f>B9*B7*B3</f>
        <v>140280000</v>
      </c>
      <c r="D10" t="s">
        <v>10</v>
      </c>
      <c r="E10" s="17">
        <f>E13*3600</f>
        <v>3240000</v>
      </c>
    </row>
    <row r="11" spans="1:6" x14ac:dyDescent="0.4">
      <c r="A11" s="14" t="s">
        <v>4</v>
      </c>
      <c r="B11" s="16">
        <f>B10/1000000</f>
        <v>140.28</v>
      </c>
      <c r="D11" t="s">
        <v>4</v>
      </c>
    </row>
    <row r="12" spans="1:6" x14ac:dyDescent="0.4">
      <c r="A12" s="14" t="s">
        <v>5</v>
      </c>
      <c r="B12" s="16">
        <f>B11/3600*1000</f>
        <v>38.966666666666669</v>
      </c>
      <c r="D12" t="s">
        <v>5</v>
      </c>
    </row>
    <row r="13" spans="1:6" x14ac:dyDescent="0.4">
      <c r="A13" s="14" t="s">
        <v>6</v>
      </c>
      <c r="B13" s="18">
        <f>B12*1000</f>
        <v>38966.666666666672</v>
      </c>
      <c r="D13" t="s">
        <v>6</v>
      </c>
      <c r="E13" s="1">
        <v>900</v>
      </c>
      <c r="F13" s="9">
        <f>E13/B13</f>
        <v>2.3096663815226688E-2</v>
      </c>
    </row>
    <row r="16" spans="1:6" x14ac:dyDescent="0.4">
      <c r="A16" t="s">
        <v>15</v>
      </c>
      <c r="B16">
        <v>3500</v>
      </c>
      <c r="D16" s="23" t="s">
        <v>29</v>
      </c>
      <c r="F16" s="22">
        <v>0.03</v>
      </c>
    </row>
    <row r="17" spans="1:7" x14ac:dyDescent="0.4">
      <c r="A17" t="s">
        <v>26</v>
      </c>
      <c r="B17">
        <v>200</v>
      </c>
      <c r="C17" t="s">
        <v>24</v>
      </c>
      <c r="D17" s="21" t="s">
        <v>28</v>
      </c>
      <c r="F17" s="22">
        <v>4.4999999999999998E-2</v>
      </c>
    </row>
    <row r="18" spans="1:7" x14ac:dyDescent="0.4">
      <c r="A18" t="s">
        <v>25</v>
      </c>
      <c r="B18" s="10">
        <f>E5*12</f>
        <v>2355.8597091531219</v>
      </c>
      <c r="C18" t="s">
        <v>24</v>
      </c>
    </row>
    <row r="20" spans="1:7" ht="12.6" thickBot="1" x14ac:dyDescent="0.45">
      <c r="A20" s="2" t="s">
        <v>12</v>
      </c>
      <c r="B20" s="2" t="s">
        <v>11</v>
      </c>
      <c r="C20" s="2" t="s">
        <v>14</v>
      </c>
      <c r="D20" s="2" t="s">
        <v>13</v>
      </c>
      <c r="E20" s="3" t="s">
        <v>20</v>
      </c>
      <c r="F20" s="3" t="s">
        <v>22</v>
      </c>
      <c r="G20" s="3" t="s">
        <v>23</v>
      </c>
    </row>
    <row r="21" spans="1:7" ht="12.6" thickTop="1" x14ac:dyDescent="0.4">
      <c r="A21" s="4">
        <v>0</v>
      </c>
      <c r="B21" s="19">
        <f>-B16</f>
        <v>-3500</v>
      </c>
      <c r="C21" s="5">
        <v>0</v>
      </c>
      <c r="D21" s="6">
        <f>C21+B21</f>
        <v>-3500</v>
      </c>
      <c r="E21" s="6">
        <f>D21</f>
        <v>-3500</v>
      </c>
      <c r="F21" s="6">
        <f>D21/(1+$D$38)^A21</f>
        <v>-3500</v>
      </c>
      <c r="G21" s="6">
        <f>F21</f>
        <v>-3500</v>
      </c>
    </row>
    <row r="22" spans="1:7" x14ac:dyDescent="0.4">
      <c r="A22" s="4">
        <f>A21+1</f>
        <v>1</v>
      </c>
      <c r="B22" s="5">
        <f>-B17</f>
        <v>-200</v>
      </c>
      <c r="C22" s="5">
        <f>$B$18*(1+$F$16)^A22</f>
        <v>2426.5355004277158</v>
      </c>
      <c r="D22" s="6">
        <f>C22+B22</f>
        <v>2226.5355004277158</v>
      </c>
      <c r="E22" s="6">
        <f>E21+D22</f>
        <v>-1273.4644995722842</v>
      </c>
      <c r="F22" s="6">
        <f t="shared" ref="F22:F36" si="0">D22/(1+$D$38)^A22</f>
        <v>2130.6559812705414</v>
      </c>
      <c r="G22" s="6">
        <f>G21+F22</f>
        <v>-1369.3440187294586</v>
      </c>
    </row>
    <row r="23" spans="1:7" x14ac:dyDescent="0.4">
      <c r="A23" s="4">
        <f t="shared" ref="A23:A36" si="1">A22+1</f>
        <v>2</v>
      </c>
      <c r="B23" s="5">
        <f>B22*(1+$F$16)</f>
        <v>-206</v>
      </c>
      <c r="C23" s="5">
        <f>$B$18*(1+$F$16)^A23</f>
        <v>2499.3315654405469</v>
      </c>
      <c r="D23" s="6">
        <f>C23+B23</f>
        <v>2293.3315654405469</v>
      </c>
      <c r="E23" s="6">
        <f>E22+D23</f>
        <v>1019.8670658682627</v>
      </c>
      <c r="F23" s="6">
        <f>D23/(1+$D$38)^A23</f>
        <v>2100.0724025920172</v>
      </c>
      <c r="G23" s="6">
        <f t="shared" ref="E23:G36" si="2">G22+F23</f>
        <v>730.72838386255853</v>
      </c>
    </row>
    <row r="24" spans="1:7" x14ac:dyDescent="0.4">
      <c r="A24" s="4">
        <f t="shared" si="1"/>
        <v>3</v>
      </c>
      <c r="B24" s="5">
        <f t="shared" ref="B24:B36" si="3">B23*(1+$F$16)</f>
        <v>-212.18</v>
      </c>
      <c r="C24" s="5">
        <f t="shared" ref="C24:C36" si="4">$B$18*(1+$F$16)^A24</f>
        <v>2574.3115124037636</v>
      </c>
      <c r="D24" s="6">
        <f t="shared" ref="D24:D36" si="5">C24+B24</f>
        <v>2362.1315124037637</v>
      </c>
      <c r="E24" s="6">
        <f t="shared" si="2"/>
        <v>3381.9985782720264</v>
      </c>
      <c r="F24" s="6">
        <f t="shared" si="0"/>
        <v>2069.9278226505053</v>
      </c>
      <c r="G24" s="6">
        <f t="shared" si="2"/>
        <v>2800.6562065130638</v>
      </c>
    </row>
    <row r="25" spans="1:7" x14ac:dyDescent="0.4">
      <c r="A25" s="4">
        <f t="shared" si="1"/>
        <v>4</v>
      </c>
      <c r="B25" s="5">
        <f t="shared" si="3"/>
        <v>-218.5454</v>
      </c>
      <c r="C25" s="5">
        <f>$B$18*(1+$F$16)^A25</f>
        <v>2651.5408577758762</v>
      </c>
      <c r="D25" s="6">
        <f t="shared" si="5"/>
        <v>2432.9954577758763</v>
      </c>
      <c r="E25" s="6">
        <f t="shared" si="2"/>
        <v>5814.9940360479031</v>
      </c>
      <c r="F25" s="6">
        <f t="shared" si="0"/>
        <v>2040.2159400287278</v>
      </c>
      <c r="G25" s="6">
        <f t="shared" si="2"/>
        <v>4840.8721465417912</v>
      </c>
    </row>
    <row r="26" spans="1:7" x14ac:dyDescent="0.4">
      <c r="A26" s="4">
        <f t="shared" si="1"/>
        <v>5</v>
      </c>
      <c r="B26" s="5">
        <f t="shared" si="3"/>
        <v>-225.10176200000001</v>
      </c>
      <c r="C26" s="5">
        <f t="shared" si="4"/>
        <v>2731.0870835091523</v>
      </c>
      <c r="D26" s="6">
        <f t="shared" si="5"/>
        <v>2505.9853215091525</v>
      </c>
      <c r="E26" s="6">
        <f t="shared" si="2"/>
        <v>8320.9793575570548</v>
      </c>
      <c r="F26" s="6">
        <f>D26/(1+$D$38)^A26</f>
        <v>2010.9305437603728</v>
      </c>
      <c r="G26" s="6">
        <f t="shared" si="2"/>
        <v>6851.8026903021637</v>
      </c>
    </row>
    <row r="27" spans="1:7" x14ac:dyDescent="0.4">
      <c r="A27" s="4">
        <f t="shared" si="1"/>
        <v>6</v>
      </c>
      <c r="B27" s="5">
        <f t="shared" si="3"/>
        <v>-231.85481486</v>
      </c>
      <c r="C27" s="5">
        <f t="shared" si="4"/>
        <v>2813.0196960144272</v>
      </c>
      <c r="D27" s="6">
        <f t="shared" si="5"/>
        <v>2581.1648811544273</v>
      </c>
      <c r="E27" s="6">
        <f t="shared" si="2"/>
        <v>10902.144238711482</v>
      </c>
      <c r="F27" s="6">
        <f>D27/(1+$D$38)^A27</f>
        <v>1982.0655120317556</v>
      </c>
      <c r="G27" s="6">
        <f t="shared" si="2"/>
        <v>8833.8682023339188</v>
      </c>
    </row>
    <row r="28" spans="1:7" x14ac:dyDescent="0.4">
      <c r="A28" s="4">
        <f t="shared" si="1"/>
        <v>7</v>
      </c>
      <c r="B28" s="5">
        <f t="shared" si="3"/>
        <v>-238.81045930580001</v>
      </c>
      <c r="C28" s="5">
        <f t="shared" si="4"/>
        <v>2897.4102868948598</v>
      </c>
      <c r="D28" s="6">
        <f t="shared" si="5"/>
        <v>2658.5998275890597</v>
      </c>
      <c r="E28" s="6">
        <f t="shared" si="2"/>
        <v>13560.744066300542</v>
      </c>
      <c r="F28" s="6">
        <f t="shared" si="0"/>
        <v>1953.6148109021128</v>
      </c>
      <c r="G28" s="6">
        <f t="shared" si="2"/>
        <v>10787.483013236031</v>
      </c>
    </row>
    <row r="29" spans="1:7" x14ac:dyDescent="0.4">
      <c r="A29" s="4">
        <f t="shared" si="1"/>
        <v>8</v>
      </c>
      <c r="B29" s="5">
        <f t="shared" si="3"/>
        <v>-245.974773084974</v>
      </c>
      <c r="C29" s="5">
        <f t="shared" si="4"/>
        <v>2984.3325955017053</v>
      </c>
      <c r="D29" s="6">
        <f t="shared" si="5"/>
        <v>2738.3578224167313</v>
      </c>
      <c r="E29" s="6">
        <f t="shared" si="2"/>
        <v>16299.101888717272</v>
      </c>
      <c r="F29" s="6">
        <f t="shared" si="0"/>
        <v>1925.5724930422743</v>
      </c>
      <c r="G29" s="6">
        <f t="shared" si="2"/>
        <v>12713.055506278306</v>
      </c>
    </row>
    <row r="30" spans="1:7" x14ac:dyDescent="0.4">
      <c r="A30" s="4">
        <f t="shared" si="1"/>
        <v>9</v>
      </c>
      <c r="B30" s="5">
        <f t="shared" si="3"/>
        <v>-253.35401627752324</v>
      </c>
      <c r="C30" s="5">
        <f t="shared" si="4"/>
        <v>3073.8625733667568</v>
      </c>
      <c r="D30" s="6">
        <f t="shared" si="5"/>
        <v>2820.5085570892334</v>
      </c>
      <c r="E30" s="6">
        <f t="shared" si="2"/>
        <v>19119.610445806506</v>
      </c>
      <c r="F30" s="6">
        <f t="shared" si="0"/>
        <v>1897.9326964914285</v>
      </c>
      <c r="G30" s="6">
        <f t="shared" si="2"/>
        <v>14610.988202769735</v>
      </c>
    </row>
    <row r="31" spans="1:7" x14ac:dyDescent="0.4">
      <c r="A31" s="4">
        <f t="shared" si="1"/>
        <v>10</v>
      </c>
      <c r="B31" s="5">
        <f t="shared" si="3"/>
        <v>-260.95463676584893</v>
      </c>
      <c r="C31" s="5">
        <f t="shared" si="4"/>
        <v>3166.0784505677593</v>
      </c>
      <c r="D31" s="6">
        <f t="shared" si="5"/>
        <v>2905.1238138019103</v>
      </c>
      <c r="E31" s="6">
        <f t="shared" si="2"/>
        <v>22024.734259608416</v>
      </c>
      <c r="F31" s="6">
        <f t="shared" si="0"/>
        <v>1870.6896434317432</v>
      </c>
      <c r="G31" s="6">
        <f t="shared" si="2"/>
        <v>16481.677846201477</v>
      </c>
    </row>
    <row r="32" spans="1:7" x14ac:dyDescent="0.4">
      <c r="A32" s="4">
        <f t="shared" si="1"/>
        <v>11</v>
      </c>
      <c r="B32" s="5">
        <f t="shared" si="3"/>
        <v>-268.78327586882443</v>
      </c>
      <c r="C32" s="5">
        <f t="shared" si="4"/>
        <v>3261.0608040847924</v>
      </c>
      <c r="D32" s="6">
        <f t="shared" si="5"/>
        <v>2992.2775282159678</v>
      </c>
      <c r="E32" s="6">
        <f>E31+D32</f>
        <v>25017.011787824384</v>
      </c>
      <c r="F32" s="6">
        <f t="shared" si="0"/>
        <v>1843.8376389805699</v>
      </c>
      <c r="G32" s="6">
        <f t="shared" si="2"/>
        <v>18325.515485182048</v>
      </c>
    </row>
    <row r="33" spans="1:9" x14ac:dyDescent="0.4">
      <c r="A33" s="4">
        <f t="shared" si="1"/>
        <v>12</v>
      </c>
      <c r="B33" s="5">
        <f t="shared" si="3"/>
        <v>-276.8467741448892</v>
      </c>
      <c r="C33" s="5">
        <f t="shared" si="4"/>
        <v>3358.8926282073357</v>
      </c>
      <c r="D33" s="6">
        <f t="shared" si="5"/>
        <v>3082.0458540624468</v>
      </c>
      <c r="E33" s="6">
        <f t="shared" si="2"/>
        <v>28099.05764188683</v>
      </c>
      <c r="F33" s="6">
        <f t="shared" si="0"/>
        <v>1817.3710699999879</v>
      </c>
      <c r="G33" s="6">
        <f t="shared" si="2"/>
        <v>20142.886555182034</v>
      </c>
    </row>
    <row r="34" spans="1:9" x14ac:dyDescent="0.4">
      <c r="A34" s="4">
        <f t="shared" si="1"/>
        <v>13</v>
      </c>
      <c r="B34" s="5">
        <f t="shared" si="3"/>
        <v>-285.15217736923586</v>
      </c>
      <c r="C34" s="5">
        <f t="shared" si="4"/>
        <v>3459.6594070535552</v>
      </c>
      <c r="D34" s="6">
        <f t="shared" si="5"/>
        <v>3174.5072296843196</v>
      </c>
      <c r="E34" s="6">
        <f t="shared" si="2"/>
        <v>31273.56487157115</v>
      </c>
      <c r="F34" s="6">
        <f t="shared" si="0"/>
        <v>1791.2844039234326</v>
      </c>
      <c r="G34" s="6">
        <f t="shared" si="2"/>
        <v>21934.170959105468</v>
      </c>
    </row>
    <row r="35" spans="1:9" x14ac:dyDescent="0.4">
      <c r="A35" s="4">
        <f t="shared" si="1"/>
        <v>14</v>
      </c>
      <c r="B35" s="5">
        <f t="shared" si="3"/>
        <v>-293.70674269031292</v>
      </c>
      <c r="C35" s="5">
        <f t="shared" si="4"/>
        <v>3563.4491892651627</v>
      </c>
      <c r="D35" s="6">
        <f t="shared" si="5"/>
        <v>3269.74244657485</v>
      </c>
      <c r="E35" s="6">
        <f t="shared" si="2"/>
        <v>34543.307318145999</v>
      </c>
      <c r="F35" s="6">
        <f t="shared" si="0"/>
        <v>1765.5721875991737</v>
      </c>
      <c r="G35" s="6">
        <f>G34+F35</f>
        <v>23699.743146704641</v>
      </c>
    </row>
    <row r="36" spans="1:9" x14ac:dyDescent="0.4">
      <c r="A36" s="4">
        <f t="shared" si="1"/>
        <v>15</v>
      </c>
      <c r="B36" s="5">
        <f t="shared" si="3"/>
        <v>-302.5179449710223</v>
      </c>
      <c r="C36" s="5">
        <f t="shared" si="4"/>
        <v>3670.3526649431178</v>
      </c>
      <c r="D36" s="6">
        <f t="shared" si="5"/>
        <v>3367.8347199720956</v>
      </c>
      <c r="E36" s="6">
        <f t="shared" si="2"/>
        <v>37911.142038118094</v>
      </c>
      <c r="F36" s="6">
        <f t="shared" si="0"/>
        <v>1740.2290461503817</v>
      </c>
      <c r="G36" s="6">
        <f t="shared" si="2"/>
        <v>25439.972192855021</v>
      </c>
    </row>
    <row r="37" spans="1:9" x14ac:dyDescent="0.4">
      <c r="A37" s="7"/>
      <c r="B37" s="7"/>
      <c r="C37" s="7"/>
      <c r="D37" s="7"/>
      <c r="E37" s="7"/>
      <c r="F37" s="7"/>
      <c r="G37" s="7"/>
    </row>
    <row r="38" spans="1:9" x14ac:dyDescent="0.4">
      <c r="A38" s="7"/>
      <c r="C38" s="8" t="s">
        <v>18</v>
      </c>
      <c r="D38" s="12">
        <f>F17</f>
        <v>4.4999999999999998E-2</v>
      </c>
      <c r="E38" s="7"/>
      <c r="F38" s="7"/>
      <c r="G38" s="7"/>
    </row>
    <row r="39" spans="1:9" x14ac:dyDescent="0.4">
      <c r="A39" s="7"/>
      <c r="C39" s="7" t="s">
        <v>16</v>
      </c>
      <c r="D39" s="20">
        <f>NPV(D38,D21:D36)</f>
        <v>24344.470997947385</v>
      </c>
      <c r="E39" s="7"/>
      <c r="F39" s="7"/>
      <c r="G39" s="7"/>
    </row>
    <row r="40" spans="1:9" x14ac:dyDescent="0.4">
      <c r="A40" s="7"/>
      <c r="B40" s="7"/>
      <c r="C40" s="7" t="s">
        <v>17</v>
      </c>
      <c r="D40" s="9">
        <f>IRR(D21:D36,0.04)</f>
        <v>0.66568285143134087</v>
      </c>
      <c r="E40" s="7"/>
      <c r="F40" s="7"/>
      <c r="G40" s="7"/>
    </row>
    <row r="41" spans="1:9" x14ac:dyDescent="0.4">
      <c r="A41" s="7"/>
      <c r="B41" s="7"/>
      <c r="C41" s="7" t="s">
        <v>19</v>
      </c>
      <c r="D41" s="13">
        <f>ABS(D21/D22)</f>
        <v>1.571948886208036</v>
      </c>
      <c r="E41" s="7"/>
      <c r="F41" s="7"/>
      <c r="G41" s="7"/>
      <c r="I41" s="7"/>
    </row>
    <row r="42" spans="1:9" x14ac:dyDescent="0.4">
      <c r="A42" s="7"/>
      <c r="B42" s="7"/>
      <c r="C42" s="7" t="s">
        <v>21</v>
      </c>
      <c r="D42" s="13">
        <v>9</v>
      </c>
      <c r="E42" s="7"/>
      <c r="F42" s="7"/>
      <c r="G42" s="7"/>
    </row>
  </sheetData>
  <mergeCells count="2">
    <mergeCell ref="A4:B4"/>
    <mergeCell ref="D4:E4"/>
  </mergeCells>
  <phoneticPr fontId="2" type="noConversion"/>
  <pageMargins left="0.75" right="0.75" top="1" bottom="1" header="0.5" footer="0.5"/>
  <pageSetup paperSize="9" scale="98" orientation="portrait" horizontalDpi="300" verticalDpi="300" r:id="rId1"/>
  <headerFooter alignWithMargins="0"/>
  <ignoredErrors>
    <ignoredError sqref="F22 F28:F36 F24:F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"/>
  <sheetViews>
    <sheetView workbookViewId="0">
      <selection activeCell="D3" sqref="D3"/>
    </sheetView>
  </sheetViews>
  <sheetFormatPr defaultRowHeight="12.3" x14ac:dyDescent="0.4"/>
  <cols>
    <col min="3" max="3" width="12.27734375" bestFit="1" customWidth="1"/>
  </cols>
  <sheetData>
    <row r="3" spans="3:3" x14ac:dyDescent="0.4">
      <c r="C3">
        <f>0.5*10000/(1680-1092+69440000000000*1000000000/3600*40000*50)</f>
        <v>1.2960829493087559E-22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DEM-UA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Martins</dc:creator>
  <cp:lastModifiedBy>nelson</cp:lastModifiedBy>
  <cp:lastPrinted>2003-11-04T10:07:12Z</cp:lastPrinted>
  <dcterms:created xsi:type="dcterms:W3CDTF">2003-11-03T11:37:10Z</dcterms:created>
  <dcterms:modified xsi:type="dcterms:W3CDTF">2022-03-10T14:55:45Z</dcterms:modified>
</cp:coreProperties>
</file>