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aba\Documents\Maryville University\DSCI 501 1W 20_SP2 Intro to Math Modelling\Final Exam\"/>
    </mc:Choice>
  </mc:AlternateContent>
  <xr:revisionPtr revIDLastSave="0" documentId="13_ncr:1_{2815B464-3FFC-4446-A282-931D208FB060}" xr6:coauthVersionLast="44" xr6:coauthVersionMax="44" xr10:uidLastSave="{00000000-0000-0000-0000-000000000000}"/>
  <bookViews>
    <workbookView xWindow="-120" yWindow="-120" windowWidth="24240" windowHeight="13140" tabRatio="942" activeTab="6" xr2:uid="{0ADC1241-231A-49CC-83F1-BE2F6CA7249B}"/>
  </bookViews>
  <sheets>
    <sheet name="Record" sheetId="3" r:id="rId1"/>
    <sheet name="Qx" sheetId="4" r:id="rId2"/>
    <sheet name="Sort DB" sheetId="10" r:id="rId3"/>
    <sheet name="Filter DB" sheetId="11" r:id="rId4"/>
    <sheet name="Filter Advance" sheetId="12" r:id="rId5"/>
    <sheet name="Pivot Table" sheetId="28" r:id="rId6"/>
    <sheet name="Annuity" sheetId="19" r:id="rId7"/>
    <sheet name="Rate" sheetId="37" r:id="rId8"/>
    <sheet name="Statement" sheetId="8" r:id="rId9"/>
    <sheet name="Annuity Table " sheetId="9" r:id="rId10"/>
    <sheet name="Annuity (2)" sheetId="36" state="hidden" r:id="rId11"/>
    <sheet name="X" sheetId="29" state="hidden" r:id="rId12"/>
  </sheets>
  <externalReferences>
    <externalReference r:id="rId13"/>
  </externalReferences>
  <definedNames>
    <definedName name="_xlnm._FilterDatabase" localSheetId="4" hidden="1">'Filter Advance'!$B$11:$I$21</definedName>
    <definedName name="_xlnm._FilterDatabase" localSheetId="3" hidden="1">'Filter DB'!$B$10:$I$20</definedName>
    <definedName name="_xlnm.Criteria" localSheetId="4">'Filter Advance'!$G$2:$H$4</definedName>
    <definedName name="InterestData">OFFSET(Rate!$C$3,COUNT(Rate!$C:$C),0,-7,1)</definedName>
    <definedName name="InterestLabels">OFFSET(Rate!$C$3,COUNT(Rate!$C:$C),-1,-7,1)</definedName>
    <definedName name="PercLetterGradeTable">#REF!</definedName>
    <definedName name="_xlnm.Print_Titles" localSheetId="6">Annuity!$1:$12</definedName>
    <definedName name="_xlnm.Print_Titles" localSheetId="10">'Annuity (2)'!$1:$12</definedName>
    <definedName name="QxTable">'[1]Lookup excel'!$B$4:$C$119</definedName>
    <definedName name="record_table">Record!$B$5:$I$14</definedName>
  </definedName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36" l="1"/>
  <c r="J3" i="9"/>
  <c r="J6" i="9"/>
  <c r="J5" i="9"/>
  <c r="C28" i="37"/>
  <c r="H7" i="36"/>
  <c r="H5" i="36"/>
  <c r="B11" i="9" l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D9" i="9"/>
  <c r="E9" i="9" s="1"/>
  <c r="F9" i="9" s="1"/>
  <c r="G9" i="9" s="1"/>
  <c r="H9" i="9" s="1"/>
  <c r="I9" i="9" s="1"/>
  <c r="H3" i="36"/>
  <c r="B13" i="36" s="1"/>
  <c r="E13" i="36"/>
  <c r="C13" i="36" l="1"/>
  <c r="D13" i="36" s="1"/>
  <c r="B14" i="36"/>
  <c r="B15" i="36" l="1"/>
  <c r="E14" i="36"/>
  <c r="C14" i="36"/>
  <c r="D14" i="36" s="1"/>
  <c r="B16" i="36" l="1"/>
  <c r="C15" i="36"/>
  <c r="D15" i="36" s="1"/>
  <c r="E15" i="36"/>
  <c r="B17" i="36" l="1"/>
  <c r="E16" i="36"/>
  <c r="C16" i="36"/>
  <c r="D16" i="36" s="1"/>
  <c r="E17" i="36" l="1"/>
  <c r="C17" i="36"/>
  <c r="D17" i="36" s="1"/>
  <c r="B18" i="36"/>
  <c r="B19" i="36" l="1"/>
  <c r="E18" i="36"/>
  <c r="C18" i="36"/>
  <c r="D18" i="36" s="1"/>
  <c r="B20" i="36" l="1"/>
  <c r="C19" i="36"/>
  <c r="D19" i="36" s="1"/>
  <c r="E19" i="36"/>
  <c r="B21" i="36" l="1"/>
  <c r="E20" i="36"/>
  <c r="C20" i="36"/>
  <c r="D20" i="36" s="1"/>
  <c r="E21" i="36" l="1"/>
  <c r="C21" i="36"/>
  <c r="D21" i="36" s="1"/>
  <c r="B22" i="36"/>
  <c r="B23" i="36" l="1"/>
  <c r="E22" i="36"/>
  <c r="C22" i="36"/>
  <c r="D22" i="36" s="1"/>
  <c r="B24" i="36" l="1"/>
  <c r="C23" i="36"/>
  <c r="D23" i="36" s="1"/>
  <c r="E23" i="36"/>
  <c r="B25" i="36" l="1"/>
  <c r="E24" i="36"/>
  <c r="C24" i="36"/>
  <c r="D24" i="36" s="1"/>
  <c r="E25" i="36" l="1"/>
  <c r="B26" i="36"/>
  <c r="C25" i="36"/>
  <c r="D25" i="36" s="1"/>
  <c r="B27" i="36" l="1"/>
  <c r="E26" i="36"/>
  <c r="C26" i="36"/>
  <c r="D26" i="36" s="1"/>
  <c r="B28" i="36" l="1"/>
  <c r="C27" i="36"/>
  <c r="D27" i="36" s="1"/>
  <c r="E27" i="36"/>
  <c r="B29" i="36" l="1"/>
  <c r="E28" i="36"/>
  <c r="C28" i="36"/>
  <c r="D28" i="36" s="1"/>
  <c r="E29" i="36" l="1"/>
  <c r="C29" i="36"/>
  <c r="B30" i="36"/>
  <c r="D29" i="36" l="1"/>
  <c r="H29" i="36"/>
  <c r="B31" i="36"/>
  <c r="E30" i="36"/>
  <c r="H30" i="36" s="1"/>
  <c r="C30" i="36"/>
  <c r="D30" i="36" s="1"/>
  <c r="H13" i="36" l="1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B32" i="36"/>
  <c r="C31" i="36"/>
  <c r="D31" i="36" s="1"/>
  <c r="E31" i="36"/>
  <c r="H31" i="36" s="1"/>
  <c r="B33" i="36" l="1"/>
  <c r="E32" i="36"/>
  <c r="C32" i="36"/>
  <c r="D32" i="36" s="1"/>
  <c r="H32" i="36"/>
  <c r="E33" i="36" l="1"/>
  <c r="H33" i="36" s="1"/>
  <c r="B34" i="36"/>
  <c r="C33" i="36"/>
  <c r="D33" i="36" s="1"/>
  <c r="B35" i="36" l="1"/>
  <c r="E34" i="36"/>
  <c r="H34" i="36" s="1"/>
  <c r="C34" i="36"/>
  <c r="D34" i="36" s="1"/>
  <c r="B36" i="36" l="1"/>
  <c r="C35" i="36"/>
  <c r="D35" i="36" s="1"/>
  <c r="E35" i="36"/>
  <c r="H35" i="36" s="1"/>
  <c r="B37" i="36" l="1"/>
  <c r="E36" i="36"/>
  <c r="C36" i="36"/>
  <c r="D36" i="36" s="1"/>
  <c r="H36" i="36"/>
  <c r="E37" i="36" l="1"/>
  <c r="H37" i="36" s="1"/>
  <c r="C37" i="36"/>
  <c r="D37" i="36" s="1"/>
  <c r="B38" i="36"/>
  <c r="B39" i="36" l="1"/>
  <c r="E38" i="36"/>
  <c r="H38" i="36" s="1"/>
  <c r="C38" i="36"/>
  <c r="D38" i="36" s="1"/>
  <c r="B40" i="36" l="1"/>
  <c r="C39" i="36"/>
  <c r="D39" i="36" s="1"/>
  <c r="E39" i="36"/>
  <c r="H39" i="36" s="1"/>
  <c r="B41" i="36" l="1"/>
  <c r="E40" i="36"/>
  <c r="C40" i="36"/>
  <c r="D40" i="36" s="1"/>
  <c r="H40" i="36"/>
  <c r="E41" i="36" l="1"/>
  <c r="H41" i="36" s="1"/>
  <c r="B42" i="36"/>
  <c r="C41" i="36"/>
  <c r="D41" i="36" s="1"/>
  <c r="B43" i="36" l="1"/>
  <c r="E42" i="36"/>
  <c r="H42" i="36" s="1"/>
  <c r="C42" i="36"/>
  <c r="D42" i="36" s="1"/>
  <c r="B44" i="36" l="1"/>
  <c r="C43" i="36"/>
  <c r="D43" i="36" s="1"/>
  <c r="E43" i="36"/>
  <c r="H43" i="36" s="1"/>
  <c r="B45" i="36" l="1"/>
  <c r="E44" i="36"/>
  <c r="C44" i="36"/>
  <c r="D44" i="36" s="1"/>
  <c r="H44" i="36"/>
  <c r="E45" i="36" l="1"/>
  <c r="H45" i="36" s="1"/>
  <c r="C45" i="36"/>
  <c r="D45" i="36" s="1"/>
  <c r="B46" i="36"/>
  <c r="B47" i="36" l="1"/>
  <c r="E46" i="36"/>
  <c r="H46" i="36" s="1"/>
  <c r="C46" i="36"/>
  <c r="D46" i="36" s="1"/>
  <c r="B48" i="36" l="1"/>
  <c r="C47" i="36"/>
  <c r="D47" i="36" s="1"/>
  <c r="E47" i="36"/>
  <c r="H47" i="36" s="1"/>
  <c r="B49" i="36" l="1"/>
  <c r="E48" i="36"/>
  <c r="C48" i="36"/>
  <c r="D48" i="36" s="1"/>
  <c r="H48" i="36"/>
  <c r="E49" i="36" l="1"/>
  <c r="H49" i="36" s="1"/>
  <c r="B50" i="36"/>
  <c r="C49" i="36"/>
  <c r="D49" i="36" s="1"/>
  <c r="B51" i="36" l="1"/>
  <c r="E50" i="36"/>
  <c r="C50" i="36"/>
  <c r="D50" i="36" s="1"/>
  <c r="H50" i="36"/>
  <c r="B52" i="36" l="1"/>
  <c r="C51" i="36"/>
  <c r="D51" i="36" s="1"/>
  <c r="E51" i="36"/>
  <c r="H51" i="36" s="1"/>
  <c r="B53" i="36" l="1"/>
  <c r="E52" i="36"/>
  <c r="C52" i="36"/>
  <c r="D52" i="36" s="1"/>
  <c r="H52" i="36"/>
  <c r="E53" i="36" l="1"/>
  <c r="H53" i="36" s="1"/>
  <c r="B54" i="36"/>
  <c r="C53" i="36"/>
  <c r="D53" i="36" s="1"/>
  <c r="B55" i="36" l="1"/>
  <c r="E54" i="36"/>
  <c r="H54" i="36" s="1"/>
  <c r="C54" i="36"/>
  <c r="D54" i="36" s="1"/>
  <c r="B56" i="36" l="1"/>
  <c r="C55" i="36"/>
  <c r="D55" i="36" s="1"/>
  <c r="E55" i="36"/>
  <c r="H55" i="36" s="1"/>
  <c r="B57" i="36" l="1"/>
  <c r="E56" i="36"/>
  <c r="C56" i="36"/>
  <c r="D56" i="36" s="1"/>
  <c r="H56" i="36"/>
  <c r="E57" i="36" l="1"/>
  <c r="H57" i="36" s="1"/>
  <c r="B58" i="36"/>
  <c r="C57" i="36"/>
  <c r="D57" i="36" s="1"/>
  <c r="B59" i="36" l="1"/>
  <c r="E58" i="36"/>
  <c r="C58" i="36"/>
  <c r="D58" i="36" s="1"/>
  <c r="H58" i="36"/>
  <c r="B60" i="36" l="1"/>
  <c r="C59" i="36"/>
  <c r="D59" i="36" s="1"/>
  <c r="E59" i="36"/>
  <c r="H59" i="36" s="1"/>
  <c r="B61" i="36" l="1"/>
  <c r="E60" i="36"/>
  <c r="C60" i="36"/>
  <c r="D60" i="36" s="1"/>
  <c r="H60" i="36"/>
  <c r="E61" i="36" l="1"/>
  <c r="H61" i="36" s="1"/>
  <c r="B62" i="36"/>
  <c r="C61" i="36"/>
  <c r="D61" i="36" s="1"/>
  <c r="B63" i="36" l="1"/>
  <c r="E62" i="36"/>
  <c r="H62" i="36" s="1"/>
  <c r="C62" i="36"/>
  <c r="D62" i="36" s="1"/>
  <c r="B64" i="36" l="1"/>
  <c r="C63" i="36"/>
  <c r="D63" i="36" s="1"/>
  <c r="E63" i="36"/>
  <c r="H63" i="36" s="1"/>
  <c r="B65" i="36" l="1"/>
  <c r="E64" i="36"/>
  <c r="C64" i="36"/>
  <c r="D64" i="36" s="1"/>
  <c r="H64" i="36"/>
  <c r="E65" i="36" l="1"/>
  <c r="H65" i="36" s="1"/>
  <c r="B66" i="36"/>
  <c r="C65" i="36"/>
  <c r="D65" i="36" s="1"/>
  <c r="B67" i="36" l="1"/>
  <c r="E66" i="36"/>
  <c r="H66" i="36" s="1"/>
  <c r="C66" i="36"/>
  <c r="D66" i="36" s="1"/>
  <c r="B68" i="36" l="1"/>
  <c r="C67" i="36"/>
  <c r="D67" i="36" s="1"/>
  <c r="E67" i="36"/>
  <c r="H67" i="36" s="1"/>
  <c r="B69" i="36" l="1"/>
  <c r="E68" i="36"/>
  <c r="C68" i="36"/>
  <c r="D68" i="36" s="1"/>
  <c r="H68" i="36"/>
  <c r="E69" i="36" l="1"/>
  <c r="H69" i="36" s="1"/>
  <c r="B70" i="36"/>
  <c r="C69" i="36"/>
  <c r="D69" i="36" s="1"/>
  <c r="B71" i="36" l="1"/>
  <c r="E70" i="36"/>
  <c r="H70" i="36" s="1"/>
  <c r="C70" i="36"/>
  <c r="D70" i="36" s="1"/>
  <c r="B72" i="36" l="1"/>
  <c r="C71" i="36"/>
  <c r="D71" i="36" s="1"/>
  <c r="E71" i="36"/>
  <c r="H71" i="36" s="1"/>
  <c r="B73" i="36" l="1"/>
  <c r="E72" i="36"/>
  <c r="C72" i="36"/>
  <c r="D72" i="36" s="1"/>
  <c r="H72" i="36"/>
  <c r="B74" i="36" l="1"/>
  <c r="E73" i="36"/>
  <c r="H73" i="36" s="1"/>
  <c r="C73" i="36"/>
  <c r="D73" i="36" s="1"/>
  <c r="B75" i="36" l="1"/>
  <c r="E74" i="36"/>
  <c r="C74" i="36"/>
  <c r="D74" i="36" s="1"/>
  <c r="H74" i="36"/>
  <c r="B76" i="36" l="1"/>
  <c r="E75" i="36"/>
  <c r="H75" i="36" s="1"/>
  <c r="C75" i="36"/>
  <c r="D75" i="36" s="1"/>
  <c r="B77" i="36" l="1"/>
  <c r="E76" i="36"/>
  <c r="C76" i="36"/>
  <c r="D76" i="36" s="1"/>
  <c r="H76" i="36"/>
  <c r="B78" i="36" l="1"/>
  <c r="E77" i="36"/>
  <c r="H77" i="36" s="1"/>
  <c r="C77" i="36"/>
  <c r="D77" i="36" s="1"/>
  <c r="B79" i="36" l="1"/>
  <c r="E78" i="36"/>
  <c r="C78" i="36"/>
  <c r="D78" i="36" s="1"/>
  <c r="H78" i="36"/>
  <c r="B80" i="36" l="1"/>
  <c r="E79" i="36"/>
  <c r="H79" i="36" s="1"/>
  <c r="C79" i="36"/>
  <c r="D79" i="36" s="1"/>
  <c r="B81" i="36" l="1"/>
  <c r="E80" i="36"/>
  <c r="C80" i="36"/>
  <c r="D80" i="36" s="1"/>
  <c r="H80" i="36"/>
  <c r="B82" i="36" l="1"/>
  <c r="E81" i="36"/>
  <c r="H81" i="36" s="1"/>
  <c r="C81" i="36"/>
  <c r="D81" i="36" s="1"/>
  <c r="B83" i="36" l="1"/>
  <c r="E82" i="36"/>
  <c r="C82" i="36"/>
  <c r="D82" i="36" s="1"/>
  <c r="H82" i="36"/>
  <c r="B84" i="36" l="1"/>
  <c r="E83" i="36"/>
  <c r="H83" i="36" s="1"/>
  <c r="C83" i="36"/>
  <c r="D83" i="36" s="1"/>
  <c r="B85" i="36" l="1"/>
  <c r="E84" i="36"/>
  <c r="C84" i="36"/>
  <c r="H84" i="36"/>
  <c r="D84" i="36"/>
  <c r="H85" i="36" l="1"/>
  <c r="D85" i="36"/>
  <c r="B86" i="36"/>
  <c r="E85" i="36"/>
  <c r="C85" i="36"/>
  <c r="B87" i="36" l="1"/>
  <c r="E86" i="36"/>
  <c r="C86" i="36"/>
  <c r="H86" i="36"/>
  <c r="D86" i="36"/>
  <c r="H87" i="36" l="1"/>
  <c r="D87" i="36"/>
  <c r="B88" i="36"/>
  <c r="E87" i="36"/>
  <c r="C87" i="36"/>
  <c r="B89" i="36" l="1"/>
  <c r="E88" i="36"/>
  <c r="C88" i="36"/>
  <c r="H88" i="36"/>
  <c r="D88" i="36"/>
  <c r="H89" i="36" l="1"/>
  <c r="D89" i="36"/>
  <c r="B90" i="36"/>
  <c r="E89" i="36"/>
  <c r="C89" i="36"/>
  <c r="B91" i="36" l="1"/>
  <c r="E90" i="36"/>
  <c r="C90" i="36"/>
  <c r="H90" i="36"/>
  <c r="D90" i="36"/>
  <c r="H91" i="36" l="1"/>
  <c r="D91" i="36"/>
  <c r="B92" i="36"/>
  <c r="E91" i="36"/>
  <c r="C91" i="36"/>
  <c r="B93" i="36" l="1"/>
  <c r="E92" i="36"/>
  <c r="C92" i="36"/>
  <c r="H92" i="36"/>
  <c r="D92" i="36"/>
  <c r="H93" i="36" l="1"/>
  <c r="D93" i="36"/>
  <c r="B94" i="36"/>
  <c r="E93" i="36"/>
  <c r="C93" i="36"/>
  <c r="B95" i="36" l="1"/>
  <c r="E94" i="36"/>
  <c r="C94" i="36"/>
  <c r="H94" i="36"/>
  <c r="D94" i="36"/>
  <c r="H95" i="36" l="1"/>
  <c r="D95" i="36"/>
  <c r="B96" i="36"/>
  <c r="E95" i="36"/>
  <c r="C95" i="36"/>
  <c r="B97" i="36" l="1"/>
  <c r="E96" i="36"/>
  <c r="C96" i="36"/>
  <c r="H96" i="36"/>
  <c r="D96" i="36"/>
  <c r="H97" i="36" l="1"/>
  <c r="D97" i="36"/>
  <c r="B98" i="36"/>
  <c r="E97" i="36"/>
  <c r="C97" i="36"/>
  <c r="B99" i="36" l="1"/>
  <c r="E98" i="36"/>
  <c r="C98" i="36"/>
  <c r="H98" i="36"/>
  <c r="D98" i="36"/>
  <c r="H99" i="36" l="1"/>
  <c r="D99" i="36"/>
  <c r="B100" i="36"/>
  <c r="E99" i="36"/>
  <c r="C99" i="36"/>
  <c r="B101" i="36" l="1"/>
  <c r="E100" i="36"/>
  <c r="C100" i="36"/>
  <c r="H100" i="36"/>
  <c r="D100" i="36"/>
  <c r="H101" i="36" l="1"/>
  <c r="D101" i="36"/>
  <c r="B102" i="36"/>
  <c r="E101" i="36"/>
  <c r="C101" i="36"/>
  <c r="B103" i="36" l="1"/>
  <c r="E102" i="36"/>
  <c r="C102" i="36"/>
  <c r="H102" i="36"/>
  <c r="D102" i="36"/>
  <c r="B104" i="36" l="1"/>
  <c r="H103" i="36"/>
  <c r="D103" i="36"/>
  <c r="E103" i="36"/>
  <c r="C103" i="36"/>
  <c r="H104" i="36" l="1"/>
  <c r="D104" i="36"/>
  <c r="E104" i="36"/>
  <c r="B105" i="36"/>
  <c r="C104" i="36"/>
  <c r="B106" i="36" l="1"/>
  <c r="E105" i="36"/>
  <c r="C105" i="36"/>
  <c r="D105" i="36"/>
  <c r="H105" i="36"/>
  <c r="H106" i="36" l="1"/>
  <c r="D106" i="36"/>
  <c r="B107" i="36"/>
  <c r="C106" i="36"/>
  <c r="E106" i="36"/>
  <c r="B108" i="36" l="1"/>
  <c r="E107" i="36"/>
  <c r="C107" i="36"/>
  <c r="H107" i="36"/>
  <c r="D107" i="36"/>
  <c r="H108" i="36" l="1"/>
  <c r="D108" i="36"/>
  <c r="E108" i="36"/>
  <c r="B109" i="36"/>
  <c r="C108" i="36"/>
  <c r="B110" i="36" l="1"/>
  <c r="E109" i="36"/>
  <c r="C109" i="36"/>
  <c r="D109" i="36"/>
  <c r="H109" i="36"/>
  <c r="H110" i="36" l="1"/>
  <c r="D110" i="36"/>
  <c r="B111" i="36"/>
  <c r="C110" i="36"/>
  <c r="E110" i="36"/>
  <c r="B112" i="36" l="1"/>
  <c r="E111" i="36"/>
  <c r="C111" i="36"/>
  <c r="H111" i="36"/>
  <c r="D111" i="36"/>
  <c r="H112" i="36" l="1"/>
  <c r="D112" i="36"/>
  <c r="E112" i="36"/>
  <c r="B113" i="36"/>
  <c r="C112" i="36"/>
  <c r="B114" i="36" l="1"/>
  <c r="E113" i="36"/>
  <c r="C113" i="36"/>
  <c r="D113" i="36"/>
  <c r="H113" i="36"/>
  <c r="H114" i="36" l="1"/>
  <c r="D114" i="36"/>
  <c r="B115" i="36"/>
  <c r="C114" i="36"/>
  <c r="E114" i="36"/>
  <c r="B116" i="36" l="1"/>
  <c r="E115" i="36"/>
  <c r="C115" i="36"/>
  <c r="H115" i="36"/>
  <c r="D115" i="36"/>
  <c r="H116" i="36" l="1"/>
  <c r="D116" i="36"/>
  <c r="E116" i="36"/>
  <c r="B117" i="36"/>
  <c r="C116" i="36"/>
  <c r="B118" i="36" l="1"/>
  <c r="E117" i="36"/>
  <c r="C117" i="36"/>
  <c r="D117" i="36"/>
  <c r="H117" i="36"/>
  <c r="B119" i="36" l="1"/>
  <c r="E118" i="36"/>
  <c r="H118" i="36"/>
  <c r="D118" i="36"/>
  <c r="C118" i="36"/>
  <c r="H119" i="36" l="1"/>
  <c r="D119" i="36"/>
  <c r="B120" i="36"/>
  <c r="E119" i="36"/>
  <c r="C119" i="36"/>
  <c r="B121" i="36" l="1"/>
  <c r="E120" i="36"/>
  <c r="C120" i="36"/>
  <c r="H120" i="36"/>
  <c r="D120" i="36"/>
  <c r="H121" i="36" l="1"/>
  <c r="D121" i="36"/>
  <c r="B122" i="36"/>
  <c r="E121" i="36"/>
  <c r="C121" i="36"/>
  <c r="B123" i="36" l="1"/>
  <c r="E122" i="36"/>
  <c r="C122" i="36"/>
  <c r="H122" i="36"/>
  <c r="D122" i="36"/>
  <c r="H123" i="36" l="1"/>
  <c r="D123" i="36"/>
  <c r="B124" i="36"/>
  <c r="E123" i="36"/>
  <c r="C123" i="36"/>
  <c r="B125" i="36" l="1"/>
  <c r="E124" i="36"/>
  <c r="C124" i="36"/>
  <c r="H124" i="36"/>
  <c r="D124" i="36"/>
  <c r="H125" i="36" l="1"/>
  <c r="D125" i="36"/>
  <c r="B126" i="36"/>
  <c r="E125" i="36"/>
  <c r="C125" i="36"/>
  <c r="B127" i="36" l="1"/>
  <c r="E126" i="36"/>
  <c r="C126" i="36"/>
  <c r="H126" i="36"/>
  <c r="D126" i="36"/>
  <c r="H127" i="36" l="1"/>
  <c r="D127" i="36"/>
  <c r="B128" i="36"/>
  <c r="E127" i="36"/>
  <c r="C127" i="36"/>
  <c r="B129" i="36" l="1"/>
  <c r="E128" i="36"/>
  <c r="C128" i="36"/>
  <c r="H128" i="36"/>
  <c r="H8" i="36" s="1"/>
  <c r="H9" i="36" s="1"/>
  <c r="B9" i="9" s="1"/>
  <c r="D128" i="36"/>
  <c r="H129" i="36" l="1"/>
  <c r="D129" i="36"/>
  <c r="B130" i="36"/>
  <c r="E129" i="36"/>
  <c r="C129" i="36"/>
  <c r="B131" i="36" l="1"/>
  <c r="E130" i="36"/>
  <c r="C130" i="36"/>
  <c r="H130" i="36"/>
  <c r="D130" i="36"/>
  <c r="H131" i="36" l="1"/>
  <c r="D131" i="36"/>
  <c r="B132" i="36"/>
  <c r="E131" i="36"/>
  <c r="C131" i="36"/>
  <c r="B133" i="36" l="1"/>
  <c r="E132" i="36"/>
  <c r="C132" i="36"/>
  <c r="H132" i="36"/>
  <c r="D132" i="36"/>
  <c r="H133" i="36" l="1"/>
  <c r="D133" i="36"/>
  <c r="B134" i="36"/>
  <c r="E133" i="36"/>
  <c r="C133" i="36"/>
  <c r="B135" i="36" l="1"/>
  <c r="E134" i="36"/>
  <c r="C134" i="36"/>
  <c r="H134" i="36"/>
  <c r="D134" i="36"/>
  <c r="H135" i="36" l="1"/>
  <c r="D135" i="36"/>
  <c r="B136" i="36"/>
  <c r="E135" i="36"/>
  <c r="C135" i="36"/>
  <c r="B137" i="36" l="1"/>
  <c r="E136" i="36"/>
  <c r="C136" i="36"/>
  <c r="H136" i="36"/>
  <c r="D136" i="36"/>
  <c r="H7" i="19"/>
  <c r="H137" i="36" l="1"/>
  <c r="D137" i="36"/>
  <c r="E137" i="36"/>
  <c r="C137" i="36"/>
  <c r="B5" i="37" l="1"/>
  <c r="B6" i="37" s="1"/>
  <c r="B7" i="37" s="1"/>
  <c r="B8" i="37" s="1"/>
  <c r="B9" i="37" s="1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H5" i="19" l="1"/>
  <c r="C14" i="29"/>
  <c r="C13" i="29"/>
  <c r="C12" i="29"/>
  <c r="C11" i="29"/>
  <c r="C10" i="29"/>
  <c r="C9" i="29"/>
  <c r="C8" i="29"/>
  <c r="C7" i="29"/>
  <c r="C6" i="29"/>
  <c r="C5" i="29"/>
  <c r="O14" i="3"/>
  <c r="O13" i="3"/>
  <c r="O12" i="3"/>
  <c r="O11" i="3"/>
  <c r="O10" i="3"/>
  <c r="O9" i="3"/>
  <c r="O8" i="3"/>
  <c r="O7" i="3"/>
  <c r="O6" i="3"/>
  <c r="O5" i="3"/>
  <c r="AG14" i="29"/>
  <c r="AG13" i="29"/>
  <c r="AG12" i="29"/>
  <c r="AG11" i="29"/>
  <c r="AG10" i="29"/>
  <c r="AG9" i="29"/>
  <c r="AG8" i="29"/>
  <c r="AG7" i="29"/>
  <c r="AG6" i="29"/>
  <c r="AG5" i="29"/>
  <c r="G2" i="29" l="1"/>
  <c r="E5" i="29"/>
  <c r="B6" i="29"/>
  <c r="B7" i="29" s="1"/>
  <c r="B8" i="29" s="1"/>
  <c r="B9" i="29" s="1"/>
  <c r="B10" i="29" s="1"/>
  <c r="B11" i="29" s="1"/>
  <c r="B12" i="29" s="1"/>
  <c r="B13" i="29" s="1"/>
  <c r="B14" i="29" s="1"/>
  <c r="E6" i="29"/>
  <c r="E7" i="29"/>
  <c r="E8" i="29"/>
  <c r="E9" i="29"/>
  <c r="E10" i="29"/>
  <c r="E11" i="29"/>
  <c r="E12" i="29"/>
  <c r="E13" i="29"/>
  <c r="E14" i="29"/>
  <c r="F14" i="29" l="1"/>
  <c r="AE14" i="29" s="1"/>
  <c r="G13" i="29"/>
  <c r="K13" i="29" s="1"/>
  <c r="F12" i="29"/>
  <c r="AE12" i="29" s="1"/>
  <c r="G11" i="29"/>
  <c r="F10" i="29"/>
  <c r="AE10" i="29" s="1"/>
  <c r="G9" i="29"/>
  <c r="F8" i="29"/>
  <c r="AE8" i="29" s="1"/>
  <c r="G7" i="29"/>
  <c r="F6" i="29"/>
  <c r="G5" i="29"/>
  <c r="G14" i="29"/>
  <c r="K14" i="29" s="1"/>
  <c r="F13" i="29"/>
  <c r="AE13" i="29" s="1"/>
  <c r="G12" i="29"/>
  <c r="K12" i="29" s="1"/>
  <c r="F11" i="29"/>
  <c r="AE11" i="29" s="1"/>
  <c r="G10" i="29"/>
  <c r="F9" i="29"/>
  <c r="AE9" i="29" s="1"/>
  <c r="G8" i="29"/>
  <c r="F7" i="29"/>
  <c r="G6" i="29"/>
  <c r="F5" i="29"/>
  <c r="AE5" i="29" s="1"/>
  <c r="U6" i="29" l="1"/>
  <c r="K5" i="29"/>
  <c r="AE6" i="29"/>
  <c r="V6" i="29"/>
  <c r="AE7" i="29"/>
  <c r="J5" i="29"/>
  <c r="J9" i="29"/>
  <c r="J11" i="29"/>
  <c r="J13" i="29"/>
  <c r="J6" i="29"/>
  <c r="J10" i="29"/>
  <c r="J12" i="29"/>
  <c r="J14" i="29"/>
  <c r="J7" i="29"/>
  <c r="K9" i="29"/>
  <c r="K11" i="29"/>
  <c r="K6" i="29"/>
  <c r="K8" i="29"/>
  <c r="K10" i="29"/>
  <c r="K7" i="29"/>
  <c r="J8" i="29"/>
  <c r="W6" i="29" l="1"/>
  <c r="E11" i="10" l="1"/>
  <c r="E9" i="10"/>
  <c r="E10" i="10"/>
  <c r="E5" i="10"/>
  <c r="E12" i="10"/>
  <c r="E13" i="10"/>
  <c r="E7" i="10"/>
  <c r="E8" i="10"/>
  <c r="E6" i="10"/>
  <c r="E14" i="10"/>
  <c r="E3" i="11"/>
  <c r="E2" i="11"/>
  <c r="F10" i="8" l="1"/>
  <c r="P14" i="29" l="1"/>
  <c r="P13" i="29"/>
  <c r="P12" i="29"/>
  <c r="P11" i="29"/>
  <c r="P10" i="29"/>
  <c r="P9" i="29"/>
  <c r="P8" i="29"/>
  <c r="P7" i="29"/>
  <c r="P6" i="29"/>
  <c r="P5" i="29"/>
  <c r="F4" i="8" l="1"/>
  <c r="V5" i="29" l="1"/>
  <c r="F6" i="8" l="1"/>
  <c r="F7" i="8"/>
  <c r="W5" i="29"/>
  <c r="V14" i="29"/>
  <c r="V12" i="29"/>
  <c r="V10" i="29"/>
  <c r="V8" i="29"/>
  <c r="V13" i="29"/>
  <c r="V11" i="29"/>
  <c r="V9" i="29"/>
  <c r="V7" i="29"/>
  <c r="U14" i="29"/>
  <c r="T14" i="29" s="1"/>
  <c r="U12" i="29"/>
  <c r="T12" i="29" s="1"/>
  <c r="U10" i="29"/>
  <c r="T10" i="29" s="1"/>
  <c r="U8" i="29"/>
  <c r="T8" i="29" s="1"/>
  <c r="U13" i="29"/>
  <c r="T13" i="29" s="1"/>
  <c r="U11" i="29"/>
  <c r="T11" i="29" s="1"/>
  <c r="U9" i="29"/>
  <c r="T9" i="29" s="1"/>
  <c r="U7" i="29"/>
  <c r="T7" i="29" s="1"/>
  <c r="U5" i="29"/>
  <c r="T5" i="29" s="1"/>
  <c r="X5" i="29" s="1"/>
  <c r="Z5" i="29" s="1"/>
  <c r="AA5" i="29" s="1"/>
  <c r="Y5" i="29" l="1"/>
  <c r="I5" i="29" s="1"/>
  <c r="H9" i="29"/>
  <c r="X9" i="29"/>
  <c r="Z9" i="29" s="1"/>
  <c r="AA9" i="29" s="1"/>
  <c r="H13" i="29"/>
  <c r="AC13" i="29" s="1"/>
  <c r="X13" i="29"/>
  <c r="Z13" i="29" s="1"/>
  <c r="AA13" i="29" s="1"/>
  <c r="H10" i="29"/>
  <c r="R10" i="29" s="1"/>
  <c r="L10" i="29" s="1"/>
  <c r="X10" i="29"/>
  <c r="Z10" i="29" s="1"/>
  <c r="AA10" i="29" s="1"/>
  <c r="H14" i="29"/>
  <c r="X14" i="29"/>
  <c r="Z14" i="29" s="1"/>
  <c r="AA14" i="29" s="1"/>
  <c r="H7" i="29"/>
  <c r="X7" i="29"/>
  <c r="Z7" i="29" s="1"/>
  <c r="AA7" i="29" s="1"/>
  <c r="H11" i="29"/>
  <c r="R11" i="29" s="1"/>
  <c r="X11" i="29"/>
  <c r="Z11" i="29" s="1"/>
  <c r="AA11" i="29" s="1"/>
  <c r="H8" i="29"/>
  <c r="X8" i="29"/>
  <c r="Z8" i="29" s="1"/>
  <c r="AA8" i="29" s="1"/>
  <c r="H12" i="29"/>
  <c r="R12" i="29" s="1"/>
  <c r="L12" i="29" s="1"/>
  <c r="X12" i="29"/>
  <c r="Z12" i="29" s="1"/>
  <c r="AA12" i="29" s="1"/>
  <c r="T6" i="29"/>
  <c r="H5" i="29"/>
  <c r="R5" i="29" s="1"/>
  <c r="F11" i="8"/>
  <c r="W7" i="29"/>
  <c r="W9" i="29"/>
  <c r="W11" i="29"/>
  <c r="W13" i="29"/>
  <c r="W8" i="29"/>
  <c r="W10" i="29"/>
  <c r="W12" i="29"/>
  <c r="W14" i="29"/>
  <c r="E4" i="12"/>
  <c r="E3" i="12"/>
  <c r="E2" i="12"/>
  <c r="E21" i="12"/>
  <c r="E20" i="12"/>
  <c r="E19" i="12"/>
  <c r="E18" i="12"/>
  <c r="E17" i="12"/>
  <c r="E16" i="12"/>
  <c r="E15" i="12"/>
  <c r="E14" i="12"/>
  <c r="E13" i="12"/>
  <c r="E12" i="12"/>
  <c r="G9" i="12"/>
  <c r="I19" i="12" s="1"/>
  <c r="E20" i="11"/>
  <c r="E19" i="11"/>
  <c r="E18" i="11"/>
  <c r="E17" i="11"/>
  <c r="E16" i="11"/>
  <c r="E15" i="11"/>
  <c r="E14" i="11"/>
  <c r="E13" i="11"/>
  <c r="E12" i="11"/>
  <c r="E11" i="11"/>
  <c r="G8" i="11"/>
  <c r="G2" i="10"/>
  <c r="R9" i="29" l="1"/>
  <c r="L9" i="29" s="1"/>
  <c r="R7" i="29"/>
  <c r="L7" i="29" s="1"/>
  <c r="R8" i="29"/>
  <c r="L8" i="29" s="1"/>
  <c r="AD7" i="29"/>
  <c r="H3" i="19"/>
  <c r="B13" i="19" s="1"/>
  <c r="AF5" i="29"/>
  <c r="M5" i="29" s="1"/>
  <c r="AC9" i="29"/>
  <c r="AB10" i="29"/>
  <c r="AB13" i="29"/>
  <c r="R14" i="29"/>
  <c r="L14" i="29" s="1"/>
  <c r="Y12" i="29"/>
  <c r="I12" i="29" s="1"/>
  <c r="Y13" i="29"/>
  <c r="I13" i="29" s="1"/>
  <c r="Y14" i="29"/>
  <c r="I14" i="29" s="1"/>
  <c r="Y11" i="29"/>
  <c r="I11" i="29" s="1"/>
  <c r="Y8" i="29"/>
  <c r="I8" i="29" s="1"/>
  <c r="Y9" i="29"/>
  <c r="I9" i="29" s="1"/>
  <c r="Y10" i="29"/>
  <c r="I10" i="29" s="1"/>
  <c r="Y7" i="29"/>
  <c r="I7" i="29" s="1"/>
  <c r="AC14" i="29"/>
  <c r="AD10" i="29"/>
  <c r="AD9" i="29"/>
  <c r="R13" i="29"/>
  <c r="L13" i="29" s="1"/>
  <c r="AB14" i="29"/>
  <c r="AD14" i="29"/>
  <c r="AC10" i="29"/>
  <c r="AD13" i="29"/>
  <c r="AB9" i="29"/>
  <c r="AD12" i="29"/>
  <c r="AD8" i="29"/>
  <c r="AC11" i="29"/>
  <c r="AC7" i="29"/>
  <c r="AC12" i="29"/>
  <c r="AB12" i="29"/>
  <c r="AC8" i="29"/>
  <c r="AB8" i="29"/>
  <c r="AB11" i="29"/>
  <c r="AD11" i="29"/>
  <c r="AB7" i="29"/>
  <c r="H6" i="29"/>
  <c r="R6" i="29" s="1"/>
  <c r="X6" i="29"/>
  <c r="L11" i="29"/>
  <c r="AC5" i="29"/>
  <c r="AD5" i="29"/>
  <c r="AB5" i="29"/>
  <c r="H14" i="12"/>
  <c r="H16" i="12"/>
  <c r="H18" i="12"/>
  <c r="H20" i="12"/>
  <c r="I13" i="12"/>
  <c r="I15" i="12"/>
  <c r="I17" i="12"/>
  <c r="I21" i="12"/>
  <c r="I11" i="10"/>
  <c r="H9" i="10"/>
  <c r="I10" i="10"/>
  <c r="H5" i="10"/>
  <c r="I12" i="10"/>
  <c r="H13" i="10"/>
  <c r="I7" i="10"/>
  <c r="H8" i="10"/>
  <c r="I6" i="10"/>
  <c r="H14" i="10"/>
  <c r="H11" i="10"/>
  <c r="I9" i="10"/>
  <c r="H10" i="10"/>
  <c r="I5" i="10"/>
  <c r="H12" i="10"/>
  <c r="I13" i="10"/>
  <c r="H7" i="10"/>
  <c r="I8" i="10"/>
  <c r="H6" i="10"/>
  <c r="I14" i="10"/>
  <c r="I12" i="12"/>
  <c r="I14" i="12"/>
  <c r="H12" i="12"/>
  <c r="H13" i="12"/>
  <c r="H15" i="12"/>
  <c r="H17" i="12"/>
  <c r="H19" i="12"/>
  <c r="H21" i="12"/>
  <c r="I16" i="12"/>
  <c r="I18" i="12"/>
  <c r="I20" i="12"/>
  <c r="H11" i="11"/>
  <c r="H12" i="11"/>
  <c r="H13" i="11"/>
  <c r="H14" i="11"/>
  <c r="H15" i="11"/>
  <c r="H16" i="11"/>
  <c r="H17" i="11"/>
  <c r="H18" i="11"/>
  <c r="H19" i="11"/>
  <c r="H20" i="11"/>
  <c r="I11" i="11"/>
  <c r="I12" i="11"/>
  <c r="I13" i="11"/>
  <c r="I14" i="11"/>
  <c r="I15" i="11"/>
  <c r="I16" i="11"/>
  <c r="I17" i="11"/>
  <c r="I18" i="11"/>
  <c r="I19" i="11"/>
  <c r="I20" i="11"/>
  <c r="H13" i="19" l="1"/>
  <c r="AB6" i="29"/>
  <c r="AF9" i="29"/>
  <c r="M9" i="29" s="1"/>
  <c r="N9" i="29" s="1"/>
  <c r="AF11" i="29"/>
  <c r="M11" i="29" s="1"/>
  <c r="N11" i="29" s="1"/>
  <c r="AF13" i="29"/>
  <c r="M13" i="29" s="1"/>
  <c r="N13" i="29" s="1"/>
  <c r="AF10" i="29"/>
  <c r="M10" i="29" s="1"/>
  <c r="N10" i="29" s="1"/>
  <c r="AF8" i="29"/>
  <c r="M8" i="29" s="1"/>
  <c r="N8" i="29" s="1"/>
  <c r="AF14" i="29"/>
  <c r="M14" i="29" s="1"/>
  <c r="N14" i="29" s="1"/>
  <c r="AF12" i="29"/>
  <c r="AF7" i="29"/>
  <c r="M7" i="29" s="1"/>
  <c r="F8" i="8"/>
  <c r="Z6" i="29"/>
  <c r="AA6" i="29" s="1"/>
  <c r="Y6" i="29" s="1"/>
  <c r="I6" i="29" s="1"/>
  <c r="AD6" i="29"/>
  <c r="AC6" i="29"/>
  <c r="L5" i="29"/>
  <c r="N5" i="29" s="1"/>
  <c r="E6" i="11"/>
  <c r="E1" i="11"/>
  <c r="E7" i="12"/>
  <c r="E6" i="12"/>
  <c r="E5" i="12"/>
  <c r="E5" i="11"/>
  <c r="E4" i="11"/>
  <c r="AF6" i="29" l="1"/>
  <c r="M6" i="29" s="1"/>
  <c r="F14" i="8" s="1"/>
  <c r="M12" i="29"/>
  <c r="N12" i="29" s="1"/>
  <c r="L6" i="29"/>
  <c r="F13" i="8" s="1"/>
  <c r="F9" i="8"/>
  <c r="N7" i="29"/>
  <c r="N6" i="29" l="1"/>
  <c r="G2" i="3"/>
  <c r="E5" i="3"/>
  <c r="E14" i="3"/>
  <c r="E13" i="3"/>
  <c r="E12" i="3"/>
  <c r="E11" i="3"/>
  <c r="E10" i="3"/>
  <c r="E9" i="3"/>
  <c r="E8" i="3"/>
  <c r="E7" i="3"/>
  <c r="E6" i="3"/>
  <c r="F15" i="8" l="1"/>
  <c r="H5" i="3"/>
  <c r="I5" i="3"/>
  <c r="K18" i="8"/>
  <c r="H14" i="3"/>
  <c r="H12" i="3"/>
  <c r="H10" i="3"/>
  <c r="H8" i="3"/>
  <c r="I14" i="3"/>
  <c r="H13" i="3"/>
  <c r="I12" i="3"/>
  <c r="H11" i="3"/>
  <c r="I10" i="3"/>
  <c r="H9" i="3"/>
  <c r="I8" i="3"/>
  <c r="H7" i="3"/>
  <c r="H4" i="19" l="1"/>
  <c r="K22" i="8"/>
  <c r="B23" i="8" s="1"/>
  <c r="H6" i="3"/>
  <c r="I6" i="3"/>
  <c r="I9" i="3"/>
  <c r="I7" i="3"/>
  <c r="I11" i="3"/>
  <c r="I13" i="3"/>
  <c r="E13" i="19" l="1"/>
  <c r="B14" i="19" l="1"/>
  <c r="C13" i="19"/>
  <c r="D13" i="19" s="1"/>
  <c r="E14" i="19" l="1"/>
  <c r="H14" i="19" s="1"/>
  <c r="B15" i="19"/>
  <c r="C14" i="19"/>
  <c r="D14" i="19" s="1"/>
  <c r="B16" i="19" l="1"/>
  <c r="E15" i="19"/>
  <c r="H15" i="19" s="1"/>
  <c r="C15" i="19"/>
  <c r="D15" i="19" s="1"/>
  <c r="B17" i="19" l="1"/>
  <c r="C16" i="19"/>
  <c r="D16" i="19" s="1"/>
  <c r="E16" i="19"/>
  <c r="H16" i="19" s="1"/>
  <c r="B18" i="19" l="1"/>
  <c r="E17" i="19"/>
  <c r="H17" i="19" s="1"/>
  <c r="C17" i="19"/>
  <c r="D17" i="19" s="1"/>
  <c r="E18" i="19" l="1"/>
  <c r="H18" i="19" s="1"/>
  <c r="B19" i="19"/>
  <c r="C18" i="19"/>
  <c r="D18" i="19" s="1"/>
  <c r="B20" i="19" l="1"/>
  <c r="E19" i="19"/>
  <c r="H19" i="19" s="1"/>
  <c r="C19" i="19"/>
  <c r="D19" i="19" s="1"/>
  <c r="B21" i="19" l="1"/>
  <c r="C20" i="19"/>
  <c r="D20" i="19" s="1"/>
  <c r="E20" i="19"/>
  <c r="H20" i="19" s="1"/>
  <c r="B22" i="19" l="1"/>
  <c r="E21" i="19"/>
  <c r="C21" i="19"/>
  <c r="D21" i="19" s="1"/>
  <c r="H21" i="19"/>
  <c r="E22" i="19" l="1"/>
  <c r="H22" i="19" s="1"/>
  <c r="B23" i="19"/>
  <c r="C22" i="19"/>
  <c r="D22" i="19" s="1"/>
  <c r="B24" i="19" l="1"/>
  <c r="E23" i="19"/>
  <c r="H23" i="19" s="1"/>
  <c r="C23" i="19"/>
  <c r="D23" i="19" s="1"/>
  <c r="B25" i="19" l="1"/>
  <c r="E24" i="19"/>
  <c r="H24" i="19" s="1"/>
  <c r="C24" i="19"/>
  <c r="D24" i="19" s="1"/>
  <c r="B26" i="19" l="1"/>
  <c r="E25" i="19"/>
  <c r="C25" i="19"/>
  <c r="D25" i="19" s="1"/>
  <c r="H25" i="19"/>
  <c r="B27" i="19" l="1"/>
  <c r="E26" i="19"/>
  <c r="H26" i="19" s="1"/>
  <c r="C26" i="19"/>
  <c r="D26" i="19" s="1"/>
  <c r="B28" i="19" l="1"/>
  <c r="E27" i="19"/>
  <c r="H27" i="19" s="1"/>
  <c r="C27" i="19"/>
  <c r="D27" i="19" s="1"/>
  <c r="B29" i="19" l="1"/>
  <c r="E28" i="19"/>
  <c r="H28" i="19" s="1"/>
  <c r="C28" i="19"/>
  <c r="D28" i="19" s="1"/>
  <c r="B30" i="19" l="1"/>
  <c r="E29" i="19"/>
  <c r="H29" i="19" s="1"/>
  <c r="C29" i="19"/>
  <c r="D29" i="19" s="1"/>
  <c r="B31" i="19" l="1"/>
  <c r="E30" i="19"/>
  <c r="H30" i="19" s="1"/>
  <c r="C30" i="19"/>
  <c r="D30" i="19" s="1"/>
  <c r="B32" i="19" l="1"/>
  <c r="E31" i="19"/>
  <c r="C31" i="19"/>
  <c r="D31" i="19" s="1"/>
  <c r="H31" i="19"/>
  <c r="B33" i="19" l="1"/>
  <c r="E32" i="19"/>
  <c r="H32" i="19" s="1"/>
  <c r="C32" i="19"/>
  <c r="D32" i="19" s="1"/>
  <c r="B34" i="19" l="1"/>
  <c r="E33" i="19"/>
  <c r="H33" i="19" s="1"/>
  <c r="C33" i="19"/>
  <c r="D33" i="19" s="1"/>
  <c r="B35" i="19" l="1"/>
  <c r="E34" i="19"/>
  <c r="H34" i="19" s="1"/>
  <c r="C34" i="19"/>
  <c r="D34" i="19" s="1"/>
  <c r="B36" i="19" l="1"/>
  <c r="E35" i="19"/>
  <c r="H35" i="19" s="1"/>
  <c r="C35" i="19"/>
  <c r="D35" i="19" s="1"/>
  <c r="B37" i="19" l="1"/>
  <c r="E36" i="19"/>
  <c r="H36" i="19" s="1"/>
  <c r="C36" i="19"/>
  <c r="D36" i="19" s="1"/>
  <c r="B38" i="19" l="1"/>
  <c r="E37" i="19"/>
  <c r="H37" i="19" s="1"/>
  <c r="C37" i="19"/>
  <c r="D37" i="19" s="1"/>
  <c r="B39" i="19" l="1"/>
  <c r="E38" i="19"/>
  <c r="H38" i="19" s="1"/>
  <c r="C38" i="19"/>
  <c r="D38" i="19" s="1"/>
  <c r="B40" i="19" l="1"/>
  <c r="E39" i="19"/>
  <c r="H39" i="19" s="1"/>
  <c r="C39" i="19"/>
  <c r="D39" i="19" s="1"/>
  <c r="B41" i="19" l="1"/>
  <c r="E40" i="19"/>
  <c r="H40" i="19" s="1"/>
  <c r="C40" i="19"/>
  <c r="D40" i="19" s="1"/>
  <c r="B42" i="19" l="1"/>
  <c r="E41" i="19"/>
  <c r="C41" i="19"/>
  <c r="D41" i="19" s="1"/>
  <c r="H41" i="19"/>
  <c r="B43" i="19" l="1"/>
  <c r="E42" i="19"/>
  <c r="H42" i="19" s="1"/>
  <c r="C42" i="19"/>
  <c r="D42" i="19" s="1"/>
  <c r="B44" i="19" l="1"/>
  <c r="E43" i="19"/>
  <c r="C43" i="19"/>
  <c r="D43" i="19" s="1"/>
  <c r="H43" i="19"/>
  <c r="B45" i="19" l="1"/>
  <c r="E44" i="19"/>
  <c r="H44" i="19" s="1"/>
  <c r="C44" i="19"/>
  <c r="D44" i="19" s="1"/>
  <c r="B46" i="19" l="1"/>
  <c r="E45" i="19"/>
  <c r="H45" i="19" s="1"/>
  <c r="C45" i="19"/>
  <c r="D45" i="19" s="1"/>
  <c r="B47" i="19" l="1"/>
  <c r="E46" i="19"/>
  <c r="H46" i="19" s="1"/>
  <c r="C46" i="19"/>
  <c r="D46" i="19" s="1"/>
  <c r="B48" i="19" l="1"/>
  <c r="E47" i="19"/>
  <c r="C47" i="19"/>
  <c r="D47" i="19" s="1"/>
  <c r="H47" i="19"/>
  <c r="B49" i="19" l="1"/>
  <c r="E48" i="19"/>
  <c r="H48" i="19" s="1"/>
  <c r="C48" i="19"/>
  <c r="D48" i="19" s="1"/>
  <c r="B50" i="19" l="1"/>
  <c r="E49" i="19"/>
  <c r="H49" i="19" s="1"/>
  <c r="C49" i="19"/>
  <c r="D49" i="19" s="1"/>
  <c r="B51" i="19" l="1"/>
  <c r="E50" i="19"/>
  <c r="H50" i="19" s="1"/>
  <c r="C50" i="19"/>
  <c r="D50" i="19" s="1"/>
  <c r="B52" i="19" l="1"/>
  <c r="E51" i="19"/>
  <c r="C51" i="19"/>
  <c r="D51" i="19" s="1"/>
  <c r="H51" i="19"/>
  <c r="B53" i="19" l="1"/>
  <c r="E52" i="19"/>
  <c r="H52" i="19" s="1"/>
  <c r="C52" i="19"/>
  <c r="D52" i="19" s="1"/>
  <c r="B54" i="19" l="1"/>
  <c r="E53" i="19"/>
  <c r="H53" i="19" s="1"/>
  <c r="C53" i="19"/>
  <c r="D53" i="19" s="1"/>
  <c r="B55" i="19" l="1"/>
  <c r="C54" i="19"/>
  <c r="D54" i="19" s="1"/>
  <c r="E54" i="19"/>
  <c r="H54" i="19" s="1"/>
  <c r="B56" i="19" l="1"/>
  <c r="E55" i="19"/>
  <c r="H55" i="19" s="1"/>
  <c r="C55" i="19"/>
  <c r="D55" i="19" s="1"/>
  <c r="E56" i="19" l="1"/>
  <c r="H56" i="19" s="1"/>
  <c r="B57" i="19"/>
  <c r="C56" i="19"/>
  <c r="D56" i="19" s="1"/>
  <c r="B58" i="19" l="1"/>
  <c r="E57" i="19"/>
  <c r="H57" i="19" s="1"/>
  <c r="C57" i="19"/>
  <c r="D57" i="19" s="1"/>
  <c r="B59" i="19" l="1"/>
  <c r="C58" i="19"/>
  <c r="D58" i="19" s="1"/>
  <c r="E58" i="19"/>
  <c r="H58" i="19" s="1"/>
  <c r="B60" i="19" l="1"/>
  <c r="E59" i="19"/>
  <c r="C59" i="19"/>
  <c r="D59" i="19" s="1"/>
  <c r="H59" i="19"/>
  <c r="E60" i="19" l="1"/>
  <c r="H60" i="19" s="1"/>
  <c r="B61" i="19"/>
  <c r="C60" i="19"/>
  <c r="D60" i="19" s="1"/>
  <c r="B62" i="19" l="1"/>
  <c r="E61" i="19"/>
  <c r="H61" i="19" s="1"/>
  <c r="C61" i="19"/>
  <c r="D61" i="19" s="1"/>
  <c r="B63" i="19" l="1"/>
  <c r="C62" i="19"/>
  <c r="D62" i="19" s="1"/>
  <c r="E62" i="19"/>
  <c r="H62" i="19" s="1"/>
  <c r="B64" i="19" l="1"/>
  <c r="E63" i="19"/>
  <c r="H63" i="19" s="1"/>
  <c r="C63" i="19"/>
  <c r="D63" i="19" s="1"/>
  <c r="E64" i="19" l="1"/>
  <c r="H64" i="19" s="1"/>
  <c r="B65" i="19"/>
  <c r="C64" i="19"/>
  <c r="D64" i="19" s="1"/>
  <c r="B66" i="19" l="1"/>
  <c r="E65" i="19"/>
  <c r="H65" i="19" s="1"/>
  <c r="C65" i="19"/>
  <c r="D65" i="19" s="1"/>
  <c r="B67" i="19" l="1"/>
  <c r="C66" i="19"/>
  <c r="D66" i="19" s="1"/>
  <c r="E66" i="19"/>
  <c r="H66" i="19" s="1"/>
  <c r="B68" i="19" l="1"/>
  <c r="E67" i="19"/>
  <c r="H67" i="19" s="1"/>
  <c r="C67" i="19"/>
  <c r="D67" i="19" s="1"/>
  <c r="E68" i="19" l="1"/>
  <c r="H68" i="19" s="1"/>
  <c r="B69" i="19"/>
  <c r="C68" i="19"/>
  <c r="D68" i="19" s="1"/>
  <c r="B70" i="19" l="1"/>
  <c r="E69" i="19"/>
  <c r="H69" i="19" s="1"/>
  <c r="C69" i="19"/>
  <c r="D69" i="19" s="1"/>
  <c r="B71" i="19" l="1"/>
  <c r="C70" i="19"/>
  <c r="D70" i="19" s="1"/>
  <c r="E70" i="19"/>
  <c r="H70" i="19" s="1"/>
  <c r="B72" i="19" l="1"/>
  <c r="E71" i="19"/>
  <c r="C71" i="19"/>
  <c r="D71" i="19" s="1"/>
  <c r="H71" i="19"/>
  <c r="E72" i="19" l="1"/>
  <c r="H72" i="19" s="1"/>
  <c r="B73" i="19"/>
  <c r="C72" i="19"/>
  <c r="D72" i="19" s="1"/>
  <c r="B74" i="19" l="1"/>
  <c r="E73" i="19"/>
  <c r="H73" i="19" s="1"/>
  <c r="C73" i="19"/>
  <c r="D73" i="19" s="1"/>
  <c r="B75" i="19" l="1"/>
  <c r="C74" i="19"/>
  <c r="D74" i="19" s="1"/>
  <c r="E74" i="19"/>
  <c r="H74" i="19" s="1"/>
  <c r="B76" i="19" l="1"/>
  <c r="E75" i="19"/>
  <c r="H75" i="19" s="1"/>
  <c r="C75" i="19"/>
  <c r="D75" i="19" s="1"/>
  <c r="E76" i="19" l="1"/>
  <c r="H76" i="19" s="1"/>
  <c r="B77" i="19"/>
  <c r="C76" i="19"/>
  <c r="D76" i="19" s="1"/>
  <c r="B78" i="19" l="1"/>
  <c r="E77" i="19"/>
  <c r="C77" i="19"/>
  <c r="D77" i="19" s="1"/>
  <c r="H77" i="19"/>
  <c r="B79" i="19" l="1"/>
  <c r="C78" i="19"/>
  <c r="D78" i="19" s="1"/>
  <c r="E78" i="19"/>
  <c r="H78" i="19" s="1"/>
  <c r="B80" i="19" l="1"/>
  <c r="E79" i="19"/>
  <c r="C79" i="19"/>
  <c r="D79" i="19" s="1"/>
  <c r="H79" i="19"/>
  <c r="E80" i="19" l="1"/>
  <c r="H80" i="19" s="1"/>
  <c r="B81" i="19"/>
  <c r="C80" i="19"/>
  <c r="D80" i="19" s="1"/>
  <c r="B82" i="19" l="1"/>
  <c r="E81" i="19"/>
  <c r="C81" i="19"/>
  <c r="D81" i="19" s="1"/>
  <c r="H81" i="19"/>
  <c r="B83" i="19" l="1"/>
  <c r="C82" i="19"/>
  <c r="D82" i="19" s="1"/>
  <c r="E82" i="19"/>
  <c r="H82" i="19" s="1"/>
  <c r="B84" i="19" l="1"/>
  <c r="E83" i="19"/>
  <c r="H83" i="19" s="1"/>
  <c r="C83" i="19"/>
  <c r="D83" i="19" s="1"/>
  <c r="E84" i="19" l="1"/>
  <c r="H84" i="19" s="1"/>
  <c r="B85" i="19"/>
  <c r="C84" i="19"/>
  <c r="D84" i="19" s="1"/>
  <c r="B86" i="19" l="1"/>
  <c r="E85" i="19"/>
  <c r="H85" i="19" s="1"/>
  <c r="C85" i="19"/>
  <c r="D85" i="19" s="1"/>
  <c r="B87" i="19" l="1"/>
  <c r="C86" i="19"/>
  <c r="D86" i="19" s="1"/>
  <c r="E86" i="19"/>
  <c r="H86" i="19" s="1"/>
  <c r="B88" i="19" l="1"/>
  <c r="E87" i="19"/>
  <c r="C87" i="19"/>
  <c r="D87" i="19" s="1"/>
  <c r="H87" i="19"/>
  <c r="E88" i="19" l="1"/>
  <c r="H88" i="19" s="1"/>
  <c r="B89" i="19"/>
  <c r="C88" i="19"/>
  <c r="D88" i="19" s="1"/>
  <c r="B90" i="19" l="1"/>
  <c r="E89" i="19"/>
  <c r="C89" i="19"/>
  <c r="D89" i="19" s="1"/>
  <c r="H89" i="19"/>
  <c r="B91" i="19" l="1"/>
  <c r="C90" i="19"/>
  <c r="D90" i="19" s="1"/>
  <c r="E90" i="19"/>
  <c r="H90" i="19" s="1"/>
  <c r="B92" i="19" l="1"/>
  <c r="E91" i="19"/>
  <c r="C91" i="19"/>
  <c r="D91" i="19" s="1"/>
  <c r="H91" i="19"/>
  <c r="E92" i="19" l="1"/>
  <c r="H92" i="19" s="1"/>
  <c r="B93" i="19"/>
  <c r="C92" i="19"/>
  <c r="D92" i="19" s="1"/>
  <c r="B94" i="19" l="1"/>
  <c r="E93" i="19"/>
  <c r="H93" i="19" s="1"/>
  <c r="C93" i="19"/>
  <c r="D93" i="19" s="1"/>
  <c r="B95" i="19" l="1"/>
  <c r="C94" i="19"/>
  <c r="D94" i="19" s="1"/>
  <c r="E94" i="19"/>
  <c r="H94" i="19" s="1"/>
  <c r="B96" i="19" l="1"/>
  <c r="E95" i="19"/>
  <c r="C95" i="19"/>
  <c r="D95" i="19" s="1"/>
  <c r="H95" i="19"/>
  <c r="E96" i="19" l="1"/>
  <c r="H96" i="19" s="1"/>
  <c r="B97" i="19"/>
  <c r="C96" i="19"/>
  <c r="D96" i="19" s="1"/>
  <c r="B98" i="19" l="1"/>
  <c r="E97" i="19"/>
  <c r="C97" i="19"/>
  <c r="D97" i="19" s="1"/>
  <c r="H97" i="19"/>
  <c r="B99" i="19" l="1"/>
  <c r="C98" i="19"/>
  <c r="D98" i="19" s="1"/>
  <c r="E98" i="19"/>
  <c r="H98" i="19" s="1"/>
  <c r="B100" i="19" l="1"/>
  <c r="E99" i="19"/>
  <c r="C99" i="19"/>
  <c r="D99" i="19" s="1"/>
  <c r="H99" i="19"/>
  <c r="E100" i="19" l="1"/>
  <c r="H100" i="19" s="1"/>
  <c r="B101" i="19"/>
  <c r="C100" i="19"/>
  <c r="D100" i="19" s="1"/>
  <c r="B102" i="19" l="1"/>
  <c r="E101" i="19"/>
  <c r="H101" i="19" s="1"/>
  <c r="C101" i="19"/>
  <c r="D101" i="19" s="1"/>
  <c r="B103" i="19" l="1"/>
  <c r="C102" i="19"/>
  <c r="D102" i="19" s="1"/>
  <c r="E102" i="19"/>
  <c r="H102" i="19" s="1"/>
  <c r="B104" i="19" l="1"/>
  <c r="E103" i="19"/>
  <c r="C103" i="19"/>
  <c r="D103" i="19" s="1"/>
  <c r="H103" i="19"/>
  <c r="B105" i="19" l="1"/>
  <c r="E104" i="19"/>
  <c r="C104" i="19"/>
  <c r="D104" i="19" s="1"/>
  <c r="H104" i="19"/>
  <c r="E105" i="19" l="1"/>
  <c r="H105" i="19" s="1"/>
  <c r="C105" i="19"/>
  <c r="D105" i="19" s="1"/>
  <c r="B106" i="19"/>
  <c r="B107" i="19" l="1"/>
  <c r="E106" i="19"/>
  <c r="H106" i="19" s="1"/>
  <c r="C106" i="19"/>
  <c r="D106" i="19" s="1"/>
  <c r="B108" i="19" l="1"/>
  <c r="C107" i="19"/>
  <c r="D107" i="19" s="1"/>
  <c r="E107" i="19"/>
  <c r="H107" i="19" s="1"/>
  <c r="B109" i="19" l="1"/>
  <c r="E108" i="19"/>
  <c r="C108" i="19"/>
  <c r="D108" i="19" s="1"/>
  <c r="H108" i="19"/>
  <c r="E109" i="19" l="1"/>
  <c r="H109" i="19" s="1"/>
  <c r="B110" i="19"/>
  <c r="C109" i="19"/>
  <c r="D109" i="19" s="1"/>
  <c r="B111" i="19" l="1"/>
  <c r="E110" i="19"/>
  <c r="C110" i="19"/>
  <c r="D110" i="19" s="1"/>
  <c r="H110" i="19"/>
  <c r="B112" i="19" l="1"/>
  <c r="C111" i="19"/>
  <c r="D111" i="19" s="1"/>
  <c r="E111" i="19"/>
  <c r="H111" i="19" s="1"/>
  <c r="B113" i="19" l="1"/>
  <c r="E112" i="19"/>
  <c r="H112" i="19" s="1"/>
  <c r="C112" i="19"/>
  <c r="D112" i="19" s="1"/>
  <c r="E113" i="19" l="1"/>
  <c r="H113" i="19" s="1"/>
  <c r="C113" i="19"/>
  <c r="D113" i="19" s="1"/>
  <c r="B114" i="19"/>
  <c r="B115" i="19" l="1"/>
  <c r="E114" i="19"/>
  <c r="H114" i="19" s="1"/>
  <c r="C114" i="19"/>
  <c r="D114" i="19" s="1"/>
  <c r="B116" i="19" l="1"/>
  <c r="C115" i="19"/>
  <c r="D115" i="19" s="1"/>
  <c r="E115" i="19"/>
  <c r="H115" i="19" s="1"/>
  <c r="B117" i="19" l="1"/>
  <c r="E116" i="19"/>
  <c r="C116" i="19"/>
  <c r="D116" i="19" s="1"/>
  <c r="H116" i="19"/>
  <c r="E117" i="19" l="1"/>
  <c r="H117" i="19" s="1"/>
  <c r="B118" i="19"/>
  <c r="C117" i="19"/>
  <c r="D117" i="19" s="1"/>
  <c r="B119" i="19" l="1"/>
  <c r="E118" i="19"/>
  <c r="C118" i="19"/>
  <c r="D118" i="19" s="1"/>
  <c r="H118" i="19"/>
  <c r="B120" i="19" l="1"/>
  <c r="C119" i="19"/>
  <c r="D119" i="19" s="1"/>
  <c r="E119" i="19"/>
  <c r="H119" i="19" s="1"/>
  <c r="B121" i="19" l="1"/>
  <c r="E120" i="19"/>
  <c r="C120" i="19"/>
  <c r="D120" i="19" s="1"/>
  <c r="H120" i="19"/>
  <c r="E121" i="19" l="1"/>
  <c r="H121" i="19" s="1"/>
  <c r="C121" i="19"/>
  <c r="D121" i="19" s="1"/>
  <c r="B122" i="19"/>
  <c r="B123" i="19" l="1"/>
  <c r="E122" i="19"/>
  <c r="H122" i="19" s="1"/>
  <c r="C122" i="19"/>
  <c r="D122" i="19" s="1"/>
  <c r="B124" i="19" l="1"/>
  <c r="C123" i="19"/>
  <c r="D123" i="19" s="1"/>
  <c r="E123" i="19"/>
  <c r="H123" i="19" s="1"/>
  <c r="B125" i="19" l="1"/>
  <c r="E124" i="19"/>
  <c r="C124" i="19"/>
  <c r="D124" i="19" s="1"/>
  <c r="H124" i="19"/>
  <c r="E125" i="19" l="1"/>
  <c r="H125" i="19" s="1"/>
  <c r="B126" i="19"/>
  <c r="C125" i="19"/>
  <c r="D125" i="19" s="1"/>
  <c r="B127" i="19" l="1"/>
  <c r="E126" i="19"/>
  <c r="C126" i="19"/>
  <c r="D126" i="19" s="1"/>
  <c r="H126" i="19"/>
  <c r="B128" i="19" l="1"/>
  <c r="C127" i="19"/>
  <c r="D127" i="19" s="1"/>
  <c r="E127" i="19"/>
  <c r="H127" i="19" s="1"/>
  <c r="B129" i="19" l="1"/>
  <c r="E128" i="19"/>
  <c r="C128" i="19"/>
  <c r="H128" i="19"/>
  <c r="H8" i="19" s="1"/>
  <c r="H9" i="19" s="1"/>
  <c r="D128" i="19"/>
  <c r="O5" i="29" l="1"/>
  <c r="Q5" i="29" s="1"/>
  <c r="O14" i="29"/>
  <c r="Q14" i="29" s="1"/>
  <c r="O12" i="29"/>
  <c r="Q12" i="29" s="1"/>
  <c r="O10" i="29"/>
  <c r="Q10" i="29" s="1"/>
  <c r="O8" i="29"/>
  <c r="Q8" i="29" s="1"/>
  <c r="O6" i="29"/>
  <c r="O13" i="29"/>
  <c r="Q13" i="29" s="1"/>
  <c r="O11" i="29"/>
  <c r="Q11" i="29" s="1"/>
  <c r="O9" i="29"/>
  <c r="Q9" i="29" s="1"/>
  <c r="O7" i="29"/>
  <c r="Q7" i="29" s="1"/>
  <c r="E129" i="19"/>
  <c r="H129" i="19" s="1"/>
  <c r="C129" i="19"/>
  <c r="D129" i="19" s="1"/>
  <c r="B130" i="19"/>
  <c r="Q6" i="29" l="1"/>
  <c r="F12" i="8" s="1"/>
  <c r="F19" i="8"/>
  <c r="F16" i="8"/>
  <c r="B131" i="19"/>
  <c r="E130" i="19"/>
  <c r="H130" i="19" s="1"/>
  <c r="C130" i="19"/>
  <c r="D130" i="19"/>
  <c r="F20" i="8" l="1"/>
  <c r="B132" i="19"/>
  <c r="C131" i="19"/>
  <c r="D131" i="19" s="1"/>
  <c r="E131" i="19"/>
  <c r="H131" i="19" s="1"/>
  <c r="B133" i="19" l="1"/>
  <c r="E132" i="19"/>
  <c r="C132" i="19"/>
  <c r="H132" i="19"/>
  <c r="D132" i="19"/>
  <c r="E133" i="19" l="1"/>
  <c r="H133" i="19" s="1"/>
  <c r="B134" i="19"/>
  <c r="C133" i="19"/>
  <c r="D133" i="19" s="1"/>
  <c r="B135" i="19" l="1"/>
  <c r="E134" i="19"/>
  <c r="C134" i="19"/>
  <c r="D134" i="19"/>
  <c r="H134" i="19"/>
  <c r="H135" i="19" l="1"/>
  <c r="D135" i="19"/>
  <c r="B136" i="19"/>
  <c r="C135" i="19"/>
  <c r="E135" i="19"/>
  <c r="B137" i="19" l="1"/>
  <c r="E136" i="19"/>
  <c r="C136" i="19"/>
  <c r="H136" i="19"/>
  <c r="D136" i="19"/>
  <c r="H137" i="19" l="1"/>
  <c r="D137" i="19"/>
  <c r="E137" i="19"/>
  <c r="C137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6D8D5-0310-4AF5-AFE4-3994515DDF2D}" keepAlive="1" name="Query - Arackal_Sophia_Final recovered" description="Connection to the 'Arackal_Sophia_Final recovered' query in the workbook." type="5" refreshedVersion="6" background="1">
    <dbPr connection="Provider=Microsoft.Mashup.OleDb.1;Data Source=$Workbook$;Location=Arackal_Sophia_Final recovered;Extended Properties=&quot;&quot;" command="SELECT * FROM [Arackal_Sophia_Final recovered]"/>
  </connection>
</connections>
</file>

<file path=xl/sharedStrings.xml><?xml version="1.0" encoding="utf-8"?>
<sst xmlns="http://schemas.openxmlformats.org/spreadsheetml/2006/main" count="255" uniqueCount="117">
  <si>
    <t>ID</t>
  </si>
  <si>
    <t>Name</t>
  </si>
  <si>
    <t>Date of Birth</t>
  </si>
  <si>
    <t>Date of Hire</t>
  </si>
  <si>
    <t xml:space="preserve">Age </t>
  </si>
  <si>
    <t>A</t>
  </si>
  <si>
    <t>Valuation Date</t>
  </si>
  <si>
    <t>Salary</t>
  </si>
  <si>
    <t>PY Salary</t>
  </si>
  <si>
    <t>Age</t>
  </si>
  <si>
    <t>Service</t>
  </si>
  <si>
    <t>Date of Participation</t>
  </si>
  <si>
    <t>Klendshoj,Roxanne</t>
  </si>
  <si>
    <t>Woolley,Jeanne M</t>
  </si>
  <si>
    <t>Bartho,Jerome Fion</t>
  </si>
  <si>
    <t>Benson,Scott G</t>
  </si>
  <si>
    <t>Aho,Diane</t>
  </si>
  <si>
    <t>Larson,DeeAnn Smith</t>
  </si>
  <si>
    <t>Nelson,Susann</t>
  </si>
  <si>
    <t>Asche,Tracy A</t>
  </si>
  <si>
    <t>Carlson,Robert Lee</t>
  </si>
  <si>
    <t>Donovan,Richard</t>
  </si>
  <si>
    <t>Mortality Table</t>
  </si>
  <si>
    <t>qx</t>
  </si>
  <si>
    <t>Life Annuity</t>
  </si>
  <si>
    <t>Current Age</t>
  </si>
  <si>
    <t>Interest Rate</t>
  </si>
  <si>
    <t>Annuity Factor</t>
  </si>
  <si>
    <t>Annuity Value</t>
  </si>
  <si>
    <t>Excel Calculations</t>
  </si>
  <si>
    <t>px</t>
  </si>
  <si>
    <t>tpx</t>
  </si>
  <si>
    <t>Discount value</t>
  </si>
  <si>
    <t>Named Range</t>
  </si>
  <si>
    <t>QxTable</t>
  </si>
  <si>
    <t>Contract Year</t>
  </si>
  <si>
    <t>Annual Benefit</t>
  </si>
  <si>
    <t>Year</t>
  </si>
  <si>
    <t>Rate</t>
  </si>
  <si>
    <t>The rate in a year is used to calculate annuity value for the contracts made in that year.</t>
  </si>
  <si>
    <t>For example, if a plan is terminated in 2019 and the annuity contract is purchased the same year, then the rate of 4.00% is used to determine the annuity rate</t>
  </si>
  <si>
    <t>Current Year Info</t>
  </si>
  <si>
    <t>maximum age</t>
  </si>
  <si>
    <t>minimum age</t>
  </si>
  <si>
    <t>average service</t>
  </si>
  <si>
    <r>
      <rPr>
        <b/>
        <u/>
        <sz val="11"/>
        <color theme="1"/>
        <rFont val="Arial"/>
        <family val="2"/>
      </rPr>
      <t>Make</t>
    </r>
    <r>
      <rPr>
        <b/>
        <sz val="11"/>
        <color theme="1"/>
        <rFont val="Arial"/>
        <family val="2"/>
      </rPr>
      <t> sure you have the following summary information for the filter</t>
    </r>
  </si>
  <si>
    <t>the number of records</t>
  </si>
  <si>
    <t>Total Salary</t>
  </si>
  <si>
    <t xml:space="preserve">Average salary </t>
  </si>
  <si>
    <t>&gt;50</t>
  </si>
  <si>
    <t>&lt;40</t>
  </si>
  <si>
    <t>&gt;80000</t>
  </si>
  <si>
    <r>
      <t xml:space="preserve">Show only records with Age &gt; 50 </t>
    </r>
    <r>
      <rPr>
        <b/>
        <u/>
        <sz val="11"/>
        <rFont val="Arial"/>
        <family val="2"/>
      </rPr>
      <t>or</t>
    </r>
    <r>
      <rPr>
        <b/>
        <sz val="11"/>
        <rFont val="Arial"/>
        <family val="2"/>
      </rPr>
      <t xml:space="preserve"> Age &lt; 40, and Current Year Salary &gt; 80,000 using “Advanced Filter” approach.</t>
    </r>
  </si>
  <si>
    <t>Grand Total</t>
  </si>
  <si>
    <t>55-59</t>
  </si>
  <si>
    <t>60-64</t>
  </si>
  <si>
    <t>0-5</t>
  </si>
  <si>
    <t>6-10</t>
  </si>
  <si>
    <t>11-20</t>
  </si>
  <si>
    <t>20+</t>
  </si>
  <si>
    <t>Benefit Statement</t>
  </si>
  <si>
    <t>Age last birthday</t>
  </si>
  <si>
    <t>Service since the participation date</t>
  </si>
  <si>
    <t>Early Retirement factor</t>
  </si>
  <si>
    <t>Early Retirement Benefit</t>
  </si>
  <si>
    <t>Retirement Goal</t>
  </si>
  <si>
    <t>Achieved Goal Percentage</t>
  </si>
  <si>
    <t>45-49</t>
  </si>
  <si>
    <t>Status</t>
  </si>
  <si>
    <t>Sum of Total salary +PY salary</t>
  </si>
  <si>
    <t>Age by Service Table wih Total Salaries plus Total PY Salaries</t>
  </si>
  <si>
    <t>Date of Normal Retirement</t>
  </si>
  <si>
    <t>The first day of the month on or following one year anniversary of the employment</t>
  </si>
  <si>
    <t>The first day of the month on or following the 65th birthday and 5th anniversary of the employment</t>
  </si>
  <si>
    <t>The latter of the 65th birthday and 5th anniversary of the employment</t>
  </si>
  <si>
    <t>One Year Anniversary of the employment</t>
  </si>
  <si>
    <t>Age Last Birthday</t>
  </si>
  <si>
    <t>Annuity purchase value</t>
  </si>
  <si>
    <t>Month</t>
  </si>
  <si>
    <t>Day</t>
  </si>
  <si>
    <t>Input Information</t>
  </si>
  <si>
    <t>Age Increment</t>
  </si>
  <si>
    <t>Starting Interest Rate</t>
  </si>
  <si>
    <t>interest Increment</t>
  </si>
  <si>
    <t>Life Only Annuities of $1,000 per year</t>
  </si>
  <si>
    <t>Interest</t>
  </si>
  <si>
    <t>Count of Name</t>
  </si>
  <si>
    <t>The 8th day of the May</t>
  </si>
  <si>
    <t>Annual or Accrued Benefit</t>
  </si>
  <si>
    <t>DOB modified</t>
  </si>
  <si>
    <t>Age at Normal retirement</t>
  </si>
  <si>
    <t>1/1 or 7/1 of the year on or following one year anniversary of the employment</t>
  </si>
  <si>
    <t xml:space="preserve">The first day of the month on or following the 65th birthday and 5th anniversary of the participation date. The participation date is 1/1 or 7/1 of the year on or following one year anniversary of the employment </t>
  </si>
  <si>
    <t>5th anniversary</t>
  </si>
  <si>
    <t>The first day of the month on or following 5 year anniversary of the employment</t>
  </si>
  <si>
    <t>Klendshoj</t>
  </si>
  <si>
    <t>Roxanne</t>
  </si>
  <si>
    <t>Woolley</t>
  </si>
  <si>
    <t>Bartho</t>
  </si>
  <si>
    <t>Benson</t>
  </si>
  <si>
    <t>Aho</t>
  </si>
  <si>
    <t>Diane</t>
  </si>
  <si>
    <t>Larson</t>
  </si>
  <si>
    <t>Nelson</t>
  </si>
  <si>
    <t>Susann</t>
  </si>
  <si>
    <t>Asche</t>
  </si>
  <si>
    <t>Carlson</t>
  </si>
  <si>
    <t>Donovan</t>
  </si>
  <si>
    <t>Richard</t>
  </si>
  <si>
    <t>Jeanne</t>
  </si>
  <si>
    <t>Jerome</t>
  </si>
  <si>
    <t>Scott</t>
  </si>
  <si>
    <t>DeeAnn</t>
  </si>
  <si>
    <t>Tracy</t>
  </si>
  <si>
    <t>Robert</t>
  </si>
  <si>
    <t>Employee Database</t>
  </si>
  <si>
    <t>Identification Number ---input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</si>
</sst>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000"/>
    <numFmt numFmtId="167" formatCode="0.0"/>
    <numFmt numFmtId="168" formatCode="0.0%"/>
    <numFmt numFmtId="169" formatCode="\ 0;\-0;\-;@"/>
    <numFmt numFmtId="170" formatCode="_(* #,##0.0000_);_(* \(#,##0.0000\);_(* &quot;-&quot;????_);_(@_)"/>
    <numFmt numFmtId="171" formatCode="#,##0.0000"/>
    <numFmt numFmtId="172" formatCode="#,##0.0000_);\(#,##0.0000\)"/>
    <numFmt numFmtId="173" formatCode="0.00000"/>
    <numFmt numFmtId="174" formatCode="0.00000000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D3B45"/>
      <name val="Arial"/>
      <family val="2"/>
    </font>
    <font>
      <b/>
      <sz val="12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sz val="14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FF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333333"/>
      <name val="Inherit"/>
    </font>
    <font>
      <sz val="11"/>
      <color rgb="FF000000"/>
      <name val="Inherit"/>
    </font>
    <font>
      <i/>
      <sz val="12"/>
      <color rgb="FFDD0055"/>
      <name val="&amp;quot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</cellStyleXfs>
  <cellXfs count="256">
    <xf numFmtId="0" fontId="0" fillId="0" borderId="0" xfId="0"/>
    <xf numFmtId="0" fontId="1" fillId="0" borderId="0" xfId="1"/>
    <xf numFmtId="0" fontId="3" fillId="2" borderId="2" xfId="1" applyFont="1" applyFill="1" applyBorder="1" applyAlignment="1">
      <alignment horizontal="center" wrapText="1"/>
    </xf>
    <xf numFmtId="0" fontId="4" fillId="0" borderId="0" xfId="1" applyFont="1"/>
    <xf numFmtId="14" fontId="4" fillId="4" borderId="0" xfId="1" applyNumberFormat="1" applyFont="1" applyFill="1"/>
    <xf numFmtId="0" fontId="3" fillId="2" borderId="4" xfId="1" applyFont="1" applyFill="1" applyBorder="1" applyAlignment="1">
      <alignment horizontal="center"/>
    </xf>
    <xf numFmtId="0" fontId="1" fillId="3" borderId="0" xfId="1" applyFill="1" applyAlignment="1">
      <alignment horizontal="center"/>
    </xf>
    <xf numFmtId="164" fontId="0" fillId="3" borderId="0" xfId="2" applyNumberFormat="1" applyFont="1" applyFill="1"/>
    <xf numFmtId="14" fontId="1" fillId="3" borderId="0" xfId="1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center"/>
    </xf>
    <xf numFmtId="166" fontId="0" fillId="0" borderId="0" xfId="0" applyNumberFormat="1"/>
    <xf numFmtId="0" fontId="7" fillId="0" borderId="8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0" borderId="9" xfId="0" applyBorder="1" applyAlignment="1">
      <alignment horizontal="center"/>
    </xf>
    <xf numFmtId="0" fontId="0" fillId="6" borderId="10" xfId="0" applyFill="1" applyBorder="1"/>
    <xf numFmtId="167" fontId="0" fillId="6" borderId="11" xfId="0" applyNumberFormat="1" applyFill="1" applyBorder="1" applyAlignment="1">
      <alignment horizontal="right"/>
    </xf>
    <xf numFmtId="0" fontId="5" fillId="0" borderId="8" xfId="0" applyFont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10" fontId="12" fillId="0" borderId="8" xfId="4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0" xfId="1" applyFill="1"/>
    <xf numFmtId="164" fontId="0" fillId="0" borderId="0" xfId="2" applyNumberFormat="1" applyFont="1" applyFill="1"/>
    <xf numFmtId="14" fontId="1" fillId="0" borderId="0" xfId="1" applyNumberFormat="1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10" fontId="5" fillId="8" borderId="2" xfId="4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0" fontId="5" fillId="8" borderId="4" xfId="4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3" borderId="0" xfId="2" applyNumberFormat="1" applyFont="1" applyFill="1" applyAlignment="1">
      <alignment horizontal="center" vertical="center"/>
    </xf>
    <xf numFmtId="0" fontId="1" fillId="0" borderId="0" xfId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wrapText="1"/>
    </xf>
    <xf numFmtId="0" fontId="15" fillId="8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/>
    <xf numFmtId="1" fontId="0" fillId="0" borderId="0" xfId="0" applyNumberFormat="1" applyFill="1"/>
    <xf numFmtId="164" fontId="0" fillId="0" borderId="0" xfId="3" applyNumberFormat="1" applyFont="1" applyFill="1"/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164" fontId="15" fillId="9" borderId="8" xfId="3" applyNumberFormat="1" applyFont="1" applyFill="1" applyBorder="1" applyAlignment="1">
      <alignment horizontal="right"/>
    </xf>
    <xf numFmtId="0" fontId="15" fillId="9" borderId="8" xfId="0" applyFont="1" applyFill="1" applyBorder="1" applyAlignment="1">
      <alignment horizontal="right"/>
    </xf>
    <xf numFmtId="166" fontId="7" fillId="9" borderId="8" xfId="0" applyNumberFormat="1" applyFont="1" applyFill="1" applyBorder="1" applyAlignment="1">
      <alignment horizontal="right"/>
    </xf>
    <xf numFmtId="166" fontId="15" fillId="9" borderId="8" xfId="0" applyNumberFormat="1" applyFont="1" applyFill="1" applyBorder="1" applyAlignment="1">
      <alignment horizontal="right"/>
    </xf>
    <xf numFmtId="0" fontId="15" fillId="8" borderId="8" xfId="0" applyFont="1" applyFill="1" applyBorder="1" applyAlignment="1">
      <alignment horizontal="right" wrapText="1"/>
    </xf>
    <xf numFmtId="166" fontId="17" fillId="0" borderId="8" xfId="0" applyNumberFormat="1" applyFont="1" applyBorder="1" applyAlignment="1">
      <alignment horizontal="center"/>
    </xf>
    <xf numFmtId="43" fontId="17" fillId="0" borderId="8" xfId="3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1" applyFill="1" applyAlignment="1">
      <alignment horizontal="center"/>
    </xf>
    <xf numFmtId="164" fontId="0" fillId="0" borderId="0" xfId="2" applyNumberFormat="1" applyFont="1" applyFill="1" applyAlignment="1">
      <alignment horizontal="center" vertical="center"/>
    </xf>
    <xf numFmtId="164" fontId="0" fillId="0" borderId="0" xfId="2" applyNumberFormat="1" applyFont="1" applyFill="1" applyAlignment="1">
      <alignment horizontal="left" vertical="center" indent="2"/>
    </xf>
    <xf numFmtId="41" fontId="0" fillId="0" borderId="0" xfId="2" applyNumberFormat="1" applyFont="1" applyFill="1" applyAlignment="1">
      <alignment horizontal="left" vertical="center" indent="2"/>
    </xf>
    <xf numFmtId="0" fontId="1" fillId="0" borderId="0" xfId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10" fontId="0" fillId="0" borderId="0" xfId="0" applyNumberFormat="1" applyFill="1" applyAlignment="1">
      <alignment horizontal="right"/>
    </xf>
    <xf numFmtId="10" fontId="5" fillId="6" borderId="0" xfId="0" applyNumberFormat="1" applyFont="1" applyFill="1" applyAlignment="1">
      <alignment horizontal="right"/>
    </xf>
    <xf numFmtId="0" fontId="6" fillId="0" borderId="0" xfId="0" applyFont="1"/>
    <xf numFmtId="0" fontId="0" fillId="7" borderId="0" xfId="0" applyFill="1"/>
    <xf numFmtId="0" fontId="21" fillId="0" borderId="0" xfId="0" applyFont="1"/>
    <xf numFmtId="0" fontId="21" fillId="0" borderId="0" xfId="0" applyFont="1" applyBorder="1"/>
    <xf numFmtId="0" fontId="21" fillId="0" borderId="0" xfId="0" applyFont="1" applyAlignment="1"/>
    <xf numFmtId="14" fontId="1" fillId="0" borderId="0" xfId="1" applyNumberFormat="1"/>
    <xf numFmtId="14" fontId="1" fillId="7" borderId="0" xfId="1" applyNumberFormat="1" applyFill="1" applyAlignment="1">
      <alignment horizontal="center" vertical="center" wrapText="1"/>
    </xf>
    <xf numFmtId="14" fontId="1" fillId="7" borderId="0" xfId="1" applyNumberFormat="1" applyFill="1"/>
    <xf numFmtId="0" fontId="1" fillId="0" borderId="0" xfId="1" applyAlignment="1">
      <alignment horizontal="right"/>
    </xf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14" fontId="10" fillId="0" borderId="0" xfId="0" applyNumberFormat="1" applyFont="1" applyBorder="1"/>
    <xf numFmtId="14" fontId="5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164" fontId="1" fillId="0" borderId="0" xfId="1" applyNumberFormat="1"/>
    <xf numFmtId="170" fontId="1" fillId="0" borderId="0" xfId="1" applyNumberFormat="1" applyFill="1" applyBorder="1" applyAlignment="1">
      <alignment horizontal="center"/>
    </xf>
    <xf numFmtId="0" fontId="0" fillId="14" borderId="0" xfId="0" applyFill="1"/>
    <xf numFmtId="0" fontId="5" fillId="14" borderId="8" xfId="0" applyFont="1" applyFill="1" applyBorder="1"/>
    <xf numFmtId="10" fontId="0" fillId="0" borderId="0" xfId="4" applyNumberFormat="1" applyFont="1"/>
    <xf numFmtId="168" fontId="5" fillId="14" borderId="0" xfId="4" applyNumberFormat="1" applyFont="1" applyFill="1"/>
    <xf numFmtId="3" fontId="15" fillId="9" borderId="8" xfId="0" applyNumberFormat="1" applyFont="1" applyFill="1" applyBorder="1" applyAlignment="1">
      <alignment horizontal="center"/>
    </xf>
    <xf numFmtId="3" fontId="15" fillId="9" borderId="8" xfId="3" applyNumberFormat="1" applyFont="1" applyFill="1" applyBorder="1" applyAlignment="1">
      <alignment horizontal="center"/>
    </xf>
    <xf numFmtId="171" fontId="7" fillId="9" borderId="8" xfId="0" applyNumberFormat="1" applyFont="1" applyFill="1" applyBorder="1" applyAlignment="1">
      <alignment horizontal="center"/>
    </xf>
    <xf numFmtId="171" fontId="15" fillId="9" borderId="8" xfId="0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 vertical="center"/>
    </xf>
    <xf numFmtId="164" fontId="7" fillId="3" borderId="0" xfId="2" applyNumberFormat="1" applyFont="1" applyFill="1"/>
    <xf numFmtId="0" fontId="23" fillId="3" borderId="0" xfId="1" applyFont="1" applyFill="1" applyAlignment="1">
      <alignment horizontal="center" vertical="center"/>
    </xf>
    <xf numFmtId="14" fontId="23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  <xf numFmtId="0" fontId="2" fillId="3" borderId="0" xfId="1" applyFont="1" applyFill="1"/>
    <xf numFmtId="164" fontId="23" fillId="3" borderId="0" xfId="2" applyNumberFormat="1" applyFont="1" applyFill="1" applyAlignment="1">
      <alignment horizontal="center" vertical="center"/>
    </xf>
    <xf numFmtId="1" fontId="4" fillId="2" borderId="4" xfId="1" applyNumberFormat="1" applyFont="1" applyFill="1" applyBorder="1" applyAlignment="1">
      <alignment horizontal="center" vertical="center"/>
    </xf>
    <xf numFmtId="1" fontId="7" fillId="3" borderId="0" xfId="2" applyNumberFormat="1" applyFont="1" applyFill="1" applyAlignment="1">
      <alignment horizontal="center" vertical="center"/>
    </xf>
    <xf numFmtId="37" fontId="23" fillId="3" borderId="0" xfId="2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11" borderId="8" xfId="0" applyFont="1" applyFill="1" applyBorder="1"/>
    <xf numFmtId="0" fontId="23" fillId="11" borderId="7" xfId="0" applyFont="1" applyFill="1" applyBorder="1"/>
    <xf numFmtId="0" fontId="23" fillId="11" borderId="7" xfId="0" applyFont="1" applyFill="1" applyBorder="1" applyAlignment="1">
      <alignment horizontal="center" vertical="center"/>
    </xf>
    <xf numFmtId="0" fontId="23" fillId="11" borderId="6" xfId="0" applyFont="1" applyFill="1" applyBorder="1" applyAlignment="1">
      <alignment horizontal="center" vertical="center"/>
    </xf>
    <xf numFmtId="0" fontId="23" fillId="0" borderId="12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0" xfId="0" applyFont="1" applyBorder="1"/>
    <xf numFmtId="0" fontId="5" fillId="6" borderId="8" xfId="0" applyFont="1" applyFill="1" applyBorder="1" applyAlignment="1">
      <alignment horizontal="center" vertical="center"/>
    </xf>
    <xf numFmtId="0" fontId="7" fillId="0" borderId="0" xfId="0" applyFont="1"/>
    <xf numFmtId="0" fontId="24" fillId="0" borderId="18" xfId="0" applyFont="1" applyBorder="1"/>
    <xf numFmtId="0" fontId="24" fillId="10" borderId="13" xfId="0" applyFont="1" applyFill="1" applyBorder="1"/>
    <xf numFmtId="0" fontId="24" fillId="10" borderId="12" xfId="0" applyFont="1" applyFill="1" applyBorder="1"/>
    <xf numFmtId="0" fontId="24" fillId="10" borderId="14" xfId="0" applyFont="1" applyFill="1" applyBorder="1"/>
    <xf numFmtId="164" fontId="25" fillId="0" borderId="25" xfId="0" applyNumberFormat="1" applyFont="1" applyBorder="1" applyAlignment="1">
      <alignment horizontal="center" vertical="center"/>
    </xf>
    <xf numFmtId="0" fontId="24" fillId="0" borderId="22" xfId="0" applyNumberFormat="1" applyFont="1" applyBorder="1" applyAlignment="1">
      <alignment horizontal="center" vertical="center"/>
    </xf>
    <xf numFmtId="0" fontId="24" fillId="0" borderId="23" xfId="0" applyNumberFormat="1" applyFont="1" applyBorder="1" applyAlignment="1">
      <alignment horizontal="center" vertical="center"/>
    </xf>
    <xf numFmtId="0" fontId="25" fillId="0" borderId="12" xfId="0" applyNumberFormat="1" applyFont="1" applyBorder="1" applyAlignment="1">
      <alignment horizontal="center" vertical="center"/>
    </xf>
    <xf numFmtId="0" fontId="24" fillId="0" borderId="17" xfId="0" applyFont="1" applyBorder="1"/>
    <xf numFmtId="0" fontId="24" fillId="0" borderId="0" xfId="0" applyFont="1" applyBorder="1"/>
    <xf numFmtId="0" fontId="24" fillId="0" borderId="23" xfId="0" applyFont="1" applyBorder="1"/>
    <xf numFmtId="1" fontId="23" fillId="3" borderId="0" xfId="2" applyNumberFormat="1" applyFont="1" applyFill="1" applyAlignment="1">
      <alignment horizontal="center" vertical="center"/>
    </xf>
    <xf numFmtId="0" fontId="24" fillId="0" borderId="5" xfId="0" applyFont="1" applyBorder="1"/>
    <xf numFmtId="164" fontId="24" fillId="0" borderId="17" xfId="0" applyNumberFormat="1" applyFont="1" applyBorder="1" applyAlignment="1">
      <alignment horizontal="center" vertical="center"/>
    </xf>
    <xf numFmtId="164" fontId="24" fillId="0" borderId="18" xfId="0" applyNumberFormat="1" applyFont="1" applyBorder="1" applyAlignment="1">
      <alignment horizontal="center" vertical="center"/>
    </xf>
    <xf numFmtId="0" fontId="24" fillId="0" borderId="26" xfId="0" applyNumberFormat="1" applyFont="1" applyBorder="1" applyAlignment="1">
      <alignment horizontal="center" vertical="center"/>
    </xf>
    <xf numFmtId="0" fontId="24" fillId="0" borderId="27" xfId="0" applyNumberFormat="1" applyFont="1" applyBorder="1" applyAlignment="1">
      <alignment horizontal="center" vertical="center"/>
    </xf>
    <xf numFmtId="164" fontId="24" fillId="0" borderId="28" xfId="0" applyNumberFormat="1" applyFont="1" applyBorder="1" applyAlignment="1">
      <alignment horizontal="center" vertical="center"/>
    </xf>
    <xf numFmtId="164" fontId="24" fillId="0" borderId="29" xfId="0" applyNumberFormat="1" applyFont="1" applyBorder="1" applyAlignment="1">
      <alignment horizontal="center" vertical="center"/>
    </xf>
    <xf numFmtId="0" fontId="24" fillId="0" borderId="13" xfId="0" applyFont="1" applyBorder="1"/>
    <xf numFmtId="164" fontId="25" fillId="0" borderId="13" xfId="0" applyNumberFormat="1" applyFont="1" applyBorder="1" applyAlignment="1">
      <alignment horizontal="center" vertical="center"/>
    </xf>
    <xf numFmtId="0" fontId="25" fillId="0" borderId="30" xfId="0" applyNumberFormat="1" applyFont="1" applyBorder="1" applyAlignment="1">
      <alignment horizontal="center" vertical="center"/>
    </xf>
    <xf numFmtId="1" fontId="5" fillId="6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0" fontId="5" fillId="8" borderId="4" xfId="0" applyNumberFormat="1" applyFont="1" applyFill="1" applyBorder="1" applyAlignment="1">
      <alignment horizontal="center" vertical="center"/>
    </xf>
    <xf numFmtId="3" fontId="6" fillId="0" borderId="20" xfId="0" applyNumberFormat="1" applyFont="1" applyFill="1" applyBorder="1" applyAlignment="1">
      <alignment horizontal="center"/>
    </xf>
    <xf numFmtId="4" fontId="6" fillId="0" borderId="20" xfId="0" applyNumberFormat="1" applyFont="1" applyFill="1" applyBorder="1" applyAlignment="1">
      <alignment horizontal="center"/>
    </xf>
    <xf numFmtId="0" fontId="21" fillId="0" borderId="0" xfId="0" applyFont="1" applyFill="1" applyBorder="1"/>
    <xf numFmtId="3" fontId="6" fillId="0" borderId="0" xfId="0" applyNumberFormat="1" applyFont="1" applyFill="1" applyBorder="1" applyAlignment="1">
      <alignment horizontal="center"/>
    </xf>
    <xf numFmtId="10" fontId="21" fillId="0" borderId="0" xfId="0" applyNumberFormat="1" applyFont="1" applyFill="1" applyBorder="1" applyAlignment="1">
      <alignment horizontal="center"/>
    </xf>
    <xf numFmtId="0" fontId="0" fillId="13" borderId="17" xfId="0" applyFill="1" applyBorder="1"/>
    <xf numFmtId="0" fontId="21" fillId="13" borderId="18" xfId="0" applyFont="1" applyFill="1" applyBorder="1"/>
    <xf numFmtId="0" fontId="21" fillId="13" borderId="19" xfId="0" applyFont="1" applyFill="1" applyBorder="1"/>
    <xf numFmtId="0" fontId="0" fillId="13" borderId="20" xfId="0" applyFill="1" applyBorder="1"/>
    <xf numFmtId="0" fontId="21" fillId="13" borderId="21" xfId="0" applyFont="1" applyFill="1" applyBorder="1" applyAlignment="1">
      <alignment horizontal="center" wrapText="1"/>
    </xf>
    <xf numFmtId="0" fontId="21" fillId="13" borderId="21" xfId="0" applyFont="1" applyFill="1" applyBorder="1"/>
    <xf numFmtId="0" fontId="0" fillId="13" borderId="22" xfId="0" applyFill="1" applyBorder="1"/>
    <xf numFmtId="0" fontId="6" fillId="13" borderId="23" xfId="0" applyFont="1" applyFill="1" applyBorder="1"/>
    <xf numFmtId="0" fontId="21" fillId="13" borderId="23" xfId="0" applyFont="1" applyFill="1" applyBorder="1"/>
    <xf numFmtId="0" fontId="21" fillId="13" borderId="24" xfId="0" applyFont="1" applyFill="1" applyBorder="1"/>
    <xf numFmtId="0" fontId="20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21" fillId="0" borderId="0" xfId="0" applyFont="1" applyFill="1" applyBorder="1" applyAlignment="1"/>
    <xf numFmtId="14" fontId="6" fillId="0" borderId="20" xfId="0" applyNumberFormat="1" applyFont="1" applyFill="1" applyBorder="1" applyAlignment="1">
      <alignment horizontal="center"/>
    </xf>
    <xf numFmtId="1" fontId="6" fillId="0" borderId="20" xfId="0" applyNumberFormat="1" applyFont="1" applyFill="1" applyBorder="1" applyAlignment="1">
      <alignment horizontal="center"/>
    </xf>
    <xf numFmtId="166" fontId="6" fillId="0" borderId="20" xfId="0" applyNumberFormat="1" applyFont="1" applyFill="1" applyBorder="1" applyAlignment="1">
      <alignment horizontal="center"/>
    </xf>
    <xf numFmtId="14" fontId="7" fillId="7" borderId="0" xfId="0" applyNumberFormat="1" applyFont="1" applyFill="1"/>
    <xf numFmtId="14" fontId="7" fillId="0" borderId="0" xfId="0" applyNumberFormat="1" applyFont="1"/>
    <xf numFmtId="0" fontId="7" fillId="0" borderId="0" xfId="0" applyFont="1" applyAlignment="1">
      <alignment wrapText="1"/>
    </xf>
    <xf numFmtId="0" fontId="21" fillId="7" borderId="0" xfId="0" applyFont="1" applyFill="1" applyBorder="1"/>
    <xf numFmtId="0" fontId="6" fillId="0" borderId="8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right"/>
    </xf>
    <xf numFmtId="14" fontId="6" fillId="0" borderId="8" xfId="0" applyNumberFormat="1" applyFont="1" applyFill="1" applyBorder="1" applyAlignment="1">
      <alignment horizontal="right"/>
    </xf>
    <xf numFmtId="1" fontId="6" fillId="0" borderId="8" xfId="0" applyNumberFormat="1" applyFont="1" applyFill="1" applyBorder="1" applyAlignment="1">
      <alignment horizontal="right"/>
    </xf>
    <xf numFmtId="166" fontId="6" fillId="0" borderId="8" xfId="0" applyNumberFormat="1" applyFont="1" applyFill="1" applyBorder="1" applyAlignment="1">
      <alignment horizontal="right"/>
    </xf>
    <xf numFmtId="3" fontId="6" fillId="0" borderId="8" xfId="0" applyNumberFormat="1" applyFont="1" applyFill="1" applyBorder="1" applyAlignment="1">
      <alignment horizontal="right"/>
    </xf>
    <xf numFmtId="4" fontId="6" fillId="0" borderId="8" xfId="0" applyNumberFormat="1" applyFont="1" applyFill="1" applyBorder="1" applyAlignment="1">
      <alignment horizontal="right"/>
    </xf>
    <xf numFmtId="39" fontId="0" fillId="3" borderId="0" xfId="2" applyNumberFormat="1" applyFont="1" applyFill="1" applyAlignment="1">
      <alignment horizontal="center" vertical="center"/>
    </xf>
    <xf numFmtId="43" fontId="1" fillId="0" borderId="0" xfId="1" applyNumberFormat="1" applyBorder="1"/>
    <xf numFmtId="1" fontId="0" fillId="3" borderId="0" xfId="2" applyNumberFormat="1" applyFont="1" applyFill="1" applyAlignment="1">
      <alignment horizontal="center" vertical="center"/>
    </xf>
    <xf numFmtId="172" fontId="5" fillId="3" borderId="0" xfId="2" applyNumberFormat="1" applyFont="1" applyFill="1" applyAlignment="1">
      <alignment horizontal="left" vertical="center" indent="2"/>
    </xf>
    <xf numFmtId="166" fontId="1" fillId="0" borderId="0" xfId="1" applyNumberFormat="1" applyFill="1" applyBorder="1" applyAlignment="1">
      <alignment horizontal="center"/>
    </xf>
    <xf numFmtId="4" fontId="5" fillId="6" borderId="0" xfId="0" applyNumberFormat="1" applyFont="1" applyFill="1" applyAlignment="1">
      <alignment horizontal="right"/>
    </xf>
    <xf numFmtId="43" fontId="1" fillId="0" borderId="0" xfId="1" applyNumberFormat="1" applyFill="1" applyBorder="1" applyAlignment="1">
      <alignment horizontal="center"/>
    </xf>
    <xf numFmtId="43" fontId="1" fillId="0" borderId="0" xfId="1" applyNumberFormat="1" applyBorder="1" applyAlignment="1">
      <alignment horizontal="center" vertical="center"/>
    </xf>
    <xf numFmtId="172" fontId="1" fillId="0" borderId="0" xfId="1" applyNumberForma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" fillId="0" borderId="0" xfId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 indent="2"/>
    </xf>
    <xf numFmtId="169" fontId="21" fillId="0" borderId="0" xfId="0" applyNumberFormat="1" applyFont="1" applyFill="1" applyBorder="1" applyAlignment="1">
      <alignment horizontal="right"/>
    </xf>
    <xf numFmtId="166" fontId="21" fillId="0" borderId="0" xfId="0" applyNumberFormat="1" applyFont="1" applyFill="1" applyBorder="1"/>
    <xf numFmtId="0" fontId="0" fillId="0" borderId="0" xfId="0" applyFill="1" applyBorder="1" applyAlignment="1">
      <alignment horizontal="left" indent="2"/>
    </xf>
    <xf numFmtId="173" fontId="21" fillId="0" borderId="0" xfId="0" applyNumberFormat="1" applyFont="1" applyFill="1" applyBorder="1"/>
    <xf numFmtId="14" fontId="1" fillId="0" borderId="0" xfId="1" applyNumberFormat="1" applyBorder="1"/>
    <xf numFmtId="1" fontId="1" fillId="0" borderId="0" xfId="1" applyNumberFormat="1" applyBorder="1" applyAlignment="1">
      <alignment horizontal="center" vertical="center"/>
    </xf>
    <xf numFmtId="173" fontId="21" fillId="0" borderId="0" xfId="0" applyNumberFormat="1" applyFont="1"/>
    <xf numFmtId="10" fontId="6" fillId="0" borderId="8" xfId="0" applyNumberFormat="1" applyFont="1" applyFill="1" applyBorder="1" applyAlignment="1">
      <alignment horizontal="right"/>
    </xf>
    <xf numFmtId="10" fontId="0" fillId="3" borderId="0" xfId="2" applyNumberFormat="1" applyFont="1" applyFill="1" applyAlignment="1">
      <alignment horizontal="center" vertical="center"/>
    </xf>
    <xf numFmtId="0" fontId="30" fillId="0" borderId="0" xfId="0" applyFont="1"/>
    <xf numFmtId="3" fontId="5" fillId="0" borderId="0" xfId="0" applyNumberFormat="1" applyFont="1" applyFill="1" applyAlignment="1">
      <alignment horizontal="right"/>
    </xf>
    <xf numFmtId="10" fontId="5" fillId="14" borderId="8" xfId="0" applyNumberFormat="1" applyFont="1" applyFill="1" applyBorder="1"/>
    <xf numFmtId="10" fontId="22" fillId="0" borderId="2" xfId="4" applyNumberFormat="1" applyFont="1" applyBorder="1"/>
    <xf numFmtId="10" fontId="22" fillId="0" borderId="3" xfId="4" applyNumberFormat="1" applyFont="1" applyBorder="1"/>
    <xf numFmtId="0" fontId="22" fillId="0" borderId="9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2" fontId="0" fillId="0" borderId="4" xfId="0" applyNumberFormat="1" applyBorder="1"/>
    <xf numFmtId="2" fontId="0" fillId="0" borderId="10" xfId="0" applyNumberFormat="1" applyBorder="1"/>
    <xf numFmtId="2" fontId="0" fillId="0" borderId="32" xfId="0" applyNumberFormat="1" applyBorder="1"/>
    <xf numFmtId="2" fontId="0" fillId="0" borderId="11" xfId="0" applyNumberFormat="1" applyBorder="1"/>
    <xf numFmtId="174" fontId="1" fillId="0" borderId="0" xfId="1" applyNumberFormat="1"/>
    <xf numFmtId="0" fontId="1" fillId="0" borderId="0" xfId="1" applyBorder="1" applyAlignment="1">
      <alignment horizontal="right"/>
    </xf>
    <xf numFmtId="0" fontId="1" fillId="0" borderId="4" xfId="1" applyBorder="1" applyAlignment="1">
      <alignment horizontal="center" vertical="center"/>
    </xf>
    <xf numFmtId="0" fontId="3" fillId="2" borderId="8" xfId="1" applyFont="1" applyFill="1" applyBorder="1" applyAlignment="1">
      <alignment horizontal="right"/>
    </xf>
    <xf numFmtId="0" fontId="3" fillId="2" borderId="8" xfId="1" applyFont="1" applyFill="1" applyBorder="1" applyAlignment="1">
      <alignment horizontal="right" wrapText="1"/>
    </xf>
    <xf numFmtId="10" fontId="0" fillId="0" borderId="0" xfId="0" applyNumberFormat="1" applyAlignment="1">
      <alignment horizontal="right"/>
    </xf>
    <xf numFmtId="0" fontId="5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9" fontId="5" fillId="14" borderId="0" xfId="4" applyFont="1" applyFill="1"/>
    <xf numFmtId="2" fontId="31" fillId="0" borderId="1" xfId="0" applyNumberFormat="1" applyFont="1" applyBorder="1"/>
    <xf numFmtId="0" fontId="4" fillId="2" borderId="33" xfId="1" applyFont="1" applyFill="1" applyBorder="1" applyAlignment="1">
      <alignment horizontal="center" vertical="center"/>
    </xf>
    <xf numFmtId="1" fontId="4" fillId="2" borderId="33" xfId="1" applyNumberFormat="1" applyFont="1" applyFill="1" applyBorder="1" applyAlignment="1">
      <alignment horizontal="center" vertical="center"/>
    </xf>
    <xf numFmtId="1" fontId="23" fillId="3" borderId="0" xfId="2" applyNumberFormat="1" applyFont="1" applyFill="1" applyAlignment="1">
      <alignment horizontal="center" vertical="center" wrapText="1"/>
    </xf>
    <xf numFmtId="0" fontId="2" fillId="15" borderId="5" xfId="1" applyFont="1" applyFill="1" applyBorder="1" applyAlignment="1">
      <alignment horizontal="center"/>
    </xf>
    <xf numFmtId="0" fontId="2" fillId="15" borderId="7" xfId="1" applyFont="1" applyFill="1" applyBorder="1" applyAlignment="1">
      <alignment horizontal="center"/>
    </xf>
    <xf numFmtId="0" fontId="2" fillId="15" borderId="6" xfId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3" fillId="12" borderId="5" xfId="0" applyFont="1" applyFill="1" applyBorder="1" applyAlignment="1">
      <alignment horizontal="center" vertical="center" wrapText="1"/>
    </xf>
    <xf numFmtId="0" fontId="23" fillId="12" borderId="7" xfId="0" applyFont="1" applyFill="1" applyBorder="1" applyAlignment="1">
      <alignment horizontal="center" vertical="center" wrapText="1"/>
    </xf>
    <xf numFmtId="0" fontId="23" fillId="12" borderId="6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9" fillId="6" borderId="13" xfId="0" applyFont="1" applyFill="1" applyBorder="1" applyAlignment="1">
      <alignment horizontal="left" vertical="top" wrapText="1"/>
    </xf>
    <xf numFmtId="0" fontId="9" fillId="6" borderId="14" xfId="0" applyFont="1" applyFill="1" applyBorder="1" applyAlignment="1">
      <alignment horizontal="left" vertical="top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 wrapText="1"/>
    </xf>
    <xf numFmtId="0" fontId="26" fillId="0" borderId="7" xfId="0" applyFont="1" applyFill="1" applyBorder="1" applyAlignment="1">
      <alignment horizontal="center" wrapText="1"/>
    </xf>
    <xf numFmtId="0" fontId="26" fillId="0" borderId="6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 wrapText="1"/>
    </xf>
    <xf numFmtId="0" fontId="5" fillId="13" borderId="7" xfId="0" applyFont="1" applyFill="1" applyBorder="1" applyAlignment="1">
      <alignment horizontal="center" wrapText="1"/>
    </xf>
    <xf numFmtId="0" fontId="5" fillId="13" borderId="6" xfId="0" applyFont="1" applyFill="1" applyBorder="1" applyAlignment="1">
      <alignment horizontal="center" wrapText="1"/>
    </xf>
    <xf numFmtId="0" fontId="5" fillId="13" borderId="5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6" xfId="0" applyFont="1" applyFill="1" applyBorder="1" applyAlignment="1">
      <alignment horizontal="center"/>
    </xf>
  </cellXfs>
  <cellStyles count="6">
    <cellStyle name="Comma" xfId="3" builtinId="3"/>
    <cellStyle name="Comma 2" xfId="2" xr:uid="{79E3B132-E74B-4871-959C-28D293BABA6E}"/>
    <cellStyle name="Normal" xfId="0" builtinId="0"/>
    <cellStyle name="Normal 2" xfId="1" xr:uid="{9386B3D5-32BF-4300-88B7-1F763CCAF381}"/>
    <cellStyle name="Normal 4" xfId="5" xr:uid="{423E0E9E-ACED-4481-9993-F9EEC57E194C}"/>
    <cellStyle name="Percent" xfId="4" builtinId="5"/>
  </cellStyles>
  <dxfs count="53">
    <dxf>
      <border>
        <left style="medium">
          <color auto="1"/>
        </left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thin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>
        <left/>
        <right/>
        <top/>
        <bottom/>
        <horizontal/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bottom style="medium">
          <color auto="1"/>
        </bottom>
      </border>
    </dxf>
    <dxf>
      <border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top style="medium">
          <color auto="1"/>
        </top>
        <bottom style="medium">
          <color auto="1"/>
        </bottom>
      </border>
    </dxf>
    <dxf>
      <border>
        <right style="medium">
          <color auto="1"/>
        </right>
        <top style="medium">
          <color auto="1"/>
        </top>
      </border>
    </dxf>
    <dxf>
      <alignment horizontal="center"/>
    </dxf>
    <dxf>
      <alignment vertical="center"/>
    </dxf>
    <dxf>
      <border>
        <horizontal/>
      </border>
    </dxf>
    <dxf>
      <border>
        <horizontal/>
      </border>
    </dxf>
    <dxf>
      <border>
        <horizontal/>
      </border>
    </dxf>
    <dxf>
      <border>
        <left style="thin">
          <color auto="1"/>
        </left>
        <top style="medium">
          <color auto="1"/>
        </top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>
          <bgColor theme="8" tint="0.39997558519241921"/>
        </patternFill>
      </fill>
    </dxf>
    <dxf>
      <fill>
        <patternFill patternType="solid">
          <bgColor theme="8" tint="0.59999389629810485"/>
        </patternFill>
      </fill>
    </dxf>
    <dxf>
      <font>
        <sz val="12"/>
      </font>
    </dxf>
    <dxf>
      <font>
        <sz val="12"/>
      </font>
    </dxf>
    <dxf>
      <alignment vertical="center"/>
    </dxf>
    <dxf>
      <alignment horizontal="center"/>
    </dxf>
    <dxf>
      <font>
        <b/>
      </font>
    </dxf>
    <dxf>
      <font>
        <b/>
      </font>
    </dxf>
    <dxf>
      <font>
        <sz val="12"/>
      </font>
    </dxf>
    <dxf>
      <font>
        <b/>
      </font>
    </dxf>
    <dxf>
      <font>
        <sz val="12"/>
      </font>
    </dxf>
    <dxf>
      <font>
        <b/>
      </font>
    </dxf>
    <dxf>
      <font>
        <color rgb="FFFF0000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Rate!$B$2:$C$2</c:f>
          <c:strCache>
            <c:ptCount val="2"/>
            <c:pt idx="0">
              <c:v>Interest Rate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96337330898713"/>
          <c:y val="0.11131010669671215"/>
          <c:w val="0.86920000883986159"/>
          <c:h val="0.7554319572154502"/>
        </c:manualLayout>
      </c:layout>
      <c:lineChart>
        <c:grouping val="standard"/>
        <c:varyColors val="0"/>
        <c:ser>
          <c:idx val="0"/>
          <c:order val="0"/>
          <c:tx>
            <c:strRef>
              <c:f>Rate!$C$3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f>[0]!InterestLabels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[0]!InterestData</c:f>
              <c:numCache>
                <c:formatCode>0.00%</c:formatCode>
                <c:ptCount val="7"/>
                <c:pt idx="0">
                  <c:v>6.5000000000000002E-2</c:v>
                </c:pt>
                <c:pt idx="1">
                  <c:v>7.2499999999999995E-2</c:v>
                </c:pt>
                <c:pt idx="2">
                  <c:v>6.5000000000000002E-2</c:v>
                </c:pt>
                <c:pt idx="3">
                  <c:v>0.04</c:v>
                </c:pt>
                <c:pt idx="4">
                  <c:v>4.4999999999999998E-2</c:v>
                </c:pt>
                <c:pt idx="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7-4FB9-8A84-F3D439DBA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599984"/>
        <c:axId val="932600312"/>
      </c:lineChart>
      <c:catAx>
        <c:axId val="932599984"/>
        <c:scaling>
          <c:orientation val="minMax"/>
        </c:scaling>
        <c:delete val="0"/>
        <c:axPos val="b"/>
        <c:title>
          <c:tx>
            <c:strRef>
              <c:f>Rate!$B$3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0312"/>
        <c:crosses val="autoZero"/>
        <c:auto val="0"/>
        <c:lblAlgn val="ctr"/>
        <c:lblOffset val="100"/>
        <c:noMultiLvlLbl val="0"/>
      </c:catAx>
      <c:valAx>
        <c:axId val="93260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strRef>
              <c:f>Rate!$C$3</c:f>
              <c:strCache>
                <c:ptCount val="1"/>
                <c:pt idx="0">
                  <c:v>Rate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99984"/>
        <c:crosses val="autoZero"/>
        <c:crossBetween val="between"/>
        <c:majorUnit val="2.0000000000000004E-2"/>
        <c:minorUnit val="2.0000000000000004E-2"/>
      </c:valAx>
      <c:spPr>
        <a:solidFill>
          <a:schemeClr val="bg1">
            <a:lumMod val="8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4</xdr:row>
      <xdr:rowOff>74468</xdr:rowOff>
    </xdr:from>
    <xdr:to>
      <xdr:col>17</xdr:col>
      <xdr:colOff>126175</xdr:colOff>
      <xdr:row>26</xdr:row>
      <xdr:rowOff>45769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2161CA-8C0C-445F-9332-7D3E2DC33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saba/Documents/Maryville%20University/DSCI%20501%201W%2020_SP2%20Intro%20to%20Math%20Modelling/Week%204/Assignments/Arackal_Sophia_Annu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ackal_S_Annuity"/>
      <sheetName val="Lookup excel"/>
    </sheetNames>
    <sheetDataSet>
      <sheetData sheetId="0"/>
      <sheetData sheetId="1">
        <row r="4">
          <cell r="B4">
            <v>5</v>
          </cell>
          <cell r="C4">
            <v>2.3699999999999999E-4</v>
          </cell>
        </row>
        <row r="5">
          <cell r="B5">
            <v>6</v>
          </cell>
          <cell r="C5">
            <v>2.2699999999999999E-4</v>
          </cell>
        </row>
        <row r="6">
          <cell r="B6">
            <v>7</v>
          </cell>
          <cell r="C6">
            <v>2.1699999999999999E-4</v>
          </cell>
        </row>
        <row r="7">
          <cell r="B7">
            <v>8</v>
          </cell>
          <cell r="C7">
            <v>2.0100000000000001E-4</v>
          </cell>
        </row>
        <row r="8">
          <cell r="B8">
            <v>9</v>
          </cell>
          <cell r="C8">
            <v>1.94E-4</v>
          </cell>
        </row>
        <row r="9">
          <cell r="B9">
            <v>10</v>
          </cell>
          <cell r="C9">
            <v>1.9699999999999999E-4</v>
          </cell>
        </row>
        <row r="10">
          <cell r="B10">
            <v>11</v>
          </cell>
          <cell r="C10">
            <v>2.0799999999999999E-4</v>
          </cell>
        </row>
        <row r="11">
          <cell r="B11">
            <v>12</v>
          </cell>
          <cell r="C11">
            <v>2.2599999999999999E-4</v>
          </cell>
        </row>
        <row r="12">
          <cell r="B12">
            <v>13</v>
          </cell>
          <cell r="C12">
            <v>2.5500000000000002E-4</v>
          </cell>
        </row>
        <row r="13">
          <cell r="B13">
            <v>14</v>
          </cell>
          <cell r="C13">
            <v>2.9700000000000001E-4</v>
          </cell>
        </row>
        <row r="14">
          <cell r="B14">
            <v>15</v>
          </cell>
          <cell r="C14">
            <v>3.4499999999999998E-4</v>
          </cell>
        </row>
        <row r="15">
          <cell r="B15">
            <v>16</v>
          </cell>
          <cell r="C15">
            <v>3.9100000000000002E-4</v>
          </cell>
        </row>
        <row r="16">
          <cell r="B16">
            <v>17</v>
          </cell>
          <cell r="C16">
            <v>4.2999999999999999E-4</v>
          </cell>
        </row>
        <row r="17">
          <cell r="B17">
            <v>18</v>
          </cell>
          <cell r="C17">
            <v>4.6000000000000001E-4</v>
          </cell>
        </row>
        <row r="18">
          <cell r="B18">
            <v>19</v>
          </cell>
          <cell r="C18">
            <v>4.84E-4</v>
          </cell>
        </row>
        <row r="19">
          <cell r="B19">
            <v>20</v>
          </cell>
          <cell r="C19">
            <v>5.0699999999999996E-4</v>
          </cell>
        </row>
        <row r="20">
          <cell r="B20">
            <v>21</v>
          </cell>
          <cell r="C20">
            <v>5.2999999999999998E-4</v>
          </cell>
        </row>
        <row r="21">
          <cell r="B21">
            <v>22</v>
          </cell>
          <cell r="C21">
            <v>5.5599999999999996E-4</v>
          </cell>
        </row>
        <row r="22">
          <cell r="B22">
            <v>23</v>
          </cell>
          <cell r="C22">
            <v>5.8900000000000001E-4</v>
          </cell>
        </row>
        <row r="23">
          <cell r="B23">
            <v>24</v>
          </cell>
          <cell r="C23">
            <v>6.2399999999999999E-4</v>
          </cell>
        </row>
        <row r="24">
          <cell r="B24">
            <v>25</v>
          </cell>
          <cell r="C24">
            <v>6.6100000000000002E-4</v>
          </cell>
        </row>
        <row r="25">
          <cell r="B25">
            <v>26</v>
          </cell>
          <cell r="C25">
            <v>6.96E-4</v>
          </cell>
        </row>
        <row r="26">
          <cell r="B26">
            <v>27</v>
          </cell>
          <cell r="C26">
            <v>7.27E-4</v>
          </cell>
        </row>
        <row r="27">
          <cell r="B27">
            <v>28</v>
          </cell>
          <cell r="C27">
            <v>7.54E-4</v>
          </cell>
        </row>
        <row r="28">
          <cell r="B28">
            <v>29</v>
          </cell>
          <cell r="C28">
            <v>7.7899999999999996E-4</v>
          </cell>
        </row>
        <row r="29">
          <cell r="B29">
            <v>30</v>
          </cell>
          <cell r="C29">
            <v>8.0099999999999995E-4</v>
          </cell>
        </row>
        <row r="30">
          <cell r="B30">
            <v>31</v>
          </cell>
          <cell r="C30">
            <v>8.2100000000000001E-4</v>
          </cell>
        </row>
        <row r="31">
          <cell r="B31">
            <v>32</v>
          </cell>
          <cell r="C31">
            <v>8.3900000000000001E-4</v>
          </cell>
        </row>
        <row r="32">
          <cell r="B32">
            <v>33</v>
          </cell>
          <cell r="C32">
            <v>8.4800000000000001E-4</v>
          </cell>
        </row>
        <row r="33">
          <cell r="B33">
            <v>34</v>
          </cell>
          <cell r="C33">
            <v>8.4900000000000004E-4</v>
          </cell>
        </row>
        <row r="34">
          <cell r="B34">
            <v>35</v>
          </cell>
          <cell r="C34">
            <v>8.5099999999999998E-4</v>
          </cell>
        </row>
        <row r="35">
          <cell r="B35">
            <v>36</v>
          </cell>
          <cell r="C35">
            <v>8.6200000000000003E-4</v>
          </cell>
        </row>
        <row r="36">
          <cell r="B36">
            <v>37</v>
          </cell>
          <cell r="C36">
            <v>8.9099999999999997E-4</v>
          </cell>
        </row>
        <row r="37">
          <cell r="B37">
            <v>38</v>
          </cell>
          <cell r="C37">
            <v>9.3899999999999995E-4</v>
          </cell>
        </row>
        <row r="38">
          <cell r="B38">
            <v>39</v>
          </cell>
          <cell r="C38">
            <v>9.990000000000001E-4</v>
          </cell>
        </row>
        <row r="39">
          <cell r="B39">
            <v>40</v>
          </cell>
          <cell r="C39">
            <v>1.072E-3</v>
          </cell>
        </row>
        <row r="40">
          <cell r="B40">
            <v>41</v>
          </cell>
          <cell r="C40">
            <v>1.1559999999999999E-3</v>
          </cell>
        </row>
        <row r="41">
          <cell r="B41">
            <v>42</v>
          </cell>
          <cell r="C41">
            <v>1.2520000000000001E-3</v>
          </cell>
        </row>
        <row r="42">
          <cell r="B42">
            <v>43</v>
          </cell>
          <cell r="C42">
            <v>1.3519999999999999E-3</v>
          </cell>
        </row>
        <row r="43">
          <cell r="B43">
            <v>44</v>
          </cell>
          <cell r="C43">
            <v>1.4580000000000001E-3</v>
          </cell>
        </row>
        <row r="44">
          <cell r="B44">
            <v>45</v>
          </cell>
          <cell r="C44">
            <v>1.578E-3</v>
          </cell>
        </row>
        <row r="45">
          <cell r="B45">
            <v>46</v>
          </cell>
          <cell r="C45">
            <v>1.722E-3</v>
          </cell>
        </row>
        <row r="46">
          <cell r="B46">
            <v>47</v>
          </cell>
          <cell r="C46">
            <v>1.8990000000000001E-3</v>
          </cell>
        </row>
        <row r="47">
          <cell r="B47">
            <v>48</v>
          </cell>
          <cell r="C47">
            <v>2.1020000000000001E-3</v>
          </cell>
        </row>
        <row r="48">
          <cell r="B48">
            <v>49</v>
          </cell>
          <cell r="C48">
            <v>2.3259999999999999E-3</v>
          </cell>
        </row>
        <row r="49">
          <cell r="B49">
            <v>50</v>
          </cell>
          <cell r="C49">
            <v>2.5790000000000001E-3</v>
          </cell>
        </row>
        <row r="50">
          <cell r="B50">
            <v>51</v>
          </cell>
          <cell r="C50">
            <v>2.872E-3</v>
          </cell>
        </row>
        <row r="51">
          <cell r="B51">
            <v>52</v>
          </cell>
          <cell r="C51">
            <v>3.2130000000000001E-3</v>
          </cell>
        </row>
        <row r="52">
          <cell r="B52">
            <v>53</v>
          </cell>
          <cell r="C52">
            <v>3.5839999999999999E-3</v>
          </cell>
        </row>
        <row r="53">
          <cell r="B53">
            <v>54</v>
          </cell>
          <cell r="C53">
            <v>3.9789999999999999E-3</v>
          </cell>
        </row>
        <row r="54">
          <cell r="B54">
            <v>55</v>
          </cell>
          <cell r="C54">
            <v>4.4250000000000001E-3</v>
          </cell>
        </row>
        <row r="55">
          <cell r="B55">
            <v>56</v>
          </cell>
          <cell r="C55">
            <v>4.9490000000000003E-3</v>
          </cell>
        </row>
        <row r="56">
          <cell r="B56">
            <v>57</v>
          </cell>
          <cell r="C56">
            <v>5.581E-3</v>
          </cell>
        </row>
        <row r="57">
          <cell r="B57">
            <v>58</v>
          </cell>
          <cell r="C57">
            <v>6.3E-3</v>
          </cell>
        </row>
        <row r="58">
          <cell r="B58">
            <v>59</v>
          </cell>
          <cell r="C58">
            <v>7.0899999999999999E-3</v>
          </cell>
        </row>
        <row r="59">
          <cell r="B59">
            <v>60</v>
          </cell>
          <cell r="C59">
            <v>7.9760000000000005E-3</v>
          </cell>
        </row>
        <row r="60">
          <cell r="B60">
            <v>61</v>
          </cell>
          <cell r="C60">
            <v>8.9859999999999992E-3</v>
          </cell>
        </row>
        <row r="61">
          <cell r="B61">
            <v>62</v>
          </cell>
          <cell r="C61">
            <v>1.0147E-2</v>
          </cell>
        </row>
        <row r="62">
          <cell r="B62">
            <v>63</v>
          </cell>
          <cell r="C62">
            <v>1.1471E-2</v>
          </cell>
        </row>
        <row r="63">
          <cell r="B63">
            <v>64</v>
          </cell>
          <cell r="C63">
            <v>1.294E-2</v>
          </cell>
        </row>
        <row r="64">
          <cell r="B64">
            <v>65</v>
          </cell>
          <cell r="C64">
            <v>1.4534999999999999E-2</v>
          </cell>
        </row>
        <row r="65">
          <cell r="B65">
            <v>66</v>
          </cell>
          <cell r="C65">
            <v>1.6239E-2</v>
          </cell>
        </row>
        <row r="66">
          <cell r="B66">
            <v>67</v>
          </cell>
          <cell r="C66">
            <v>1.8034000000000001E-2</v>
          </cell>
        </row>
        <row r="67">
          <cell r="B67">
            <v>68</v>
          </cell>
          <cell r="C67">
            <v>1.9859000000000002E-2</v>
          </cell>
        </row>
        <row r="68">
          <cell r="B68">
            <v>69</v>
          </cell>
          <cell r="C68">
            <v>2.1728999999999998E-2</v>
          </cell>
        </row>
        <row r="69">
          <cell r="B69">
            <v>70</v>
          </cell>
          <cell r="C69">
            <v>2.3730000000000001E-2</v>
          </cell>
        </row>
        <row r="70">
          <cell r="B70">
            <v>71</v>
          </cell>
          <cell r="C70">
            <v>2.5950999999999998E-2</v>
          </cell>
        </row>
        <row r="71">
          <cell r="B71">
            <v>72</v>
          </cell>
          <cell r="C71">
            <v>2.8480999999999999E-2</v>
          </cell>
        </row>
        <row r="72">
          <cell r="B72">
            <v>73</v>
          </cell>
          <cell r="C72">
            <v>3.1201E-2</v>
          </cell>
        </row>
        <row r="73">
          <cell r="B73">
            <v>74</v>
          </cell>
          <cell r="C73">
            <v>3.4050999999999998E-2</v>
          </cell>
        </row>
        <row r="74">
          <cell r="B74">
            <v>75</v>
          </cell>
          <cell r="C74">
            <v>3.7211000000000001E-2</v>
          </cell>
        </row>
        <row r="75">
          <cell r="B75">
            <v>76</v>
          </cell>
          <cell r="C75">
            <v>4.0857999999999998E-2</v>
          </cell>
        </row>
        <row r="76">
          <cell r="B76">
            <v>77</v>
          </cell>
          <cell r="C76">
            <v>4.5171000000000003E-2</v>
          </cell>
        </row>
        <row r="77">
          <cell r="B77">
            <v>78</v>
          </cell>
          <cell r="C77">
            <v>5.0210999999999999E-2</v>
          </cell>
        </row>
        <row r="78">
          <cell r="B78">
            <v>79</v>
          </cell>
          <cell r="C78">
            <v>5.5861000000000001E-2</v>
          </cell>
        </row>
        <row r="79">
          <cell r="B79">
            <v>80</v>
          </cell>
          <cell r="C79">
            <v>6.2026999999999999E-2</v>
          </cell>
        </row>
        <row r="80">
          <cell r="B80">
            <v>81</v>
          </cell>
          <cell r="C80">
            <v>6.8614999999999995E-2</v>
          </cell>
        </row>
        <row r="81">
          <cell r="B81">
            <v>82</v>
          </cell>
          <cell r="C81">
            <v>7.5532000000000002E-2</v>
          </cell>
        </row>
        <row r="82">
          <cell r="B82">
            <v>83</v>
          </cell>
          <cell r="C82">
            <v>8.251E-2</v>
          </cell>
        </row>
        <row r="83">
          <cell r="B83">
            <v>84</v>
          </cell>
          <cell r="C83">
            <v>8.9612999999999998E-2</v>
          </cell>
        </row>
        <row r="84">
          <cell r="B84">
            <v>85</v>
          </cell>
          <cell r="C84">
            <v>9.7239999999999993E-2</v>
          </cell>
        </row>
        <row r="85">
          <cell r="B85">
            <v>86</v>
          </cell>
          <cell r="C85">
            <v>0.105792</v>
          </cell>
        </row>
        <row r="86">
          <cell r="B86">
            <v>87</v>
          </cell>
          <cell r="C86">
            <v>0.115671</v>
          </cell>
        </row>
        <row r="87">
          <cell r="B87">
            <v>88</v>
          </cell>
          <cell r="C87">
            <v>0.12698000000000001</v>
          </cell>
        </row>
        <row r="88">
          <cell r="B88">
            <v>89</v>
          </cell>
          <cell r="C88">
            <v>0.13945199999999999</v>
          </cell>
        </row>
        <row r="89">
          <cell r="B89">
            <v>90</v>
          </cell>
          <cell r="C89">
            <v>0.15293100000000001</v>
          </cell>
        </row>
        <row r="90">
          <cell r="B90">
            <v>91</v>
          </cell>
          <cell r="C90">
            <v>0.16725999999999999</v>
          </cell>
        </row>
        <row r="91">
          <cell r="B91">
            <v>92</v>
          </cell>
          <cell r="C91">
            <v>0.182281</v>
          </cell>
        </row>
        <row r="92">
          <cell r="B92">
            <v>93</v>
          </cell>
          <cell r="C92">
            <v>0.19839200000000001</v>
          </cell>
        </row>
        <row r="93">
          <cell r="B93">
            <v>94</v>
          </cell>
          <cell r="C93">
            <v>0.2157</v>
          </cell>
        </row>
        <row r="94">
          <cell r="B94">
            <v>95</v>
          </cell>
          <cell r="C94">
            <v>0.23360600000000001</v>
          </cell>
        </row>
        <row r="95">
          <cell r="B95">
            <v>96</v>
          </cell>
          <cell r="C95">
            <v>0.25151000000000001</v>
          </cell>
        </row>
        <row r="96">
          <cell r="B96">
            <v>97</v>
          </cell>
          <cell r="C96">
            <v>0.26881500000000003</v>
          </cell>
        </row>
        <row r="97">
          <cell r="B97">
            <v>98</v>
          </cell>
          <cell r="C97">
            <v>0.285277</v>
          </cell>
        </row>
        <row r="98">
          <cell r="B98">
            <v>99</v>
          </cell>
          <cell r="C98">
            <v>0.30129800000000001</v>
          </cell>
        </row>
        <row r="99">
          <cell r="B99">
            <v>100</v>
          </cell>
          <cell r="C99">
            <v>0.31723800000000002</v>
          </cell>
        </row>
        <row r="100">
          <cell r="B100">
            <v>101</v>
          </cell>
          <cell r="C100">
            <v>0.33346100000000001</v>
          </cell>
        </row>
        <row r="101">
          <cell r="B101">
            <v>102</v>
          </cell>
          <cell r="C101">
            <v>0.35032999999999997</v>
          </cell>
        </row>
        <row r="102">
          <cell r="B102">
            <v>103</v>
          </cell>
          <cell r="C102">
            <v>0.36854199999999998</v>
          </cell>
        </row>
        <row r="103">
          <cell r="B103">
            <v>104</v>
          </cell>
          <cell r="C103">
            <v>0.38785500000000001</v>
          </cell>
        </row>
        <row r="104">
          <cell r="B104">
            <v>105</v>
          </cell>
          <cell r="C104">
            <v>0.40722399999999997</v>
          </cell>
        </row>
        <row r="105">
          <cell r="B105">
            <v>106</v>
          </cell>
          <cell r="C105">
            <v>0.42559900000000001</v>
          </cell>
        </row>
        <row r="106">
          <cell r="B106">
            <v>107</v>
          </cell>
          <cell r="C106">
            <v>0.44193500000000002</v>
          </cell>
        </row>
        <row r="107">
          <cell r="B107">
            <v>108</v>
          </cell>
          <cell r="C107">
            <v>0.45755299999999999</v>
          </cell>
        </row>
        <row r="108">
          <cell r="B108">
            <v>109</v>
          </cell>
          <cell r="C108">
            <v>0.47315000000000002</v>
          </cell>
        </row>
        <row r="109">
          <cell r="B109">
            <v>110</v>
          </cell>
          <cell r="C109">
            <v>0.48674499999999998</v>
          </cell>
        </row>
        <row r="110">
          <cell r="B110">
            <v>111</v>
          </cell>
          <cell r="C110">
            <v>0.49635600000000002</v>
          </cell>
        </row>
        <row r="111">
          <cell r="B111">
            <v>112</v>
          </cell>
          <cell r="C111">
            <v>0.5</v>
          </cell>
        </row>
        <row r="112">
          <cell r="B112">
            <v>113</v>
          </cell>
          <cell r="C112">
            <v>0.5</v>
          </cell>
        </row>
        <row r="113">
          <cell r="B113">
            <v>114</v>
          </cell>
          <cell r="C113">
            <v>0.5</v>
          </cell>
        </row>
        <row r="114">
          <cell r="B114">
            <v>115</v>
          </cell>
          <cell r="C114">
            <v>0.5</v>
          </cell>
        </row>
        <row r="115">
          <cell r="B115">
            <v>116</v>
          </cell>
          <cell r="C115">
            <v>0.5</v>
          </cell>
        </row>
        <row r="116">
          <cell r="B116">
            <v>117</v>
          </cell>
          <cell r="C116">
            <v>0.5</v>
          </cell>
        </row>
        <row r="117">
          <cell r="B117">
            <v>118</v>
          </cell>
          <cell r="C117">
            <v>0.5</v>
          </cell>
        </row>
        <row r="118">
          <cell r="B118">
            <v>119</v>
          </cell>
          <cell r="C118">
            <v>0.5</v>
          </cell>
        </row>
        <row r="119">
          <cell r="B119">
            <v>120</v>
          </cell>
          <cell r="C119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A" refreshedDate="43951.91137199074" createdVersion="6" refreshedVersion="6" minRefreshableVersion="3" recordCount="10" xr:uid="{4FF892AD-CBB4-4C66-AFA2-01C9C0CC1997}">
  <cacheSource type="worksheet">
    <worksheetSource ref="B4:J14" sheet="Record"/>
  </cacheSource>
  <cacheFields count="12">
    <cacheField name="ID" numFmtId="0">
      <sharedItems containsSemiMixedTypes="0" containsString="0" containsNumber="1" containsInteger="1" minValue="50001" maxValue="50010"/>
    </cacheField>
    <cacheField name="Name" numFmtId="0">
      <sharedItems count="10">
        <s v="Klendshoj,Roxanne"/>
        <s v="Woolley,Jeanne M"/>
        <s v="Bartho,Jerome Fion"/>
        <s v="Benson,Scott G"/>
        <s v="Aho,Diane"/>
        <s v="Larson,DeeAnn Smith"/>
        <s v="Nelson,Susann"/>
        <s v="Asche,Tracy A"/>
        <s v="Carlson,Robert Lee"/>
        <s v="Donovan,Richard"/>
      </sharedItems>
    </cacheField>
    <cacheField name="Salary" numFmtId="164">
      <sharedItems containsSemiMixedTypes="0" containsString="0" containsNumber="1" containsInteger="1" minValue="91000" maxValue="110000"/>
    </cacheField>
    <cacheField name="PY Salary" numFmtId="164">
      <sharedItems containsSemiMixedTypes="0" containsString="0" containsNumber="1" containsInteger="1" minValue="83000" maxValue="101000"/>
    </cacheField>
    <cacheField name="Date of Birth" numFmtId="14">
      <sharedItems containsSemiMixedTypes="0" containsNonDate="0" containsDate="1" containsString="0" minDate="1954-03-02T00:00:00" maxDate="1972-06-09T00:00:00"/>
    </cacheField>
    <cacheField name="Date of Hire" numFmtId="14">
      <sharedItems containsSemiMixedTypes="0" containsNonDate="0" containsDate="1" containsString="0" minDate="1989-02-07T00:00:00" maxDate="2017-12-10T00:00:00"/>
    </cacheField>
    <cacheField name="Age" numFmtId="164">
      <sharedItems containsSemiMixedTypes="0" containsString="0" containsNumber="1" containsInteger="1" minValue="46" maxValue="64" count="7">
        <n v="46"/>
        <n v="64"/>
        <n v="62"/>
        <n v="63"/>
        <n v="55"/>
        <n v="60"/>
        <n v="56"/>
      </sharedItems>
      <fieldGroup par="10"/>
    </cacheField>
    <cacheField name="Service" numFmtId="164">
      <sharedItems containsSemiMixedTypes="0" containsString="0" containsNumber="1" minValue="1.0622861054072552" maxValue="29.897330595482547" count="10">
        <n v="26.833675564681723"/>
        <n v="2.3271731690622861"/>
        <n v="14.99520876112252"/>
        <n v="7.2306639288158792"/>
        <n v="6.8254620123203287"/>
        <n v="19.994524298425734"/>
        <n v="29.357973990417523"/>
        <n v="1.0622861054072552"/>
        <n v="18.340862422997947"/>
        <n v="29.897330595482547"/>
      </sharedItems>
      <fieldGroup par="11"/>
    </cacheField>
    <cacheField name="Status" numFmtId="0">
      <sharedItems count="1">
        <s v="A"/>
      </sharedItems>
    </cacheField>
    <cacheField name="Total salary +PY salary" numFmtId="0" formula="SUM(Salary)+SUM('PY Salary')" databaseField="0"/>
    <cacheField name="Age2" numFmtId="0" databaseField="0">
      <fieldGroup base="6">
        <discretePr count="7">
          <x v="0"/>
          <x v="2"/>
          <x v="2"/>
          <x v="2"/>
          <x v="1"/>
          <x v="2"/>
          <x v="1"/>
        </discretePr>
        <groupItems count="3">
          <n v="46"/>
          <s v="Group1"/>
          <s v="Group2"/>
        </groupItems>
      </fieldGroup>
    </cacheField>
    <cacheField name="Service2" numFmtId="0" databaseField="0">
      <fieldGroup base="7">
        <discretePr count="10">
          <x v="3"/>
          <x v="0"/>
          <x v="2"/>
          <x v="1"/>
          <x v="1"/>
          <x v="2"/>
          <x v="3"/>
          <x v="0"/>
          <x v="2"/>
          <x v="3"/>
        </discretePr>
        <groupItems count="4"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50001"/>
    <x v="0"/>
    <n v="110000"/>
    <n v="101000"/>
    <d v="1972-03-05T00:00:00"/>
    <d v="1992-03-02T00:00:00"/>
    <x v="0"/>
    <x v="0"/>
    <x v="0"/>
  </r>
  <r>
    <n v="50002"/>
    <x v="1"/>
    <n v="99000"/>
    <n v="91000"/>
    <d v="1954-03-02T00:00:00"/>
    <d v="2016-09-03T00:00:00"/>
    <x v="1"/>
    <x v="1"/>
    <x v="0"/>
  </r>
  <r>
    <n v="50003"/>
    <x v="2"/>
    <n v="98000"/>
    <n v="90000"/>
    <d v="1956-05-09T00:00:00"/>
    <d v="2004-01-03T00:00:00"/>
    <x v="2"/>
    <x v="2"/>
    <x v="0"/>
  </r>
  <r>
    <n v="50004"/>
    <x v="3"/>
    <n v="97000"/>
    <n v="89000"/>
    <d v="1955-09-09T00:00:00"/>
    <d v="2011-10-09T00:00:00"/>
    <x v="3"/>
    <x v="3"/>
    <x v="0"/>
  </r>
  <r>
    <n v="50005"/>
    <x v="4"/>
    <n v="96000"/>
    <n v="88000"/>
    <d v="1972-06-08T00:00:00"/>
    <d v="2012-03-05T00:00:00"/>
    <x v="0"/>
    <x v="4"/>
    <x v="0"/>
  </r>
  <r>
    <n v="50006"/>
    <x v="5"/>
    <n v="95000"/>
    <n v="87000"/>
    <d v="1963-03-02T00:00:00"/>
    <d v="1999-01-03T00:00:00"/>
    <x v="4"/>
    <x v="5"/>
    <x v="0"/>
  </r>
  <r>
    <n v="50007"/>
    <x v="6"/>
    <n v="100000"/>
    <n v="92000"/>
    <d v="1954-12-12T00:00:00"/>
    <d v="1989-08-23T00:00:00"/>
    <x v="1"/>
    <x v="6"/>
    <x v="0"/>
  </r>
  <r>
    <n v="50008"/>
    <x v="7"/>
    <n v="93000"/>
    <n v="85000"/>
    <d v="1958-11-02T00:00:00"/>
    <d v="2017-12-09T00:00:00"/>
    <x v="5"/>
    <x v="7"/>
    <x v="0"/>
  </r>
  <r>
    <n v="50009"/>
    <x v="8"/>
    <n v="92000"/>
    <n v="84000"/>
    <d v="1956-08-27T00:00:00"/>
    <d v="2000-08-29T00:00:00"/>
    <x v="2"/>
    <x v="8"/>
    <x v="0"/>
  </r>
  <r>
    <n v="50010"/>
    <x v="9"/>
    <n v="91000"/>
    <n v="83000"/>
    <d v="1962-09-12T00:00:00"/>
    <d v="1989-02-07T00:00:00"/>
    <x v="6"/>
    <x v="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40517-6B04-474A-BF2E-B145633BE1C1}" name="PivotTable3" cacheId="0" dataOnRows="1" applyNumberFormats="0" applyBorderFormats="0" applyFontFormats="0" applyPatternFormats="0" applyAlignmentFormats="0" applyWidthHeightFormats="1" dataCaption="Values" updatedVersion="6" minRefreshableVersion="3" showDrill="0" enableDrill="0" useAutoFormatting="1" rowGrandTotals="0" itemPrintTitles="1" createdVersion="6" indent="0" showHeaders="0" compact="0" compactData="0" multipleFieldFilters="0">
  <location ref="B8:H14" firstHeaderRow="0" firstDataRow="1" firstDataCol="2"/>
  <pivotFields count="12">
    <pivotField compact="0" outline="0" showAll="0"/>
    <pivotField dataField="1" compact="0" outline="0" showAll="0">
      <items count="11">
        <item x="4"/>
        <item x="7"/>
        <item x="2"/>
        <item x="3"/>
        <item x="8"/>
        <item x="9"/>
        <item x="0"/>
        <item x="5"/>
        <item x="6"/>
        <item x="1"/>
        <item t="default"/>
      </items>
    </pivotField>
    <pivotField compact="0" numFmtId="164" outline="0" showAll="0"/>
    <pivotField compact="0" numFmtId="164" outline="0" showAll="0"/>
    <pivotField compact="0" numFmtId="14" outline="0" showAll="0"/>
    <pivotField compact="0" numFmtId="14" outline="0" showAll="0"/>
    <pivotField compact="0" numFmtId="164" outline="0" showAll="0">
      <items count="8">
        <item x="0"/>
        <item x="4"/>
        <item x="6"/>
        <item x="5"/>
        <item x="2"/>
        <item x="3"/>
        <item x="1"/>
        <item t="default"/>
      </items>
    </pivotField>
    <pivotField compact="0" numFmtId="164" outline="0" showAll="0">
      <items count="11">
        <item x="7"/>
        <item x="1"/>
        <item x="4"/>
        <item x="3"/>
        <item x="2"/>
        <item x="8"/>
        <item x="5"/>
        <item x="0"/>
        <item x="6"/>
        <item x="9"/>
        <item t="default"/>
      </items>
    </pivotField>
    <pivotField compact="0" outline="0" multipleItemSelectionAllowed="1" showAll="0">
      <items count="2">
        <item x="0"/>
        <item t="default"/>
      </items>
    </pivotField>
    <pivotField dataField="1" compact="0" outline="0" dragToRow="0" dragToCol="0" dragToPage="0" showAll="0" defaultSubtotal="0"/>
    <pivotField axis="axisRow" compact="0" outline="0" showAll="0">
      <items count="4">
        <item n="45-49" sd="0" x="0"/>
        <item n="55-59" sd="0" x="1"/>
        <item n="60-64" sd="0" x="2"/>
        <item t="default"/>
      </items>
    </pivotField>
    <pivotField axis="axisCol" compact="0" outline="0" showAll="0">
      <items count="5">
        <item n="0-5" sd="0" x="0"/>
        <item n="6-10" x="1"/>
        <item n="11-20" x="2"/>
        <item n="20+" x="3"/>
        <item t="default"/>
      </items>
    </pivotField>
  </pivotFields>
  <rowFields count="2">
    <field x="10"/>
    <field x="-2"/>
  </rowFields>
  <row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rowItems>
  <colFields count="1">
    <field x="11"/>
  </colFields>
  <colItems count="5">
    <i>
      <x/>
    </i>
    <i>
      <x v="1"/>
    </i>
    <i>
      <x v="2"/>
    </i>
    <i>
      <x v="3"/>
    </i>
    <i t="grand">
      <x/>
    </i>
  </colItems>
  <dataFields count="2">
    <dataField name="Sum of Total salary +PY salary" fld="9" baseField="0" baseItem="0" numFmtId="164"/>
    <dataField name="Count of Name" fld="1" subtotal="count" baseField="10" baseItem="1"/>
  </dataFields>
  <formats count="53">
    <format dxfId="52">
      <pivotArea grandCol="1" outline="0" collapsedLevelsAreSubtotals="1" fieldPosition="0"/>
    </format>
    <format dxfId="51">
      <pivotArea grandCol="1" outline="0" collapsedLevelsAreSubtotals="1" fieldPosition="0"/>
    </format>
    <format dxfId="50">
      <pivotArea grandCol="1" outline="0" collapsedLevelsAreSubtotals="1" fieldPosition="0"/>
    </format>
    <format dxfId="49">
      <pivotArea dataOnly="0" outline="0" fieldPosition="0">
        <references count="1">
          <reference field="11" count="0"/>
        </references>
      </pivotArea>
    </format>
    <format dxfId="48">
      <pivotArea dataOnly="0" outline="0" fieldPosition="0">
        <references count="1">
          <reference field="11" count="0"/>
        </references>
      </pivotArea>
    </format>
    <format dxfId="47">
      <pivotArea dataOnly="0" labelOnly="1" outline="0" fieldPosition="0">
        <references count="1">
          <reference field="10" count="2">
            <x v="0"/>
            <x v="1"/>
          </reference>
        </references>
      </pivotArea>
    </format>
    <format dxfId="46">
      <pivotArea dataOnly="0" labelOnly="1" outline="0" fieldPosition="0">
        <references count="1">
          <reference field="10" count="1">
            <x v="2"/>
          </reference>
        </references>
      </pivotArea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10" count="2">
            <x v="0"/>
            <x v="1"/>
          </reference>
        </references>
      </pivotArea>
    </format>
    <format dxfId="42">
      <pivotArea dataOnly="0" labelOnly="1" outline="0" fieldPosition="0">
        <references count="1">
          <reference field="10" count="1">
            <x v="2"/>
          </reference>
        </references>
      </pivotArea>
    </format>
    <format dxfId="41">
      <pivotArea dataOnly="0" labelOnly="1" outline="0" fieldPosition="0">
        <references count="1">
          <reference field="10" count="0"/>
        </references>
      </pivotArea>
    </format>
    <format dxfId="40">
      <pivotArea dataOnly="0" labelOnly="1" outline="0" fieldPosition="0">
        <references count="1">
          <reference field="10" count="0"/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dataOnly="0" labelOnly="1" outline="0" fieldPosition="0">
        <references count="1">
          <reference field="10" count="0"/>
        </references>
      </pivotArea>
    </format>
    <format dxfId="36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0"/>
          </reference>
        </references>
      </pivotArea>
    </format>
    <format dxfId="35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1"/>
          </reference>
        </references>
      </pivotArea>
    </format>
    <format dxfId="34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2"/>
          </reference>
        </references>
      </pivotArea>
    </format>
    <format dxfId="33">
      <pivotArea grandCol="1" outline="0" collapsedLevelsAreSubtotals="1" fieldPosition="0"/>
    </format>
    <format dxfId="32">
      <pivotArea field="10" grandCol="1" outline="0" axis="axisRow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format>
    <format dxfId="31">
      <pivotArea field="10" grandCol="1" outline="0" axis="axisRow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format>
    <format dxfId="30">
      <pivotArea field="10" grandCol="1" outline="0" axis="axisRow" fieldPosition="0">
        <references count="1">
          <reference field="10" count="1" selected="0">
            <x v="2"/>
          </reference>
        </references>
      </pivotArea>
    </format>
    <format dxfId="29">
      <pivotArea outline="0" collapsedLevelsAreSubtotals="1" fieldPosition="0"/>
    </format>
    <format dxfId="28">
      <pivotArea outline="0" collapsedLevelsAreSubtotals="1" fieldPosition="0"/>
    </format>
    <format dxfId="27">
      <pivotArea dataOnly="0" labelOnly="1" outline="0" fieldPosition="0">
        <references count="1">
          <reference field="10" count="0"/>
        </references>
      </pivotArea>
    </format>
    <format dxfId="26">
      <pivotArea dataOnly="0" labelOnly="1" outline="0" fieldPosition="0">
        <references count="1">
          <reference field="10" count="1">
            <x v="0"/>
          </reference>
        </references>
      </pivotArea>
    </format>
    <format dxfId="25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0"/>
          </reference>
        </references>
      </pivotArea>
    </format>
    <format dxfId="24">
      <pivotArea dataOnly="0" labelOnly="1" outline="0" fieldPosition="0">
        <references count="1">
          <reference field="10" count="1">
            <x v="1"/>
          </reference>
        </references>
      </pivotArea>
    </format>
    <format dxfId="23">
      <pivotArea dataOnly="0" labelOnly="1" outline="0" fieldPosition="0">
        <references count="2">
          <reference field="4294967294" count="1">
            <x v="0"/>
          </reference>
          <reference field="10" count="1" selected="0">
            <x v="1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dataOnly="0" labelOnly="1" outline="0" fieldPosition="0">
        <references count="1">
          <reference field="10" count="0"/>
        </references>
      </pivotArea>
    </format>
    <format dxfId="19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0"/>
          </reference>
        </references>
      </pivotArea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1"/>
          </reference>
        </references>
      </pivotArea>
    </format>
    <format dxfId="17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2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dataOnly="0" labelOnly="1" outline="0" fieldPosition="0">
        <references count="1">
          <reference field="10" count="0"/>
        </references>
      </pivotArea>
    </format>
    <format dxfId="13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2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10" count="0"/>
        </references>
      </pivotArea>
    </format>
    <format dxfId="7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0"/>
          </reference>
        </references>
      </pivotArea>
    </format>
    <format dxfId="6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1"/>
          </reference>
        </references>
      </pivotArea>
    </format>
    <format dxfId="5">
      <pivotArea dataOnly="0" labelOnly="1" outline="0" fieldPosition="0">
        <references count="2">
          <reference field="4294967294" count="2">
            <x v="0"/>
            <x v="1"/>
          </reference>
          <reference field="10" count="1" selected="0">
            <x v="2"/>
          </reference>
        </references>
      </pivotArea>
    </format>
    <format dxfId="4">
      <pivotArea outline="0" collapsedLevelsAreSubtotals="1" fieldPosition="0"/>
    </format>
    <format dxfId="3">
      <pivotArea outline="0" fieldPosition="0">
        <references count="2">
          <reference field="4294967294" count="2" selected="0">
            <x v="0"/>
            <x v="1"/>
          </reference>
          <reference field="10" count="1" selected="0">
            <x v="0"/>
          </reference>
        </references>
      </pivotArea>
    </format>
    <format dxfId="2">
      <pivotArea outline="0" fieldPosition="0">
        <references count="2">
          <reference field="4294967294" count="2" selected="0">
            <x v="0"/>
            <x v="1"/>
          </reference>
          <reference field="10" count="1" selected="0">
            <x v="1"/>
          </reference>
        </references>
      </pivotArea>
    </format>
    <format dxfId="1">
      <pivotArea outline="0" fieldPosition="0">
        <references count="1">
          <reference field="10" count="1" selected="0">
            <x v="2"/>
          </reference>
        </references>
      </pivotArea>
    </format>
    <format dxfId="0">
      <pivotArea grandCol="1" outline="0" collapsedLevelsAreSubtotals="1" fieldPosition="0"/>
    </format>
  </format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B2BC-66D2-4E22-B585-0F0C51D961F2}">
  <sheetPr codeName="Sheet1">
    <tabColor rgb="FF7030A0"/>
    <pageSetUpPr fitToPage="1"/>
  </sheetPr>
  <dimension ref="B2:O20"/>
  <sheetViews>
    <sheetView topLeftCell="A4" zoomScaleNormal="100" workbookViewId="0">
      <selection activeCell="E27" sqref="E27"/>
    </sheetView>
  </sheetViews>
  <sheetFormatPr defaultColWidth="8.85546875" defaultRowHeight="12.75"/>
  <cols>
    <col min="1" max="1" width="1.28515625" style="1" customWidth="1"/>
    <col min="2" max="2" width="12.7109375" style="1" customWidth="1"/>
    <col min="3" max="3" width="25.5703125" style="1" bestFit="1" customWidth="1"/>
    <col min="4" max="5" width="15.28515625" style="1" customWidth="1"/>
    <col min="6" max="6" width="15" style="1" customWidth="1"/>
    <col min="7" max="7" width="13.85546875" style="1" customWidth="1"/>
    <col min="8" max="8" width="7.140625" style="36" customWidth="1"/>
    <col min="9" max="9" width="10" style="36" customWidth="1"/>
    <col min="10" max="10" width="0" style="1" hidden="1" customWidth="1"/>
    <col min="11" max="11" width="8.85546875" style="1"/>
    <col min="12" max="14" width="0" style="1" hidden="1" customWidth="1"/>
    <col min="15" max="15" width="18.140625" style="1" hidden="1" customWidth="1"/>
    <col min="16" max="16384" width="8.85546875" style="1"/>
  </cols>
  <sheetData>
    <row r="2" spans="2:15" ht="16.5" thickBot="1">
      <c r="B2" s="3" t="s">
        <v>6</v>
      </c>
      <c r="G2" s="4">
        <f ca="1">DATE(YEAR(TODAY()),-11,1)</f>
        <v>43466</v>
      </c>
    </row>
    <row r="3" spans="2:15" ht="16.5" thickBot="1">
      <c r="B3" s="225" t="s">
        <v>115</v>
      </c>
      <c r="C3" s="226"/>
      <c r="D3" s="226"/>
      <c r="E3" s="226"/>
      <c r="F3" s="226"/>
      <c r="G3" s="226"/>
      <c r="H3" s="226"/>
      <c r="I3" s="227"/>
    </row>
    <row r="4" spans="2:15" ht="15.75">
      <c r="B4" s="222" t="s">
        <v>0</v>
      </c>
      <c r="C4" s="222" t="s">
        <v>1</v>
      </c>
      <c r="D4" s="222" t="s">
        <v>7</v>
      </c>
      <c r="E4" s="222" t="s">
        <v>8</v>
      </c>
      <c r="F4" s="222" t="s">
        <v>2</v>
      </c>
      <c r="G4" s="222" t="s">
        <v>3</v>
      </c>
      <c r="H4" s="223" t="s">
        <v>9</v>
      </c>
      <c r="I4" s="223" t="s">
        <v>10</v>
      </c>
      <c r="J4" s="2" t="s">
        <v>68</v>
      </c>
      <c r="L4" s="1" t="s">
        <v>1</v>
      </c>
    </row>
    <row r="5" spans="2:15" ht="15.75">
      <c r="B5" s="97">
        <v>50001</v>
      </c>
      <c r="C5" s="97" t="s">
        <v>12</v>
      </c>
      <c r="D5" s="101">
        <v>110000</v>
      </c>
      <c r="E5" s="101">
        <f>ROUND(D5/1.09,-3)</f>
        <v>101000</v>
      </c>
      <c r="F5" s="98">
        <v>26363</v>
      </c>
      <c r="G5" s="98">
        <v>33665</v>
      </c>
      <c r="H5" s="224">
        <f ca="1">YEAR($G$2)-YEAR(F5)-IF(DATE(YEAR($G$2),MONTH(F5),DAY(F5))&gt;$G$2,1,0)</f>
        <v>46</v>
      </c>
      <c r="I5" s="130">
        <f ca="1">($G$2-G5)/365.25</f>
        <v>26.833675564681723</v>
      </c>
      <c r="J5" s="64" t="s">
        <v>5</v>
      </c>
      <c r="L5" s="1" t="s">
        <v>95</v>
      </c>
      <c r="M5" s="1" t="s">
        <v>96</v>
      </c>
      <c r="O5" s="1" t="str">
        <f>M5&amp;" "&amp;L5</f>
        <v>Roxanne Klendshoj</v>
      </c>
    </row>
    <row r="6" spans="2:15" ht="15.75">
      <c r="B6" s="97">
        <v>50002</v>
      </c>
      <c r="C6" s="97" t="s">
        <v>13</v>
      </c>
      <c r="D6" s="101">
        <v>99000</v>
      </c>
      <c r="E6" s="101">
        <f t="shared" ref="E6:E14" si="0">ROUND(D6/1.09,-3)</f>
        <v>91000</v>
      </c>
      <c r="F6" s="98">
        <v>19785</v>
      </c>
      <c r="G6" s="98">
        <v>42616</v>
      </c>
      <c r="H6" s="130">
        <f t="shared" ref="H6:H14" ca="1" si="1">YEAR($G$2)-YEAR(F6)-IF(DATE(YEAR($G$2),MONTH(F6),DAY(F6))&gt;$G$2,1,0)</f>
        <v>64</v>
      </c>
      <c r="I6" s="130">
        <f t="shared" ref="I6:I14" ca="1" si="2">($G$2-G6)/365.25</f>
        <v>2.3271731690622861</v>
      </c>
      <c r="J6" s="65" t="s">
        <v>5</v>
      </c>
      <c r="L6" s="1" t="s">
        <v>97</v>
      </c>
      <c r="M6" s="1" t="s">
        <v>109</v>
      </c>
      <c r="O6" s="1" t="str">
        <f t="shared" ref="O6:O14" si="3">M6&amp;" "&amp;L6</f>
        <v>Jeanne Woolley</v>
      </c>
    </row>
    <row r="7" spans="2:15" ht="15.75">
      <c r="B7" s="97">
        <v>50003</v>
      </c>
      <c r="C7" s="97" t="s">
        <v>14</v>
      </c>
      <c r="D7" s="101">
        <v>98000</v>
      </c>
      <c r="E7" s="101">
        <f t="shared" si="0"/>
        <v>90000</v>
      </c>
      <c r="F7" s="98">
        <v>20584</v>
      </c>
      <c r="G7" s="98">
        <v>37989</v>
      </c>
      <c r="H7" s="130">
        <f t="shared" ca="1" si="1"/>
        <v>62</v>
      </c>
      <c r="I7" s="130">
        <f t="shared" ca="1" si="2"/>
        <v>14.99520876112252</v>
      </c>
      <c r="J7" s="65" t="s">
        <v>5</v>
      </c>
      <c r="L7" s="1" t="s">
        <v>98</v>
      </c>
      <c r="M7" s="1" t="s">
        <v>110</v>
      </c>
      <c r="O7" s="1" t="str">
        <f t="shared" si="3"/>
        <v>Jerome Bartho</v>
      </c>
    </row>
    <row r="8" spans="2:15" ht="15.75">
      <c r="B8" s="97">
        <v>50004</v>
      </c>
      <c r="C8" s="97" t="s">
        <v>15</v>
      </c>
      <c r="D8" s="101">
        <v>97000</v>
      </c>
      <c r="E8" s="101">
        <f t="shared" si="0"/>
        <v>89000</v>
      </c>
      <c r="F8" s="98">
        <v>20341</v>
      </c>
      <c r="G8" s="98">
        <v>40825</v>
      </c>
      <c r="H8" s="130">
        <f t="shared" ca="1" si="1"/>
        <v>63</v>
      </c>
      <c r="I8" s="130">
        <f t="shared" ca="1" si="2"/>
        <v>7.2306639288158792</v>
      </c>
      <c r="J8" s="65" t="s">
        <v>5</v>
      </c>
      <c r="L8" s="1" t="s">
        <v>99</v>
      </c>
      <c r="M8" s="1" t="s">
        <v>111</v>
      </c>
      <c r="O8" s="1" t="str">
        <f t="shared" si="3"/>
        <v>Scott Benson</v>
      </c>
    </row>
    <row r="9" spans="2:15" ht="15.75">
      <c r="B9" s="97">
        <v>50005</v>
      </c>
      <c r="C9" s="97" t="s">
        <v>16</v>
      </c>
      <c r="D9" s="101">
        <v>96000</v>
      </c>
      <c r="E9" s="101">
        <f t="shared" si="0"/>
        <v>88000</v>
      </c>
      <c r="F9" s="98">
        <v>26458</v>
      </c>
      <c r="G9" s="98">
        <v>40973</v>
      </c>
      <c r="H9" s="130">
        <f t="shared" ca="1" si="1"/>
        <v>46</v>
      </c>
      <c r="I9" s="130">
        <f ca="1">($G$2-G9)/365.25</f>
        <v>6.8254620123203287</v>
      </c>
      <c r="J9" s="65" t="s">
        <v>5</v>
      </c>
      <c r="L9" s="1" t="s">
        <v>100</v>
      </c>
      <c r="M9" s="1" t="s">
        <v>101</v>
      </c>
      <c r="O9" s="1" t="str">
        <f t="shared" si="3"/>
        <v>Diane Aho</v>
      </c>
    </row>
    <row r="10" spans="2:15" ht="15.75">
      <c r="B10" s="97">
        <v>50006</v>
      </c>
      <c r="C10" s="97" t="s">
        <v>17</v>
      </c>
      <c r="D10" s="101">
        <v>95000</v>
      </c>
      <c r="E10" s="101">
        <f t="shared" si="0"/>
        <v>87000</v>
      </c>
      <c r="F10" s="98">
        <v>23072</v>
      </c>
      <c r="G10" s="98">
        <v>36163</v>
      </c>
      <c r="H10" s="130">
        <f t="shared" ca="1" si="1"/>
        <v>55</v>
      </c>
      <c r="I10" s="130">
        <f ca="1">($G$2-G10)/365.25</f>
        <v>19.994524298425734</v>
      </c>
      <c r="J10" s="65" t="s">
        <v>5</v>
      </c>
      <c r="L10" s="1" t="s">
        <v>102</v>
      </c>
      <c r="M10" s="1" t="s">
        <v>112</v>
      </c>
      <c r="O10" s="1" t="str">
        <f t="shared" si="3"/>
        <v>DeeAnn Larson</v>
      </c>
    </row>
    <row r="11" spans="2:15" ht="15.75">
      <c r="B11" s="97">
        <v>50007</v>
      </c>
      <c r="C11" s="97" t="s">
        <v>18</v>
      </c>
      <c r="D11" s="101">
        <v>100000</v>
      </c>
      <c r="E11" s="101">
        <f t="shared" si="0"/>
        <v>92000</v>
      </c>
      <c r="F11" s="98">
        <v>20070</v>
      </c>
      <c r="G11" s="98">
        <v>32743</v>
      </c>
      <c r="H11" s="130">
        <f t="shared" ca="1" si="1"/>
        <v>64</v>
      </c>
      <c r="I11" s="130">
        <f t="shared" ca="1" si="2"/>
        <v>29.357973990417523</v>
      </c>
      <c r="J11" s="65" t="s">
        <v>5</v>
      </c>
      <c r="L11" s="1" t="s">
        <v>103</v>
      </c>
      <c r="M11" s="1" t="s">
        <v>104</v>
      </c>
      <c r="O11" s="1" t="str">
        <f t="shared" si="3"/>
        <v>Susann Nelson</v>
      </c>
    </row>
    <row r="12" spans="2:15" ht="15.75">
      <c r="B12" s="97">
        <v>50008</v>
      </c>
      <c r="C12" s="97" t="s">
        <v>19</v>
      </c>
      <c r="D12" s="101">
        <v>93000</v>
      </c>
      <c r="E12" s="101">
        <f t="shared" si="0"/>
        <v>85000</v>
      </c>
      <c r="F12" s="98">
        <v>21491</v>
      </c>
      <c r="G12" s="98">
        <v>43078</v>
      </c>
      <c r="H12" s="130">
        <f t="shared" ca="1" si="1"/>
        <v>60</v>
      </c>
      <c r="I12" s="130">
        <f t="shared" ca="1" si="2"/>
        <v>1.0622861054072552</v>
      </c>
      <c r="J12" s="65" t="s">
        <v>5</v>
      </c>
      <c r="L12" s="1" t="s">
        <v>105</v>
      </c>
      <c r="M12" s="1" t="s">
        <v>113</v>
      </c>
      <c r="O12" s="1" t="str">
        <f t="shared" si="3"/>
        <v>Tracy Asche</v>
      </c>
    </row>
    <row r="13" spans="2:15" ht="15.75">
      <c r="B13" s="97">
        <v>50009</v>
      </c>
      <c r="C13" s="97" t="s">
        <v>20</v>
      </c>
      <c r="D13" s="101">
        <v>92000</v>
      </c>
      <c r="E13" s="101">
        <f t="shared" si="0"/>
        <v>84000</v>
      </c>
      <c r="F13" s="98">
        <v>20694</v>
      </c>
      <c r="G13" s="98">
        <v>36767</v>
      </c>
      <c r="H13" s="130">
        <f t="shared" ca="1" si="1"/>
        <v>62</v>
      </c>
      <c r="I13" s="130">
        <f t="shared" ca="1" si="2"/>
        <v>18.340862422997947</v>
      </c>
      <c r="J13" s="65" t="s">
        <v>5</v>
      </c>
      <c r="L13" s="1" t="s">
        <v>106</v>
      </c>
      <c r="M13" s="1" t="s">
        <v>114</v>
      </c>
      <c r="O13" s="1" t="str">
        <f t="shared" si="3"/>
        <v>Robert Carlson</v>
      </c>
    </row>
    <row r="14" spans="2:15" ht="15.75">
      <c r="B14" s="97">
        <v>50010</v>
      </c>
      <c r="C14" s="97" t="s">
        <v>21</v>
      </c>
      <c r="D14" s="101">
        <v>91000</v>
      </c>
      <c r="E14" s="101">
        <f t="shared" si="0"/>
        <v>83000</v>
      </c>
      <c r="F14" s="98">
        <v>22901</v>
      </c>
      <c r="G14" s="98">
        <v>32546</v>
      </c>
      <c r="H14" s="130">
        <f t="shared" ca="1" si="1"/>
        <v>56</v>
      </c>
      <c r="I14" s="130">
        <f t="shared" ca="1" si="2"/>
        <v>29.897330595482547</v>
      </c>
      <c r="J14" s="65" t="s">
        <v>5</v>
      </c>
      <c r="L14" s="1" t="s">
        <v>107</v>
      </c>
      <c r="M14" s="1" t="s">
        <v>108</v>
      </c>
      <c r="O14" s="1" t="str">
        <f t="shared" si="3"/>
        <v>Richard Donovan</v>
      </c>
    </row>
    <row r="15" spans="2:15">
      <c r="J15" s="63"/>
    </row>
    <row r="16" spans="2:15">
      <c r="J16" s="63"/>
    </row>
    <row r="17" spans="10:10">
      <c r="J17" s="63"/>
    </row>
    <row r="18" spans="10:10">
      <c r="J18" s="63"/>
    </row>
    <row r="19" spans="10:10">
      <c r="J19" s="63"/>
    </row>
    <row r="20" spans="10:10">
      <c r="J20" s="63"/>
    </row>
  </sheetData>
  <mergeCells count="1">
    <mergeCell ref="B3:I3"/>
  </mergeCells>
  <printOptions horizontalCentered="1"/>
  <pageMargins left="0.7" right="0.7" top="0.75" bottom="0.75" header="0.3" footer="0.3"/>
  <pageSetup orientation="landscape" r:id="rId1"/>
  <headerFooter>
    <oddFooter>&amp;L&amp;F
&amp;A&amp;C&amp;P of &amp;N
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A3FE-F2AC-43BD-A9D1-3D7161E2894B}">
  <sheetPr codeName="Sheet2">
    <tabColor rgb="FFFFC000"/>
    <pageSetUpPr fitToPage="1"/>
  </sheetPr>
  <dimension ref="B1:H119"/>
  <sheetViews>
    <sheetView workbookViewId="0">
      <pane ySplit="18" topLeftCell="A103" activePane="bottomLeft" state="frozen"/>
      <selection pane="bottomLeft" activeCell="I122" sqref="I122"/>
    </sheetView>
  </sheetViews>
  <sheetFormatPr defaultRowHeight="15"/>
  <cols>
    <col min="1" max="1" width="1.42578125" customWidth="1"/>
    <col min="2" max="2" width="14" style="9" customWidth="1"/>
    <col min="3" max="3" width="15.5703125" style="9" customWidth="1"/>
    <col min="4" max="4" width="2.140625" customWidth="1"/>
    <col min="5" max="5" width="1.85546875" customWidth="1"/>
    <col min="6" max="6" width="1.5703125" customWidth="1"/>
    <col min="7" max="7" width="15.85546875" hidden="1" customWidth="1"/>
    <col min="8" max="8" width="12.7109375" hidden="1" customWidth="1"/>
  </cols>
  <sheetData>
    <row r="1" spans="2:8" ht="15.75" thickBot="1">
      <c r="G1" t="s">
        <v>33</v>
      </c>
      <c r="H1" t="s">
        <v>34</v>
      </c>
    </row>
    <row r="2" spans="2:8" ht="15.75" thickBot="1">
      <c r="B2" s="228" t="s">
        <v>22</v>
      </c>
      <c r="C2" s="229"/>
      <c r="G2" t="s">
        <v>33</v>
      </c>
      <c r="H2" t="s">
        <v>9</v>
      </c>
    </row>
    <row r="3" spans="2:8" ht="16.5" thickBot="1">
      <c r="B3" s="16" t="s">
        <v>9</v>
      </c>
      <c r="C3" s="16" t="s">
        <v>23</v>
      </c>
    </row>
    <row r="4" spans="2:8" hidden="1">
      <c r="B4" s="17">
        <v>5</v>
      </c>
      <c r="C4" s="18">
        <v>2.3699999999999999E-4</v>
      </c>
    </row>
    <row r="5" spans="2:8" hidden="1">
      <c r="B5" s="19">
        <v>6</v>
      </c>
      <c r="C5" s="20">
        <v>2.2699999999999999E-4</v>
      </c>
    </row>
    <row r="6" spans="2:8" hidden="1">
      <c r="B6" s="19">
        <v>7</v>
      </c>
      <c r="C6" s="20">
        <v>2.1699999999999999E-4</v>
      </c>
    </row>
    <row r="7" spans="2:8" hidden="1">
      <c r="B7" s="19">
        <v>8</v>
      </c>
      <c r="C7" s="20">
        <v>2.0100000000000001E-4</v>
      </c>
    </row>
    <row r="8" spans="2:8" hidden="1">
      <c r="B8" s="19">
        <v>9</v>
      </c>
      <c r="C8" s="20">
        <v>1.94E-4</v>
      </c>
    </row>
    <row r="9" spans="2:8" hidden="1">
      <c r="B9" s="19">
        <v>10</v>
      </c>
      <c r="C9" s="20">
        <v>1.9699999999999999E-4</v>
      </c>
    </row>
    <row r="10" spans="2:8" hidden="1">
      <c r="B10" s="19">
        <v>11</v>
      </c>
      <c r="C10" s="20">
        <v>2.0799999999999999E-4</v>
      </c>
    </row>
    <row r="11" spans="2:8" hidden="1">
      <c r="B11" s="19">
        <v>12</v>
      </c>
      <c r="C11" s="20">
        <v>2.2599999999999999E-4</v>
      </c>
    </row>
    <row r="12" spans="2:8" hidden="1">
      <c r="B12" s="19">
        <v>13</v>
      </c>
      <c r="C12" s="20">
        <v>2.5500000000000002E-4</v>
      </c>
    </row>
    <row r="13" spans="2:8" hidden="1">
      <c r="B13" s="19">
        <v>14</v>
      </c>
      <c r="C13" s="20">
        <v>2.9700000000000001E-4</v>
      </c>
    </row>
    <row r="14" spans="2:8" hidden="1">
      <c r="B14" s="19">
        <v>15</v>
      </c>
      <c r="C14" s="20">
        <v>3.4499999999999998E-4</v>
      </c>
    </row>
    <row r="15" spans="2:8" hidden="1">
      <c r="B15" s="19">
        <v>16</v>
      </c>
      <c r="C15" s="20">
        <v>3.9100000000000002E-4</v>
      </c>
    </row>
    <row r="16" spans="2:8" hidden="1">
      <c r="B16" s="19">
        <v>17</v>
      </c>
      <c r="C16" s="20">
        <v>4.2999999999999999E-4</v>
      </c>
    </row>
    <row r="17" spans="2:3" hidden="1">
      <c r="B17" s="19">
        <v>18</v>
      </c>
      <c r="C17" s="20">
        <v>4.6000000000000001E-4</v>
      </c>
    </row>
    <row r="18" spans="2:3" hidden="1">
      <c r="B18" s="19">
        <v>19</v>
      </c>
      <c r="C18" s="20">
        <v>4.84E-4</v>
      </c>
    </row>
    <row r="19" spans="2:3">
      <c r="B19" s="19">
        <v>20</v>
      </c>
      <c r="C19" s="20">
        <v>5.0699999999999996E-4</v>
      </c>
    </row>
    <row r="20" spans="2:3">
      <c r="B20" s="19">
        <v>21</v>
      </c>
      <c r="C20" s="20">
        <v>5.2999999999999998E-4</v>
      </c>
    </row>
    <row r="21" spans="2:3">
      <c r="B21" s="19">
        <v>22</v>
      </c>
      <c r="C21" s="20">
        <v>5.5599999999999996E-4</v>
      </c>
    </row>
    <row r="22" spans="2:3">
      <c r="B22" s="19">
        <v>23</v>
      </c>
      <c r="C22" s="20">
        <v>5.8900000000000001E-4</v>
      </c>
    </row>
    <row r="23" spans="2:3">
      <c r="B23" s="19">
        <v>24</v>
      </c>
      <c r="C23" s="20">
        <v>6.2399999999999999E-4</v>
      </c>
    </row>
    <row r="24" spans="2:3">
      <c r="B24" s="19">
        <v>25</v>
      </c>
      <c r="C24" s="20">
        <v>6.6100000000000002E-4</v>
      </c>
    </row>
    <row r="25" spans="2:3">
      <c r="B25" s="19">
        <v>26</v>
      </c>
      <c r="C25" s="20">
        <v>6.96E-4</v>
      </c>
    </row>
    <row r="26" spans="2:3">
      <c r="B26" s="19">
        <v>27</v>
      </c>
      <c r="C26" s="20">
        <v>7.27E-4</v>
      </c>
    </row>
    <row r="27" spans="2:3">
      <c r="B27" s="19">
        <v>28</v>
      </c>
      <c r="C27" s="20">
        <v>7.54E-4</v>
      </c>
    </row>
    <row r="28" spans="2:3">
      <c r="B28" s="19">
        <v>29</v>
      </c>
      <c r="C28" s="20">
        <v>7.7899999999999996E-4</v>
      </c>
    </row>
    <row r="29" spans="2:3">
      <c r="B29" s="19">
        <v>30</v>
      </c>
      <c r="C29" s="20">
        <v>8.0099999999999995E-4</v>
      </c>
    </row>
    <row r="30" spans="2:3">
      <c r="B30" s="19">
        <v>31</v>
      </c>
      <c r="C30" s="20">
        <v>8.2100000000000001E-4</v>
      </c>
    </row>
    <row r="31" spans="2:3">
      <c r="B31" s="19">
        <v>32</v>
      </c>
      <c r="C31" s="20">
        <v>8.3900000000000001E-4</v>
      </c>
    </row>
    <row r="32" spans="2:3">
      <c r="B32" s="19">
        <v>33</v>
      </c>
      <c r="C32" s="20">
        <v>8.4800000000000001E-4</v>
      </c>
    </row>
    <row r="33" spans="2:3">
      <c r="B33" s="19">
        <v>34</v>
      </c>
      <c r="C33" s="20">
        <v>8.4900000000000004E-4</v>
      </c>
    </row>
    <row r="34" spans="2:3">
      <c r="B34" s="19">
        <v>35</v>
      </c>
      <c r="C34" s="20">
        <v>8.5099999999999998E-4</v>
      </c>
    </row>
    <row r="35" spans="2:3">
      <c r="B35" s="19">
        <v>36</v>
      </c>
      <c r="C35" s="20">
        <v>8.6200000000000003E-4</v>
      </c>
    </row>
    <row r="36" spans="2:3">
      <c r="B36" s="19">
        <v>37</v>
      </c>
      <c r="C36" s="20">
        <v>8.9099999999999997E-4</v>
      </c>
    </row>
    <row r="37" spans="2:3">
      <c r="B37" s="19">
        <v>38</v>
      </c>
      <c r="C37" s="20">
        <v>9.3899999999999995E-4</v>
      </c>
    </row>
    <row r="38" spans="2:3">
      <c r="B38" s="19">
        <v>39</v>
      </c>
      <c r="C38" s="20">
        <v>9.990000000000001E-4</v>
      </c>
    </row>
    <row r="39" spans="2:3">
      <c r="B39" s="19">
        <v>40</v>
      </c>
      <c r="C39" s="20">
        <v>1.072E-3</v>
      </c>
    </row>
    <row r="40" spans="2:3">
      <c r="B40" s="19">
        <v>41</v>
      </c>
      <c r="C40" s="20">
        <v>1.1559999999999999E-3</v>
      </c>
    </row>
    <row r="41" spans="2:3">
      <c r="B41" s="19">
        <v>42</v>
      </c>
      <c r="C41" s="20">
        <v>1.2520000000000001E-3</v>
      </c>
    </row>
    <row r="42" spans="2:3">
      <c r="B42" s="19">
        <v>43</v>
      </c>
      <c r="C42" s="20">
        <v>1.3519999999999999E-3</v>
      </c>
    </row>
    <row r="43" spans="2:3">
      <c r="B43" s="19">
        <v>44</v>
      </c>
      <c r="C43" s="20">
        <v>1.4580000000000001E-3</v>
      </c>
    </row>
    <row r="44" spans="2:3">
      <c r="B44" s="19">
        <v>45</v>
      </c>
      <c r="C44" s="20">
        <v>1.578E-3</v>
      </c>
    </row>
    <row r="45" spans="2:3">
      <c r="B45" s="19">
        <v>46</v>
      </c>
      <c r="C45" s="20">
        <v>1.722E-3</v>
      </c>
    </row>
    <row r="46" spans="2:3">
      <c r="B46" s="19">
        <v>47</v>
      </c>
      <c r="C46" s="20">
        <v>1.8990000000000001E-3</v>
      </c>
    </row>
    <row r="47" spans="2:3">
      <c r="B47" s="19">
        <v>48</v>
      </c>
      <c r="C47" s="20">
        <v>2.1020000000000001E-3</v>
      </c>
    </row>
    <row r="48" spans="2:3">
      <c r="B48" s="19">
        <v>49</v>
      </c>
      <c r="C48" s="20">
        <v>2.3259999999999999E-3</v>
      </c>
    </row>
    <row r="49" spans="2:3">
      <c r="B49" s="19">
        <v>50</v>
      </c>
      <c r="C49" s="20">
        <v>2.5790000000000001E-3</v>
      </c>
    </row>
    <row r="50" spans="2:3">
      <c r="B50" s="19">
        <v>51</v>
      </c>
      <c r="C50" s="20">
        <v>2.872E-3</v>
      </c>
    </row>
    <row r="51" spans="2:3">
      <c r="B51" s="19">
        <v>52</v>
      </c>
      <c r="C51" s="20">
        <v>3.2130000000000001E-3</v>
      </c>
    </row>
    <row r="52" spans="2:3">
      <c r="B52" s="19">
        <v>53</v>
      </c>
      <c r="C52" s="20">
        <v>3.5839999999999999E-3</v>
      </c>
    </row>
    <row r="53" spans="2:3">
      <c r="B53" s="19">
        <v>54</v>
      </c>
      <c r="C53" s="20">
        <v>3.9789999999999999E-3</v>
      </c>
    </row>
    <row r="54" spans="2:3">
      <c r="B54" s="19">
        <v>55</v>
      </c>
      <c r="C54" s="20">
        <v>4.4250000000000001E-3</v>
      </c>
    </row>
    <row r="55" spans="2:3">
      <c r="B55" s="19">
        <v>56</v>
      </c>
      <c r="C55" s="20">
        <v>4.9490000000000003E-3</v>
      </c>
    </row>
    <row r="56" spans="2:3">
      <c r="B56" s="19">
        <v>57</v>
      </c>
      <c r="C56" s="20">
        <v>5.581E-3</v>
      </c>
    </row>
    <row r="57" spans="2:3">
      <c r="B57" s="19">
        <v>58</v>
      </c>
      <c r="C57" s="20">
        <v>6.3E-3</v>
      </c>
    </row>
    <row r="58" spans="2:3">
      <c r="B58" s="19">
        <v>59</v>
      </c>
      <c r="C58" s="20">
        <v>7.0899999999999999E-3</v>
      </c>
    </row>
    <row r="59" spans="2:3">
      <c r="B59" s="19">
        <v>60</v>
      </c>
      <c r="C59" s="20">
        <v>7.9760000000000005E-3</v>
      </c>
    </row>
    <row r="60" spans="2:3">
      <c r="B60" s="19">
        <v>61</v>
      </c>
      <c r="C60" s="20">
        <v>8.9859999999999992E-3</v>
      </c>
    </row>
    <row r="61" spans="2:3">
      <c r="B61" s="19">
        <v>62</v>
      </c>
      <c r="C61" s="20">
        <v>1.0147E-2</v>
      </c>
    </row>
    <row r="62" spans="2:3">
      <c r="B62" s="19">
        <v>63</v>
      </c>
      <c r="C62" s="20">
        <v>1.1471E-2</v>
      </c>
    </row>
    <row r="63" spans="2:3">
      <c r="B63" s="19">
        <v>64</v>
      </c>
      <c r="C63" s="20">
        <v>1.294E-2</v>
      </c>
    </row>
    <row r="64" spans="2:3">
      <c r="B64" s="19">
        <v>65</v>
      </c>
      <c r="C64" s="20">
        <v>1.4534999999999999E-2</v>
      </c>
    </row>
    <row r="65" spans="2:3">
      <c r="B65" s="19">
        <v>66</v>
      </c>
      <c r="C65" s="20">
        <v>1.6239E-2</v>
      </c>
    </row>
    <row r="66" spans="2:3">
      <c r="B66" s="19">
        <v>67</v>
      </c>
      <c r="C66" s="20">
        <v>1.8034000000000001E-2</v>
      </c>
    </row>
    <row r="67" spans="2:3">
      <c r="B67" s="19">
        <v>68</v>
      </c>
      <c r="C67" s="20">
        <v>1.9859000000000002E-2</v>
      </c>
    </row>
    <row r="68" spans="2:3">
      <c r="B68" s="19">
        <v>69</v>
      </c>
      <c r="C68" s="20">
        <v>2.1728999999999998E-2</v>
      </c>
    </row>
    <row r="69" spans="2:3">
      <c r="B69" s="19">
        <v>70</v>
      </c>
      <c r="C69" s="20">
        <v>2.3730000000000001E-2</v>
      </c>
    </row>
    <row r="70" spans="2:3">
      <c r="B70" s="19">
        <v>71</v>
      </c>
      <c r="C70" s="20">
        <v>2.5950999999999998E-2</v>
      </c>
    </row>
    <row r="71" spans="2:3">
      <c r="B71" s="19">
        <v>72</v>
      </c>
      <c r="C71" s="20">
        <v>2.8480999999999999E-2</v>
      </c>
    </row>
    <row r="72" spans="2:3">
      <c r="B72" s="19">
        <v>73</v>
      </c>
      <c r="C72" s="20">
        <v>3.1201E-2</v>
      </c>
    </row>
    <row r="73" spans="2:3">
      <c r="B73" s="19">
        <v>74</v>
      </c>
      <c r="C73" s="20">
        <v>3.4050999999999998E-2</v>
      </c>
    </row>
    <row r="74" spans="2:3">
      <c r="B74" s="19">
        <v>75</v>
      </c>
      <c r="C74" s="20">
        <v>3.7211000000000001E-2</v>
      </c>
    </row>
    <row r="75" spans="2:3">
      <c r="B75" s="19">
        <v>76</v>
      </c>
      <c r="C75" s="20">
        <v>4.0857999999999998E-2</v>
      </c>
    </row>
    <row r="76" spans="2:3">
      <c r="B76" s="19">
        <v>77</v>
      </c>
      <c r="C76" s="20">
        <v>4.5171000000000003E-2</v>
      </c>
    </row>
    <row r="77" spans="2:3">
      <c r="B77" s="19">
        <v>78</v>
      </c>
      <c r="C77" s="20">
        <v>5.0210999999999999E-2</v>
      </c>
    </row>
    <row r="78" spans="2:3">
      <c r="B78" s="19">
        <v>79</v>
      </c>
      <c r="C78" s="20">
        <v>5.5861000000000001E-2</v>
      </c>
    </row>
    <row r="79" spans="2:3">
      <c r="B79" s="19">
        <v>80</v>
      </c>
      <c r="C79" s="20">
        <v>6.2026999999999999E-2</v>
      </c>
    </row>
    <row r="80" spans="2:3">
      <c r="B80" s="19">
        <v>81</v>
      </c>
      <c r="C80" s="20">
        <v>6.8614999999999995E-2</v>
      </c>
    </row>
    <row r="81" spans="2:3">
      <c r="B81" s="19">
        <v>82</v>
      </c>
      <c r="C81" s="20">
        <v>7.5532000000000002E-2</v>
      </c>
    </row>
    <row r="82" spans="2:3">
      <c r="B82" s="19">
        <v>83</v>
      </c>
      <c r="C82" s="20">
        <v>8.251E-2</v>
      </c>
    </row>
    <row r="83" spans="2:3">
      <c r="B83" s="19">
        <v>84</v>
      </c>
      <c r="C83" s="20">
        <v>8.9612999999999998E-2</v>
      </c>
    </row>
    <row r="84" spans="2:3">
      <c r="B84" s="19">
        <v>85</v>
      </c>
      <c r="C84" s="20">
        <v>9.7239999999999993E-2</v>
      </c>
    </row>
    <row r="85" spans="2:3">
      <c r="B85" s="19">
        <v>86</v>
      </c>
      <c r="C85" s="20">
        <v>0.105792</v>
      </c>
    </row>
    <row r="86" spans="2:3">
      <c r="B86" s="19">
        <v>87</v>
      </c>
      <c r="C86" s="20">
        <v>0.115671</v>
      </c>
    </row>
    <row r="87" spans="2:3">
      <c r="B87" s="19">
        <v>88</v>
      </c>
      <c r="C87" s="20">
        <v>0.12698000000000001</v>
      </c>
    </row>
    <row r="88" spans="2:3">
      <c r="B88" s="19">
        <v>89</v>
      </c>
      <c r="C88" s="20">
        <v>0.13945199999999999</v>
      </c>
    </row>
    <row r="89" spans="2:3">
      <c r="B89" s="19">
        <v>90</v>
      </c>
      <c r="C89" s="20">
        <v>0.15293100000000001</v>
      </c>
    </row>
    <row r="90" spans="2:3">
      <c r="B90" s="19">
        <v>91</v>
      </c>
      <c r="C90" s="20">
        <v>0.16725999999999999</v>
      </c>
    </row>
    <row r="91" spans="2:3">
      <c r="B91" s="19">
        <v>92</v>
      </c>
      <c r="C91" s="20">
        <v>0.182281</v>
      </c>
    </row>
    <row r="92" spans="2:3">
      <c r="B92" s="19">
        <v>93</v>
      </c>
      <c r="C92" s="20">
        <v>0.19839200000000001</v>
      </c>
    </row>
    <row r="93" spans="2:3">
      <c r="B93" s="19">
        <v>94</v>
      </c>
      <c r="C93" s="20">
        <v>0.2157</v>
      </c>
    </row>
    <row r="94" spans="2:3">
      <c r="B94" s="19">
        <v>95</v>
      </c>
      <c r="C94" s="20">
        <v>0.23360600000000001</v>
      </c>
    </row>
    <row r="95" spans="2:3">
      <c r="B95" s="19">
        <v>96</v>
      </c>
      <c r="C95" s="20">
        <v>0.25151000000000001</v>
      </c>
    </row>
    <row r="96" spans="2:3">
      <c r="B96" s="19">
        <v>97</v>
      </c>
      <c r="C96" s="20">
        <v>0.26881500000000003</v>
      </c>
    </row>
    <row r="97" spans="2:3">
      <c r="B97" s="19">
        <v>98</v>
      </c>
      <c r="C97" s="20">
        <v>0.285277</v>
      </c>
    </row>
    <row r="98" spans="2:3">
      <c r="B98" s="19">
        <v>99</v>
      </c>
      <c r="C98" s="20">
        <v>0.30129800000000001</v>
      </c>
    </row>
    <row r="99" spans="2:3">
      <c r="B99" s="19">
        <v>100</v>
      </c>
      <c r="C99" s="20">
        <v>0.31723800000000002</v>
      </c>
    </row>
    <row r="100" spans="2:3">
      <c r="B100" s="19">
        <v>101</v>
      </c>
      <c r="C100" s="20">
        <v>0.33346100000000001</v>
      </c>
    </row>
    <row r="101" spans="2:3">
      <c r="B101" s="19">
        <v>102</v>
      </c>
      <c r="C101" s="20">
        <v>0.35032999999999997</v>
      </c>
    </row>
    <row r="102" spans="2:3">
      <c r="B102" s="19">
        <v>103</v>
      </c>
      <c r="C102" s="20">
        <v>0.36854199999999998</v>
      </c>
    </row>
    <row r="103" spans="2:3">
      <c r="B103" s="19">
        <v>104</v>
      </c>
      <c r="C103" s="20">
        <v>0.38785500000000001</v>
      </c>
    </row>
    <row r="104" spans="2:3">
      <c r="B104" s="19">
        <v>105</v>
      </c>
      <c r="C104" s="20">
        <v>0.40722399999999997</v>
      </c>
    </row>
    <row r="105" spans="2:3">
      <c r="B105" s="19">
        <v>106</v>
      </c>
      <c r="C105" s="20">
        <v>0.42559900000000001</v>
      </c>
    </row>
    <row r="106" spans="2:3">
      <c r="B106" s="19">
        <v>107</v>
      </c>
      <c r="C106" s="20">
        <v>0.44193500000000002</v>
      </c>
    </row>
    <row r="107" spans="2:3">
      <c r="B107" s="19">
        <v>108</v>
      </c>
      <c r="C107" s="20">
        <v>0.45755299999999999</v>
      </c>
    </row>
    <row r="108" spans="2:3">
      <c r="B108" s="19">
        <v>109</v>
      </c>
      <c r="C108" s="20">
        <v>0.47315000000000002</v>
      </c>
    </row>
    <row r="109" spans="2:3">
      <c r="B109" s="19">
        <v>110</v>
      </c>
      <c r="C109" s="20">
        <v>0.48674499999999998</v>
      </c>
    </row>
    <row r="110" spans="2:3">
      <c r="B110" s="19">
        <v>111</v>
      </c>
      <c r="C110" s="20">
        <v>0.49635600000000002</v>
      </c>
    </row>
    <row r="111" spans="2:3">
      <c r="B111" s="19">
        <v>112</v>
      </c>
      <c r="C111" s="20">
        <v>0.5</v>
      </c>
    </row>
    <row r="112" spans="2:3">
      <c r="B112" s="19">
        <v>113</v>
      </c>
      <c r="C112" s="20">
        <v>0.5</v>
      </c>
    </row>
    <row r="113" spans="2:3">
      <c r="B113" s="19">
        <v>114</v>
      </c>
      <c r="C113" s="20">
        <v>0.5</v>
      </c>
    </row>
    <row r="114" spans="2:3">
      <c r="B114" s="19">
        <v>115</v>
      </c>
      <c r="C114" s="20">
        <v>0.5</v>
      </c>
    </row>
    <row r="115" spans="2:3">
      <c r="B115" s="19">
        <v>116</v>
      </c>
      <c r="C115" s="20">
        <v>0.5</v>
      </c>
    </row>
    <row r="116" spans="2:3">
      <c r="B116" s="19">
        <v>117</v>
      </c>
      <c r="C116" s="20">
        <v>0.5</v>
      </c>
    </row>
    <row r="117" spans="2:3">
      <c r="B117" s="19">
        <v>118</v>
      </c>
      <c r="C117" s="20">
        <v>0.5</v>
      </c>
    </row>
    <row r="118" spans="2:3">
      <c r="B118" s="19">
        <v>119</v>
      </c>
      <c r="C118" s="20">
        <v>0.5</v>
      </c>
    </row>
    <row r="119" spans="2:3" ht="15.75" thickBot="1">
      <c r="B119" s="19">
        <v>120</v>
      </c>
      <c r="C119" s="21">
        <v>1</v>
      </c>
    </row>
  </sheetData>
  <mergeCells count="1">
    <mergeCell ref="B2:C2"/>
  </mergeCells>
  <printOptions horizontalCentered="1"/>
  <pageMargins left="0.7" right="0.7" top="0.75" bottom="0.75" header="0.3" footer="0.3"/>
  <pageSetup scale="45" orientation="portrait" r:id="rId1"/>
  <headerFooter>
    <oddFooter>&amp;L&amp;F
&amp;A&amp;C&amp;P of &amp;N&amp;R&amp;D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6F70-28D5-4AB5-B663-7286F9692C38}">
  <sheetPr codeName="Sheet3">
    <tabColor rgb="FF7030A0"/>
    <pageSetUpPr fitToPage="1"/>
  </sheetPr>
  <dimension ref="B2:I20"/>
  <sheetViews>
    <sheetView zoomScaleNormal="100" workbookViewId="0">
      <selection activeCell="B8" sqref="B8"/>
    </sheetView>
  </sheetViews>
  <sheetFormatPr defaultColWidth="8.85546875" defaultRowHeight="12.75"/>
  <cols>
    <col min="1" max="1" width="1.28515625" style="1" customWidth="1"/>
    <col min="2" max="2" width="14" style="1" customWidth="1"/>
    <col min="3" max="3" width="28.5703125" style="1" customWidth="1"/>
    <col min="4" max="5" width="15.28515625" style="1" customWidth="1"/>
    <col min="6" max="6" width="15" style="1" customWidth="1"/>
    <col min="7" max="7" width="14.140625" style="1" bestFit="1" customWidth="1"/>
    <col min="8" max="8" width="7.140625" style="36" customWidth="1"/>
    <col min="9" max="9" width="10" style="36" customWidth="1"/>
    <col min="10" max="16384" width="8.85546875" style="1"/>
  </cols>
  <sheetData>
    <row r="2" spans="2:9" ht="15.75">
      <c r="B2" s="3" t="s">
        <v>6</v>
      </c>
      <c r="G2" s="4">
        <f ca="1">DATE(YEAR(TODAY()),-11,1)</f>
        <v>43466</v>
      </c>
    </row>
    <row r="4" spans="2:9" ht="15.75">
      <c r="B4" s="94" t="s">
        <v>0</v>
      </c>
      <c r="C4" s="94" t="s">
        <v>1</v>
      </c>
      <c r="D4" s="94" t="s">
        <v>7</v>
      </c>
      <c r="E4" s="94" t="s">
        <v>8</v>
      </c>
      <c r="F4" s="94" t="s">
        <v>2</v>
      </c>
      <c r="G4" s="94" t="s">
        <v>3</v>
      </c>
      <c r="H4" s="95" t="s">
        <v>9</v>
      </c>
      <c r="I4" s="95" t="s">
        <v>10</v>
      </c>
    </row>
    <row r="5" spans="2:9" ht="15.75">
      <c r="B5" s="97">
        <v>50007</v>
      </c>
      <c r="C5" s="97" t="s">
        <v>18</v>
      </c>
      <c r="D5" s="101">
        <v>100000</v>
      </c>
      <c r="E5" s="101">
        <f t="shared" ref="E5:E14" si="0">ROUND(D5/1.09,-3)</f>
        <v>92000</v>
      </c>
      <c r="F5" s="98">
        <v>20070</v>
      </c>
      <c r="G5" s="98">
        <v>32743</v>
      </c>
      <c r="H5" s="104">
        <f t="shared" ref="H5:H14" ca="1" si="1">YEAR($G$2)-YEAR(F5)-IF(DATE(YEAR($G$2),MONTH(F5),DAY(F5))&gt;$G$2,1,0)</f>
        <v>64</v>
      </c>
      <c r="I5" s="104">
        <f t="shared" ref="I5:I14" ca="1" si="2">($G$2-G5)/365.25</f>
        <v>29.357973990417523</v>
      </c>
    </row>
    <row r="6" spans="2:9" ht="15.75">
      <c r="B6" s="97">
        <v>50002</v>
      </c>
      <c r="C6" s="97" t="s">
        <v>13</v>
      </c>
      <c r="D6" s="101">
        <v>99000</v>
      </c>
      <c r="E6" s="101">
        <f t="shared" si="0"/>
        <v>91000</v>
      </c>
      <c r="F6" s="98">
        <v>19785</v>
      </c>
      <c r="G6" s="98">
        <v>42616</v>
      </c>
      <c r="H6" s="104">
        <f t="shared" ca="1" si="1"/>
        <v>64</v>
      </c>
      <c r="I6" s="104">
        <f t="shared" ca="1" si="2"/>
        <v>2.3271731690622861</v>
      </c>
    </row>
    <row r="7" spans="2:9" ht="15.75">
      <c r="B7" s="97">
        <v>50004</v>
      </c>
      <c r="C7" s="97" t="s">
        <v>15</v>
      </c>
      <c r="D7" s="101">
        <v>97000</v>
      </c>
      <c r="E7" s="101">
        <f t="shared" si="0"/>
        <v>89000</v>
      </c>
      <c r="F7" s="98">
        <v>20341</v>
      </c>
      <c r="G7" s="98">
        <v>40825</v>
      </c>
      <c r="H7" s="104">
        <f t="shared" ca="1" si="1"/>
        <v>63</v>
      </c>
      <c r="I7" s="104">
        <f t="shared" ca="1" si="2"/>
        <v>7.2306639288158792</v>
      </c>
    </row>
    <row r="8" spans="2:9" ht="15.75">
      <c r="B8" s="97">
        <v>50003</v>
      </c>
      <c r="C8" s="97" t="s">
        <v>14</v>
      </c>
      <c r="D8" s="101">
        <v>98000</v>
      </c>
      <c r="E8" s="101">
        <f t="shared" si="0"/>
        <v>90000</v>
      </c>
      <c r="F8" s="98">
        <v>20584</v>
      </c>
      <c r="G8" s="98">
        <v>37989</v>
      </c>
      <c r="H8" s="104">
        <f t="shared" ca="1" si="1"/>
        <v>62</v>
      </c>
      <c r="I8" s="104">
        <f t="shared" ca="1" si="2"/>
        <v>14.99520876112252</v>
      </c>
    </row>
    <row r="9" spans="2:9" ht="15.75">
      <c r="B9" s="97">
        <v>50009</v>
      </c>
      <c r="C9" s="97" t="s">
        <v>20</v>
      </c>
      <c r="D9" s="101">
        <v>92000</v>
      </c>
      <c r="E9" s="101">
        <f t="shared" si="0"/>
        <v>84000</v>
      </c>
      <c r="F9" s="98">
        <v>20694</v>
      </c>
      <c r="G9" s="98">
        <v>36767</v>
      </c>
      <c r="H9" s="104">
        <f t="shared" ca="1" si="1"/>
        <v>62</v>
      </c>
      <c r="I9" s="104">
        <f t="shared" ca="1" si="2"/>
        <v>18.340862422997947</v>
      </c>
    </row>
    <row r="10" spans="2:9" ht="15.75">
      <c r="B10" s="97">
        <v>50008</v>
      </c>
      <c r="C10" s="97" t="s">
        <v>19</v>
      </c>
      <c r="D10" s="101">
        <v>93000</v>
      </c>
      <c r="E10" s="101">
        <f t="shared" si="0"/>
        <v>85000</v>
      </c>
      <c r="F10" s="98">
        <v>21491</v>
      </c>
      <c r="G10" s="98">
        <v>43078</v>
      </c>
      <c r="H10" s="104">
        <f t="shared" ca="1" si="1"/>
        <v>60</v>
      </c>
      <c r="I10" s="104">
        <f t="shared" ca="1" si="2"/>
        <v>1.0622861054072552</v>
      </c>
    </row>
    <row r="11" spans="2:9" ht="15.75">
      <c r="B11" s="97">
        <v>50010</v>
      </c>
      <c r="C11" s="97" t="s">
        <v>21</v>
      </c>
      <c r="D11" s="101">
        <v>91000</v>
      </c>
      <c r="E11" s="101">
        <f t="shared" si="0"/>
        <v>83000</v>
      </c>
      <c r="F11" s="98">
        <v>22901</v>
      </c>
      <c r="G11" s="98">
        <v>32546</v>
      </c>
      <c r="H11" s="104">
        <f t="shared" ca="1" si="1"/>
        <v>56</v>
      </c>
      <c r="I11" s="104">
        <f t="shared" ca="1" si="2"/>
        <v>29.897330595482547</v>
      </c>
    </row>
    <row r="12" spans="2:9" ht="15.75">
      <c r="B12" s="97">
        <v>50006</v>
      </c>
      <c r="C12" s="97" t="s">
        <v>17</v>
      </c>
      <c r="D12" s="101">
        <v>95000</v>
      </c>
      <c r="E12" s="101">
        <f t="shared" si="0"/>
        <v>87000</v>
      </c>
      <c r="F12" s="98">
        <v>23072</v>
      </c>
      <c r="G12" s="98">
        <v>36163</v>
      </c>
      <c r="H12" s="104">
        <f t="shared" ca="1" si="1"/>
        <v>55</v>
      </c>
      <c r="I12" s="104">
        <f t="shared" ca="1" si="2"/>
        <v>19.994524298425734</v>
      </c>
    </row>
    <row r="13" spans="2:9" ht="15.75">
      <c r="B13" s="97">
        <v>50005</v>
      </c>
      <c r="C13" s="97" t="s">
        <v>16</v>
      </c>
      <c r="D13" s="101">
        <v>96000</v>
      </c>
      <c r="E13" s="101">
        <f t="shared" si="0"/>
        <v>88000</v>
      </c>
      <c r="F13" s="98">
        <v>26458</v>
      </c>
      <c r="G13" s="98">
        <v>40973</v>
      </c>
      <c r="H13" s="104">
        <f t="shared" ca="1" si="1"/>
        <v>46</v>
      </c>
      <c r="I13" s="104">
        <f t="shared" ca="1" si="2"/>
        <v>6.8254620123203287</v>
      </c>
    </row>
    <row r="14" spans="2:9" ht="15.75">
      <c r="B14" s="97">
        <v>50001</v>
      </c>
      <c r="C14" s="97" t="s">
        <v>12</v>
      </c>
      <c r="D14" s="101">
        <v>110000</v>
      </c>
      <c r="E14" s="101">
        <f t="shared" si="0"/>
        <v>101000</v>
      </c>
      <c r="F14" s="98">
        <v>26363</v>
      </c>
      <c r="G14" s="98">
        <v>33665</v>
      </c>
      <c r="H14" s="104">
        <f t="shared" ca="1" si="1"/>
        <v>46</v>
      </c>
      <c r="I14" s="104">
        <f t="shared" ca="1" si="2"/>
        <v>26.833675564681723</v>
      </c>
    </row>
    <row r="18" spans="3:4" ht="15.75">
      <c r="C18" s="38"/>
      <c r="D18" s="41"/>
    </row>
    <row r="19" spans="3:4" ht="15.75">
      <c r="C19" s="39"/>
    </row>
    <row r="20" spans="3:4" ht="15.75">
      <c r="C20" s="40"/>
    </row>
  </sheetData>
  <sortState xmlns:xlrd2="http://schemas.microsoft.com/office/spreadsheetml/2017/richdata2" ref="B5:I14">
    <sortCondition descending="1" ref="H5:H14"/>
    <sortCondition ref="C5:C14"/>
  </sortState>
  <printOptions horizontalCentered="1"/>
  <pageMargins left="0.7" right="0.7" top="0.75" bottom="0.75" header="0.3" footer="0.3"/>
  <pageSetup orientation="landscape" r:id="rId1"/>
  <headerFooter>
    <oddFooter>&amp;L&amp;F
&amp;A&amp;C&amp;P of &amp;N&amp;R&amp;D
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574A-BC1B-421D-BE04-E62A22BB1FBC}">
  <sheetPr codeName="Sheet4">
    <tabColor rgb="FF7030A0"/>
    <pageSetUpPr fitToPage="1"/>
  </sheetPr>
  <dimension ref="B1:J31"/>
  <sheetViews>
    <sheetView workbookViewId="0">
      <selection activeCell="E1" sqref="E1"/>
    </sheetView>
  </sheetViews>
  <sheetFormatPr defaultColWidth="8.85546875" defaultRowHeight="12.75"/>
  <cols>
    <col min="1" max="1" width="1.28515625" style="1" customWidth="1"/>
    <col min="2" max="2" width="12.7109375" style="1" customWidth="1"/>
    <col min="3" max="3" width="27.5703125" style="1" customWidth="1"/>
    <col min="4" max="4" width="16.42578125" style="1" customWidth="1"/>
    <col min="5" max="5" width="15.28515625" style="1" customWidth="1"/>
    <col min="6" max="6" width="18.28515625" style="1" customWidth="1"/>
    <col min="7" max="7" width="18.140625" style="1" customWidth="1"/>
    <col min="8" max="8" width="12.7109375" style="36" customWidth="1"/>
    <col min="9" max="9" width="13" style="36" customWidth="1"/>
    <col min="10" max="16384" width="8.85546875" style="1"/>
  </cols>
  <sheetData>
    <row r="1" spans="2:9" ht="120.75" thickBot="1">
      <c r="B1" s="47" t="s">
        <v>45</v>
      </c>
      <c r="C1" s="48"/>
      <c r="D1" s="55" t="s">
        <v>46</v>
      </c>
      <c r="E1" s="52">
        <f>SUBTOTAL(3,B11:B20)</f>
        <v>10</v>
      </c>
    </row>
    <row r="2" spans="2:9" ht="15.75" thickBot="1">
      <c r="B2" s="50"/>
      <c r="C2" s="50"/>
      <c r="D2" s="55" t="s">
        <v>47</v>
      </c>
      <c r="E2" s="51">
        <f>SUBTOTAL(9,D11:D20)</f>
        <v>971000</v>
      </c>
    </row>
    <row r="3" spans="2:9" ht="15.75" thickBot="1">
      <c r="B3" s="43"/>
      <c r="C3" s="43"/>
      <c r="D3" s="55" t="s">
        <v>48</v>
      </c>
      <c r="E3" s="51">
        <f>SUBTOTAL(1,D11:D20)</f>
        <v>97100</v>
      </c>
    </row>
    <row r="4" spans="2:9" ht="16.5" thickBot="1">
      <c r="B4"/>
      <c r="C4"/>
      <c r="D4" s="55" t="s">
        <v>42</v>
      </c>
      <c r="E4" s="53">
        <f ca="1">SUBTOTAL(4,H11:H20)</f>
        <v>64</v>
      </c>
    </row>
    <row r="5" spans="2:9" ht="16.5" thickBot="1">
      <c r="D5" s="55" t="s">
        <v>43</v>
      </c>
      <c r="E5" s="53">
        <f ca="1">SUBTOTAL(5,H11:H20)</f>
        <v>46</v>
      </c>
    </row>
    <row r="6" spans="2:9" ht="30.75" thickBot="1">
      <c r="D6" s="55" t="s">
        <v>44</v>
      </c>
      <c r="E6" s="54">
        <f ca="1">SUBTOTAL(1,I11:I20)</f>
        <v>15.686516084873375</v>
      </c>
    </row>
    <row r="8" spans="2:9" ht="33.75" customHeight="1">
      <c r="B8" s="3" t="s">
        <v>6</v>
      </c>
      <c r="G8" s="4">
        <f ca="1">DATE(YEAR(TODAY()),-11,1)</f>
        <v>43466</v>
      </c>
    </row>
    <row r="10" spans="2:9" ht="15.75">
      <c r="B10" s="95" t="s">
        <v>0</v>
      </c>
      <c r="C10" s="95" t="s">
        <v>1</v>
      </c>
      <c r="D10" s="95" t="s">
        <v>7</v>
      </c>
      <c r="E10" s="95" t="s">
        <v>8</v>
      </c>
      <c r="F10" s="95" t="s">
        <v>2</v>
      </c>
      <c r="G10" s="95" t="s">
        <v>3</v>
      </c>
      <c r="H10" s="95" t="s">
        <v>9</v>
      </c>
      <c r="I10" s="95" t="s">
        <v>10</v>
      </c>
    </row>
    <row r="11" spans="2:9" ht="15.75">
      <c r="B11" s="105">
        <v>50001</v>
      </c>
      <c r="C11" s="105" t="s">
        <v>12</v>
      </c>
      <c r="D11" s="101">
        <v>110000</v>
      </c>
      <c r="E11" s="101">
        <f>ROUND(D11/1.09,-3)</f>
        <v>101000</v>
      </c>
      <c r="F11" s="98">
        <v>26363</v>
      </c>
      <c r="G11" s="98">
        <v>33665</v>
      </c>
      <c r="H11" s="104">
        <f ca="1">YEAR($G$8)-YEAR(F11)-IF(DATE(YEAR($G$8),MONTH(F11),DAY(F11))&gt;$G$8,1,0)</f>
        <v>46</v>
      </c>
      <c r="I11" s="104">
        <f ca="1">($G$8-G11)/365.25</f>
        <v>26.833675564681723</v>
      </c>
    </row>
    <row r="12" spans="2:9" ht="15.75">
      <c r="B12" s="105">
        <v>50002</v>
      </c>
      <c r="C12" s="105" t="s">
        <v>13</v>
      </c>
      <c r="D12" s="101">
        <v>99000</v>
      </c>
      <c r="E12" s="101">
        <f t="shared" ref="E12:E20" si="0">ROUND(D12/1.09,-3)</f>
        <v>91000</v>
      </c>
      <c r="F12" s="98">
        <v>19785</v>
      </c>
      <c r="G12" s="98">
        <v>42616</v>
      </c>
      <c r="H12" s="104">
        <f t="shared" ref="H12:H20" ca="1" si="1">YEAR($G$8)-YEAR(F12)-IF(DATE(YEAR($G$8),MONTH(F12),DAY(F12))&gt;$G$8,1,0)</f>
        <v>64</v>
      </c>
      <c r="I12" s="104">
        <f t="shared" ref="I12:I20" ca="1" si="2">($G$8-G12)/365.25</f>
        <v>2.3271731690622861</v>
      </c>
    </row>
    <row r="13" spans="2:9" ht="15.75">
      <c r="B13" s="105">
        <v>50003</v>
      </c>
      <c r="C13" s="105" t="s">
        <v>14</v>
      </c>
      <c r="D13" s="101">
        <v>98000</v>
      </c>
      <c r="E13" s="101">
        <f t="shared" si="0"/>
        <v>90000</v>
      </c>
      <c r="F13" s="98">
        <v>20584</v>
      </c>
      <c r="G13" s="98">
        <v>37989</v>
      </c>
      <c r="H13" s="104">
        <f t="shared" ca="1" si="1"/>
        <v>62</v>
      </c>
      <c r="I13" s="104">
        <f t="shared" ca="1" si="2"/>
        <v>14.99520876112252</v>
      </c>
    </row>
    <row r="14" spans="2:9" ht="15.75">
      <c r="B14" s="105">
        <v>50004</v>
      </c>
      <c r="C14" s="105" t="s">
        <v>15</v>
      </c>
      <c r="D14" s="101">
        <v>97000</v>
      </c>
      <c r="E14" s="101">
        <f t="shared" si="0"/>
        <v>89000</v>
      </c>
      <c r="F14" s="98">
        <v>20341</v>
      </c>
      <c r="G14" s="98">
        <v>40825</v>
      </c>
      <c r="H14" s="104">
        <f t="shared" ca="1" si="1"/>
        <v>63</v>
      </c>
      <c r="I14" s="104">
        <f t="shared" ca="1" si="2"/>
        <v>7.2306639288158792</v>
      </c>
    </row>
    <row r="15" spans="2:9" ht="15.75">
      <c r="B15" s="105">
        <v>50005</v>
      </c>
      <c r="C15" s="105" t="s">
        <v>16</v>
      </c>
      <c r="D15" s="101">
        <v>96000</v>
      </c>
      <c r="E15" s="101">
        <f t="shared" si="0"/>
        <v>88000</v>
      </c>
      <c r="F15" s="98">
        <v>26458</v>
      </c>
      <c r="G15" s="98">
        <v>40973</v>
      </c>
      <c r="H15" s="104">
        <f t="shared" ca="1" si="1"/>
        <v>46</v>
      </c>
      <c r="I15" s="104">
        <f ca="1">($G$8-G15)/365.25</f>
        <v>6.8254620123203287</v>
      </c>
    </row>
    <row r="16" spans="2:9" ht="15.75">
      <c r="B16" s="105">
        <v>50006</v>
      </c>
      <c r="C16" s="105" t="s">
        <v>17</v>
      </c>
      <c r="D16" s="101">
        <v>95000</v>
      </c>
      <c r="E16" s="101">
        <f t="shared" si="0"/>
        <v>87000</v>
      </c>
      <c r="F16" s="98">
        <v>23072</v>
      </c>
      <c r="G16" s="98">
        <v>36163</v>
      </c>
      <c r="H16" s="104">
        <f t="shared" ca="1" si="1"/>
        <v>55</v>
      </c>
      <c r="I16" s="104">
        <f ca="1">($G$8-G16)/365.25</f>
        <v>19.994524298425734</v>
      </c>
    </row>
    <row r="17" spans="2:10" ht="15.75">
      <c r="B17" s="105">
        <v>50007</v>
      </c>
      <c r="C17" s="105" t="s">
        <v>18</v>
      </c>
      <c r="D17" s="101">
        <v>100000</v>
      </c>
      <c r="E17" s="101">
        <f t="shared" si="0"/>
        <v>92000</v>
      </c>
      <c r="F17" s="98">
        <v>20070</v>
      </c>
      <c r="G17" s="98">
        <v>32743</v>
      </c>
      <c r="H17" s="104">
        <f t="shared" ca="1" si="1"/>
        <v>64</v>
      </c>
      <c r="I17" s="104">
        <f t="shared" ca="1" si="2"/>
        <v>29.357973990417523</v>
      </c>
    </row>
    <row r="18" spans="2:10" ht="15.75">
      <c r="B18" s="105">
        <v>50008</v>
      </c>
      <c r="C18" s="105" t="s">
        <v>19</v>
      </c>
      <c r="D18" s="101">
        <v>93000</v>
      </c>
      <c r="E18" s="101">
        <f t="shared" si="0"/>
        <v>85000</v>
      </c>
      <c r="F18" s="98">
        <v>21491</v>
      </c>
      <c r="G18" s="98">
        <v>43078</v>
      </c>
      <c r="H18" s="104">
        <f t="shared" ca="1" si="1"/>
        <v>60</v>
      </c>
      <c r="I18" s="104">
        <f t="shared" ca="1" si="2"/>
        <v>1.0622861054072552</v>
      </c>
    </row>
    <row r="19" spans="2:10" ht="15.75">
      <c r="B19" s="105">
        <v>50009</v>
      </c>
      <c r="C19" s="105" t="s">
        <v>20</v>
      </c>
      <c r="D19" s="101">
        <v>92000</v>
      </c>
      <c r="E19" s="101">
        <f t="shared" si="0"/>
        <v>84000</v>
      </c>
      <c r="F19" s="98">
        <v>20694</v>
      </c>
      <c r="G19" s="98">
        <v>36767</v>
      </c>
      <c r="H19" s="104">
        <f t="shared" ca="1" si="1"/>
        <v>62</v>
      </c>
      <c r="I19" s="104">
        <f t="shared" ca="1" si="2"/>
        <v>18.340862422997947</v>
      </c>
    </row>
    <row r="20" spans="2:10" ht="15.75">
      <c r="B20" s="105">
        <v>50010</v>
      </c>
      <c r="C20" s="105" t="s">
        <v>21</v>
      </c>
      <c r="D20" s="101">
        <v>91000</v>
      </c>
      <c r="E20" s="101">
        <f t="shared" si="0"/>
        <v>83000</v>
      </c>
      <c r="F20" s="98">
        <v>22901</v>
      </c>
      <c r="G20" s="98">
        <v>32546</v>
      </c>
      <c r="H20" s="104">
        <f t="shared" ca="1" si="1"/>
        <v>56</v>
      </c>
      <c r="I20" s="104">
        <f t="shared" ca="1" si="2"/>
        <v>29.897330595482547</v>
      </c>
    </row>
    <row r="21" spans="2:10">
      <c r="B21" s="29"/>
      <c r="C21" s="29"/>
      <c r="D21" s="29"/>
      <c r="E21" s="29"/>
      <c r="F21" s="29"/>
      <c r="G21" s="29"/>
      <c r="H21" s="49"/>
      <c r="I21" s="49"/>
      <c r="J21" s="29"/>
    </row>
    <row r="22" spans="2:10" ht="15">
      <c r="B22" s="59"/>
      <c r="C22" s="29"/>
      <c r="D22" s="30"/>
      <c r="E22" s="30"/>
      <c r="F22" s="31"/>
      <c r="G22" s="31"/>
      <c r="H22" s="60"/>
      <c r="I22" s="61"/>
      <c r="J22" s="29"/>
    </row>
    <row r="23" spans="2:10" ht="15">
      <c r="B23" s="59"/>
      <c r="C23" s="29"/>
      <c r="D23" s="30"/>
      <c r="E23" s="30"/>
      <c r="F23" s="31"/>
      <c r="G23" s="31"/>
      <c r="H23" s="60"/>
      <c r="I23" s="61"/>
      <c r="J23" s="29"/>
    </row>
    <row r="24" spans="2:10" ht="15">
      <c r="B24" s="59"/>
      <c r="C24" s="29"/>
      <c r="D24" s="30"/>
      <c r="E24" s="30"/>
      <c r="F24" s="31"/>
      <c r="G24" s="31"/>
      <c r="H24" s="60"/>
      <c r="I24" s="61"/>
      <c r="J24" s="29"/>
    </row>
    <row r="25" spans="2:10" ht="15">
      <c r="B25" s="59"/>
      <c r="C25" s="29"/>
      <c r="D25" s="30"/>
      <c r="E25" s="30"/>
      <c r="F25" s="31"/>
      <c r="G25" s="31"/>
      <c r="H25" s="60"/>
      <c r="I25" s="61"/>
      <c r="J25" s="29"/>
    </row>
    <row r="26" spans="2:10" ht="15">
      <c r="B26" s="59"/>
      <c r="C26" s="29"/>
      <c r="D26" s="30"/>
      <c r="E26" s="30"/>
      <c r="F26" s="31"/>
      <c r="G26" s="31"/>
      <c r="H26" s="60"/>
      <c r="I26" s="61"/>
      <c r="J26" s="29"/>
    </row>
    <row r="27" spans="2:10" ht="15">
      <c r="B27" s="59"/>
      <c r="C27" s="29"/>
      <c r="D27" s="30"/>
      <c r="E27" s="30"/>
      <c r="F27" s="31"/>
      <c r="G27" s="31"/>
      <c r="H27" s="60"/>
      <c r="I27" s="61"/>
      <c r="J27" s="29"/>
    </row>
    <row r="28" spans="2:10" ht="15">
      <c r="B28" s="59"/>
      <c r="C28" s="29"/>
      <c r="D28" s="30"/>
      <c r="E28" s="30"/>
      <c r="F28" s="31"/>
      <c r="G28" s="31"/>
      <c r="H28" s="60"/>
      <c r="I28" s="61"/>
      <c r="J28" s="29"/>
    </row>
    <row r="29" spans="2:10" ht="30.75" customHeight="1">
      <c r="B29" s="59"/>
      <c r="C29" s="29"/>
      <c r="D29" s="30"/>
      <c r="E29" s="30"/>
      <c r="F29" s="31"/>
      <c r="G29" s="31"/>
      <c r="H29" s="60"/>
      <c r="I29" s="61"/>
      <c r="J29" s="29"/>
    </row>
    <row r="30" spans="2:10" ht="30.75" customHeight="1">
      <c r="B30" s="29"/>
      <c r="C30" s="29"/>
      <c r="D30" s="29"/>
      <c r="E30" s="29"/>
      <c r="F30" s="29"/>
      <c r="G30" s="29"/>
      <c r="H30" s="49"/>
      <c r="I30" s="49"/>
      <c r="J30" s="29"/>
    </row>
    <row r="31" spans="2:10" ht="30.75" customHeight="1"/>
  </sheetData>
  <autoFilter ref="B10:I20" xr:uid="{F8A76227-BD8C-489D-83B7-A37B635A0FCB}"/>
  <printOptions horizontalCentered="1"/>
  <pageMargins left="0.7" right="0.7" top="0.75" bottom="0.75" header="0.3" footer="0.3"/>
  <pageSetup scale="90" orientation="landscape" r:id="rId1"/>
  <headerFooter>
    <oddFooter>&amp;L&amp;F
&amp;A&amp;C&amp;P of &amp;N&amp;R&amp;D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7357-3ADD-4DD8-B8B2-DD99E44895BD}">
  <sheetPr codeName="Sheet5" filterMode="1">
    <tabColor rgb="FF7030A0"/>
    <pageSetUpPr fitToPage="1"/>
  </sheetPr>
  <dimension ref="B1:J39"/>
  <sheetViews>
    <sheetView topLeftCell="B1" workbookViewId="0">
      <selection activeCell="I5" sqref="I5"/>
    </sheetView>
  </sheetViews>
  <sheetFormatPr defaultColWidth="8.85546875" defaultRowHeight="12.75"/>
  <cols>
    <col min="1" max="1" width="1.28515625" style="1" customWidth="1"/>
    <col min="2" max="2" width="12.7109375" style="1" customWidth="1"/>
    <col min="3" max="3" width="27.85546875" style="1" customWidth="1"/>
    <col min="4" max="4" width="16.7109375" style="1" customWidth="1"/>
    <col min="5" max="5" width="13.7109375" style="1" customWidth="1"/>
    <col min="6" max="6" width="17.7109375" style="1" customWidth="1"/>
    <col min="7" max="7" width="15.28515625" style="1" customWidth="1"/>
    <col min="8" max="8" width="20" style="36" customWidth="1"/>
    <col min="9" max="9" width="10.7109375" style="36" customWidth="1"/>
    <col min="10" max="10" width="23.7109375" style="1" customWidth="1"/>
    <col min="11" max="11" width="8.85546875" style="1"/>
    <col min="12" max="12" width="26.5703125" style="1" customWidth="1"/>
    <col min="13" max="16384" width="8.85546875" style="1"/>
  </cols>
  <sheetData>
    <row r="1" spans="2:10" ht="13.5" thickBot="1"/>
    <row r="2" spans="2:10" ht="120.75" thickBot="1">
      <c r="B2" s="47" t="s">
        <v>45</v>
      </c>
      <c r="C2" s="48"/>
      <c r="D2" s="55" t="s">
        <v>46</v>
      </c>
      <c r="E2" s="90">
        <f>SUBTOTAL(3,B12:B21)</f>
        <v>8</v>
      </c>
      <c r="F2" s="44"/>
      <c r="G2" s="5" t="s">
        <v>9</v>
      </c>
      <c r="H2" s="5" t="s">
        <v>7</v>
      </c>
      <c r="I2" s="1"/>
      <c r="J2" s="42" t="s">
        <v>52</v>
      </c>
    </row>
    <row r="3" spans="2:10" ht="15.75" thickBot="1">
      <c r="B3" s="50"/>
      <c r="C3" s="50"/>
      <c r="D3" s="55" t="s">
        <v>47</v>
      </c>
      <c r="E3" s="91">
        <f>SUBTOTAL(9,D12:D21)</f>
        <v>765000</v>
      </c>
      <c r="F3" s="44"/>
      <c r="G3" s="56" t="s">
        <v>49</v>
      </c>
      <c r="H3" s="57" t="s">
        <v>51</v>
      </c>
      <c r="I3" s="1"/>
    </row>
    <row r="4" spans="2:10" ht="15.75" thickBot="1">
      <c r="B4" s="43"/>
      <c r="C4" s="43"/>
      <c r="D4" s="55" t="s">
        <v>48</v>
      </c>
      <c r="E4" s="91">
        <f>SUBTOTAL(1,D12:D21)</f>
        <v>95625</v>
      </c>
      <c r="F4" s="44"/>
      <c r="G4" s="56" t="s">
        <v>50</v>
      </c>
      <c r="H4" s="57"/>
      <c r="I4" s="1"/>
    </row>
    <row r="5" spans="2:10" ht="16.5" thickBot="1">
      <c r="B5"/>
      <c r="C5"/>
      <c r="D5" s="55" t="s">
        <v>42</v>
      </c>
      <c r="E5" s="92">
        <f ca="1">SUBTOTAL(4,H12:H21)</f>
        <v>64</v>
      </c>
      <c r="F5" s="44"/>
      <c r="G5" s="44"/>
      <c r="H5" s="49"/>
      <c r="I5" s="49"/>
    </row>
    <row r="6" spans="2:10" ht="16.5" thickBot="1">
      <c r="D6" s="55" t="s">
        <v>43</v>
      </c>
      <c r="E6" s="92">
        <f ca="1">SUBTOTAL(5,H12:H21)</f>
        <v>55</v>
      </c>
      <c r="F6" s="29"/>
      <c r="G6" s="45"/>
      <c r="H6" s="49"/>
      <c r="I6" s="49"/>
    </row>
    <row r="7" spans="2:10" ht="30.75" thickBot="1">
      <c r="D7" s="55" t="s">
        <v>44</v>
      </c>
      <c r="E7" s="93">
        <f ca="1">SUBTOTAL(1,I12:I21)</f>
        <v>15.40075290896646</v>
      </c>
      <c r="F7" s="29"/>
      <c r="G7" s="46"/>
      <c r="H7" s="49"/>
      <c r="I7" s="49"/>
    </row>
    <row r="9" spans="2:10" ht="27.75" customHeight="1">
      <c r="B9" s="3" t="s">
        <v>6</v>
      </c>
      <c r="G9" s="4">
        <f ca="1">DATE(YEAR(TODAY()),-11,1)</f>
        <v>43466</v>
      </c>
    </row>
    <row r="11" spans="2:10" ht="15.75">
      <c r="B11" s="94" t="s">
        <v>0</v>
      </c>
      <c r="C11" s="94" t="s">
        <v>1</v>
      </c>
      <c r="D11" s="94" t="s">
        <v>7</v>
      </c>
      <c r="E11" s="94" t="s">
        <v>8</v>
      </c>
      <c r="F11" s="94" t="s">
        <v>2</v>
      </c>
      <c r="G11" s="94" t="s">
        <v>3</v>
      </c>
      <c r="H11" s="102" t="s">
        <v>9</v>
      </c>
      <c r="I11" s="102" t="s">
        <v>10</v>
      </c>
    </row>
    <row r="12" spans="2:10" ht="15.75" hidden="1">
      <c r="B12" s="99">
        <v>50001</v>
      </c>
      <c r="C12" s="100" t="s">
        <v>12</v>
      </c>
      <c r="D12" s="96">
        <v>110000</v>
      </c>
      <c r="E12" s="96">
        <f>ROUND(D12/1.09,-3)</f>
        <v>101000</v>
      </c>
      <c r="F12" s="98">
        <v>26363</v>
      </c>
      <c r="G12" s="98">
        <v>33665</v>
      </c>
      <c r="H12" s="103">
        <f ca="1">YEAR($G$9)-YEAR(F12)-IF(DATE(YEAR($G$9),MONTH(F12),DAY(F12))&gt;$G$9,1,0)</f>
        <v>46</v>
      </c>
      <c r="I12" s="103">
        <f ca="1">($G$9-G12)/365.25</f>
        <v>26.833675564681723</v>
      </c>
    </row>
    <row r="13" spans="2:10" ht="15.75">
      <c r="B13" s="99">
        <v>50002</v>
      </c>
      <c r="C13" s="100" t="s">
        <v>13</v>
      </c>
      <c r="D13" s="96">
        <v>99000</v>
      </c>
      <c r="E13" s="96">
        <f t="shared" ref="E13:E21" si="0">ROUND(D13/1.09,-3)</f>
        <v>91000</v>
      </c>
      <c r="F13" s="98">
        <v>19785</v>
      </c>
      <c r="G13" s="98">
        <v>42616</v>
      </c>
      <c r="H13" s="103">
        <f t="shared" ref="H13:H21" ca="1" si="1">YEAR($G$9)-YEAR(F13)-IF(DATE(YEAR($G$9),MONTH(F13),DAY(F13))&gt;$G$9,1,0)</f>
        <v>64</v>
      </c>
      <c r="I13" s="103">
        <f t="shared" ref="I13:I21" ca="1" si="2">($G$9-G13)/365.25</f>
        <v>2.3271731690622861</v>
      </c>
    </row>
    <row r="14" spans="2:10" ht="15.75">
      <c r="B14" s="99">
        <v>50003</v>
      </c>
      <c r="C14" s="100" t="s">
        <v>14</v>
      </c>
      <c r="D14" s="96">
        <v>98000</v>
      </c>
      <c r="E14" s="96">
        <f t="shared" si="0"/>
        <v>90000</v>
      </c>
      <c r="F14" s="98">
        <v>20584</v>
      </c>
      <c r="G14" s="98">
        <v>37989</v>
      </c>
      <c r="H14" s="103">
        <f t="shared" ca="1" si="1"/>
        <v>62</v>
      </c>
      <c r="I14" s="103">
        <f t="shared" ca="1" si="2"/>
        <v>14.99520876112252</v>
      </c>
    </row>
    <row r="15" spans="2:10" ht="15.75">
      <c r="B15" s="99">
        <v>50004</v>
      </c>
      <c r="C15" s="100" t="s">
        <v>15</v>
      </c>
      <c r="D15" s="96">
        <v>97000</v>
      </c>
      <c r="E15" s="96">
        <f t="shared" si="0"/>
        <v>89000</v>
      </c>
      <c r="F15" s="98">
        <v>20341</v>
      </c>
      <c r="G15" s="98">
        <v>40825</v>
      </c>
      <c r="H15" s="103">
        <f t="shared" ca="1" si="1"/>
        <v>63</v>
      </c>
      <c r="I15" s="103">
        <f t="shared" ca="1" si="2"/>
        <v>7.2306639288158792</v>
      </c>
    </row>
    <row r="16" spans="2:10" ht="15.75" hidden="1">
      <c r="B16" s="99">
        <v>50005</v>
      </c>
      <c r="C16" s="100" t="s">
        <v>16</v>
      </c>
      <c r="D16" s="96">
        <v>96000</v>
      </c>
      <c r="E16" s="96">
        <f t="shared" si="0"/>
        <v>88000</v>
      </c>
      <c r="F16" s="98">
        <v>26458</v>
      </c>
      <c r="G16" s="98">
        <v>40973</v>
      </c>
      <c r="H16" s="103">
        <f t="shared" ca="1" si="1"/>
        <v>46</v>
      </c>
      <c r="I16" s="103">
        <f ca="1">($G$9-G16)/365.25</f>
        <v>6.8254620123203287</v>
      </c>
    </row>
    <row r="17" spans="2:10" ht="15.75">
      <c r="B17" s="99">
        <v>50006</v>
      </c>
      <c r="C17" s="100" t="s">
        <v>17</v>
      </c>
      <c r="D17" s="96">
        <v>95000</v>
      </c>
      <c r="E17" s="96">
        <f t="shared" si="0"/>
        <v>87000</v>
      </c>
      <c r="F17" s="98">
        <v>23072</v>
      </c>
      <c r="G17" s="98">
        <v>36163</v>
      </c>
      <c r="H17" s="103">
        <f t="shared" ca="1" si="1"/>
        <v>55</v>
      </c>
      <c r="I17" s="103">
        <f ca="1">($G$9-G17)/365.25</f>
        <v>19.994524298425734</v>
      </c>
    </row>
    <row r="18" spans="2:10" ht="15.75">
      <c r="B18" s="99">
        <v>50007</v>
      </c>
      <c r="C18" s="100" t="s">
        <v>18</v>
      </c>
      <c r="D18" s="96">
        <v>100000</v>
      </c>
      <c r="E18" s="96">
        <f t="shared" si="0"/>
        <v>92000</v>
      </c>
      <c r="F18" s="98">
        <v>20070</v>
      </c>
      <c r="G18" s="98">
        <v>32743</v>
      </c>
      <c r="H18" s="103">
        <f t="shared" ca="1" si="1"/>
        <v>64</v>
      </c>
      <c r="I18" s="103">
        <f t="shared" ca="1" si="2"/>
        <v>29.357973990417523</v>
      </c>
    </row>
    <row r="19" spans="2:10" ht="15.75">
      <c r="B19" s="99">
        <v>50008</v>
      </c>
      <c r="C19" s="100" t="s">
        <v>19</v>
      </c>
      <c r="D19" s="96">
        <v>93000</v>
      </c>
      <c r="E19" s="96">
        <f t="shared" si="0"/>
        <v>85000</v>
      </c>
      <c r="F19" s="98">
        <v>21491</v>
      </c>
      <c r="G19" s="98">
        <v>43078</v>
      </c>
      <c r="H19" s="103">
        <f t="shared" ca="1" si="1"/>
        <v>60</v>
      </c>
      <c r="I19" s="103">
        <f ca="1">($G$9-G19)/365.25</f>
        <v>1.0622861054072552</v>
      </c>
    </row>
    <row r="20" spans="2:10" ht="15.75">
      <c r="B20" s="99">
        <v>50009</v>
      </c>
      <c r="C20" s="100" t="s">
        <v>20</v>
      </c>
      <c r="D20" s="96">
        <v>92000</v>
      </c>
      <c r="E20" s="96">
        <f t="shared" si="0"/>
        <v>84000</v>
      </c>
      <c r="F20" s="98">
        <v>20694</v>
      </c>
      <c r="G20" s="98">
        <v>36767</v>
      </c>
      <c r="H20" s="103">
        <f t="shared" ca="1" si="1"/>
        <v>62</v>
      </c>
      <c r="I20" s="103">
        <f t="shared" ca="1" si="2"/>
        <v>18.340862422997947</v>
      </c>
    </row>
    <row r="21" spans="2:10" ht="15.75">
      <c r="B21" s="99">
        <v>50010</v>
      </c>
      <c r="C21" s="100" t="s">
        <v>21</v>
      </c>
      <c r="D21" s="96">
        <v>91000</v>
      </c>
      <c r="E21" s="96">
        <f t="shared" si="0"/>
        <v>83000</v>
      </c>
      <c r="F21" s="98">
        <v>22901</v>
      </c>
      <c r="G21" s="98">
        <v>32546</v>
      </c>
      <c r="H21" s="103">
        <f t="shared" ca="1" si="1"/>
        <v>56</v>
      </c>
      <c r="I21" s="103">
        <f t="shared" ca="1" si="2"/>
        <v>29.897330595482547</v>
      </c>
    </row>
    <row r="23" spans="2:10" ht="15">
      <c r="B23" s="59"/>
      <c r="C23" s="29"/>
      <c r="D23" s="30"/>
      <c r="E23" s="30"/>
      <c r="F23" s="31"/>
      <c r="G23" s="31"/>
      <c r="H23" s="60"/>
      <c r="I23" s="62"/>
      <c r="J23" s="29"/>
    </row>
    <row r="24" spans="2:10" ht="15">
      <c r="B24" s="59"/>
      <c r="C24" s="29"/>
      <c r="D24" s="30"/>
      <c r="E24" s="30"/>
      <c r="F24" s="31"/>
      <c r="G24" s="31"/>
      <c r="H24" s="60"/>
      <c r="I24" s="62"/>
      <c r="J24" s="29"/>
    </row>
    <row r="25" spans="2:10" ht="15">
      <c r="B25" s="59"/>
      <c r="C25" s="29"/>
      <c r="D25" s="30"/>
      <c r="E25" s="30"/>
      <c r="F25" s="31"/>
      <c r="G25" s="31"/>
      <c r="H25" s="60"/>
      <c r="I25" s="62"/>
      <c r="J25" s="29"/>
    </row>
    <row r="26" spans="2:10" ht="15">
      <c r="B26" s="59"/>
      <c r="C26" s="29"/>
      <c r="D26" s="30"/>
      <c r="E26" s="30"/>
      <c r="F26" s="31"/>
      <c r="G26" s="31"/>
      <c r="H26" s="60"/>
      <c r="I26" s="62"/>
      <c r="J26" s="29"/>
    </row>
    <row r="27" spans="2:10" ht="15">
      <c r="B27" s="59"/>
      <c r="C27" s="29"/>
      <c r="D27" s="30"/>
      <c r="E27" s="30"/>
      <c r="F27" s="31"/>
      <c r="G27" s="31"/>
      <c r="H27" s="60"/>
      <c r="I27" s="62"/>
      <c r="J27" s="29"/>
    </row>
    <row r="28" spans="2:10">
      <c r="B28" s="29"/>
      <c r="C28" s="29"/>
      <c r="D28" s="29"/>
      <c r="E28" s="29"/>
      <c r="F28" s="29"/>
      <c r="G28" s="29"/>
      <c r="H28" s="49"/>
      <c r="I28" s="49"/>
      <c r="J28" s="29"/>
    </row>
    <row r="29" spans="2:10">
      <c r="B29" s="29"/>
      <c r="C29" s="29"/>
      <c r="D29" s="29"/>
      <c r="E29" s="29"/>
      <c r="F29" s="29"/>
      <c r="G29" s="29"/>
      <c r="H29" s="49"/>
      <c r="I29" s="49"/>
      <c r="J29" s="29"/>
    </row>
    <row r="30" spans="2:10" ht="30.75" customHeight="1">
      <c r="H30" s="1"/>
      <c r="I30" s="1"/>
    </row>
    <row r="31" spans="2:10" ht="30.75" customHeight="1"/>
    <row r="32" spans="2:10" ht="30.75" customHeight="1"/>
    <row r="33" spans="8:9">
      <c r="H33" s="1"/>
      <c r="I33" s="1"/>
    </row>
    <row r="34" spans="8:9">
      <c r="H34" s="1"/>
      <c r="I34" s="1"/>
    </row>
    <row r="35" spans="8:9">
      <c r="H35" s="1"/>
      <c r="I35" s="1"/>
    </row>
    <row r="36" spans="8:9">
      <c r="H36" s="1"/>
      <c r="I36" s="1"/>
    </row>
    <row r="37" spans="8:9">
      <c r="H37" s="1"/>
      <c r="I37" s="1"/>
    </row>
    <row r="38" spans="8:9">
      <c r="H38" s="1"/>
      <c r="I38" s="1"/>
    </row>
    <row r="39" spans="8:9">
      <c r="H39" s="1"/>
      <c r="I39" s="1"/>
    </row>
  </sheetData>
  <printOptions horizontalCentered="1"/>
  <pageMargins left="0.7" right="0.7" top="0.75" bottom="0.75" header="0.3" footer="0.3"/>
  <pageSetup scale="76" orientation="landscape" r:id="rId1"/>
  <headerFooter>
    <oddFooter>&amp;L&amp;F
&amp;A&amp;C&amp;P of &amp;N&amp;R&amp;D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A176-E418-4C04-AE5D-4FDA03E9C13C}">
  <sheetPr codeName="Sheet6">
    <tabColor rgb="FF00B0F0"/>
    <pageSetUpPr fitToPage="1"/>
  </sheetPr>
  <dimension ref="A1:J51"/>
  <sheetViews>
    <sheetView topLeftCell="B1" workbookViewId="0">
      <selection activeCell="B9" sqref="B9"/>
    </sheetView>
  </sheetViews>
  <sheetFormatPr defaultRowHeight="15.75"/>
  <cols>
    <col min="1" max="1" width="9.140625" style="106" customWidth="1"/>
    <col min="2" max="2" width="27.28515625" style="106" bestFit="1" customWidth="1"/>
    <col min="3" max="3" width="35" style="106" hidden="1" customWidth="1"/>
    <col min="4" max="7" width="11" style="107" bestFit="1" customWidth="1"/>
    <col min="8" max="8" width="14.140625" style="107" bestFit="1" customWidth="1"/>
    <col min="9" max="10" width="11" style="106" bestFit="1" customWidth="1"/>
    <col min="11" max="11" width="13.140625" bestFit="1" customWidth="1"/>
    <col min="12" max="14" width="11" bestFit="1" customWidth="1"/>
    <col min="15" max="15" width="11.140625" bestFit="1" customWidth="1"/>
    <col min="16" max="17" width="14.140625" bestFit="1" customWidth="1"/>
    <col min="18" max="18" width="20.85546875" bestFit="1" customWidth="1"/>
    <col min="19" max="19" width="32.5703125" bestFit="1" customWidth="1"/>
    <col min="20" max="25" width="27.28515625" bestFit="1" customWidth="1"/>
    <col min="26" max="26" width="19.140625" bestFit="1" customWidth="1"/>
    <col min="27" max="27" width="30.85546875" bestFit="1" customWidth="1"/>
    <col min="28" max="28" width="32.42578125" bestFit="1" customWidth="1"/>
    <col min="29" max="29" width="32.140625" bestFit="1" customWidth="1"/>
    <col min="30" max="30" width="44" bestFit="1" customWidth="1"/>
    <col min="31" max="31" width="20.5703125" bestFit="1" customWidth="1"/>
    <col min="32" max="32" width="32.42578125" bestFit="1" customWidth="1"/>
    <col min="33" max="33" width="32.140625" bestFit="1" customWidth="1"/>
    <col min="34" max="34" width="44" bestFit="1" customWidth="1"/>
    <col min="35" max="35" width="20.5703125" bestFit="1" customWidth="1"/>
    <col min="36" max="36" width="32.42578125" bestFit="1" customWidth="1"/>
    <col min="37" max="37" width="20.5703125" bestFit="1" customWidth="1"/>
    <col min="38" max="38" width="32.42578125" bestFit="1" customWidth="1"/>
    <col min="39" max="39" width="32.140625" bestFit="1" customWidth="1"/>
    <col min="40" max="40" width="44" bestFit="1" customWidth="1"/>
    <col min="41" max="41" width="20.5703125" bestFit="1" customWidth="1"/>
    <col min="42" max="42" width="32.42578125" bestFit="1" customWidth="1"/>
  </cols>
  <sheetData>
    <row r="1" spans="2:10" ht="16.5" thickBot="1"/>
    <row r="2" spans="2:10" ht="16.5" thickBot="1">
      <c r="B2" s="230" t="s">
        <v>70</v>
      </c>
      <c r="C2" s="231"/>
      <c r="D2" s="231"/>
      <c r="E2" s="231"/>
      <c r="F2" s="231"/>
      <c r="G2" s="231"/>
      <c r="H2" s="232"/>
    </row>
    <row r="3" spans="2:10" ht="16.5" thickBot="1"/>
    <row r="4" spans="2:10" ht="16.5" thickBot="1">
      <c r="B4" s="108"/>
      <c r="C4" s="109"/>
      <c r="D4" s="110" t="s">
        <v>10</v>
      </c>
      <c r="E4" s="110"/>
      <c r="F4" s="110"/>
      <c r="G4" s="110"/>
      <c r="H4" s="111"/>
    </row>
    <row r="5" spans="2:10" ht="16.5" thickBot="1">
      <c r="B5" s="112" t="s">
        <v>4</v>
      </c>
      <c r="C5" s="113"/>
      <c r="D5" s="114"/>
      <c r="E5" s="114"/>
      <c r="F5" s="114"/>
      <c r="G5" s="114"/>
      <c r="H5" s="115"/>
    </row>
    <row r="6" spans="2:10" ht="16.5" hidden="1" thickBot="1">
      <c r="D6" s="114"/>
      <c r="E6" s="114"/>
      <c r="F6" s="114"/>
      <c r="G6" s="114"/>
      <c r="H6" s="115"/>
    </row>
    <row r="7" spans="2:10" hidden="1">
      <c r="B7" s="116"/>
      <c r="C7" s="113"/>
      <c r="D7" s="114"/>
      <c r="E7" s="114"/>
      <c r="F7" s="114"/>
      <c r="G7" s="114"/>
      <c r="H7" s="115"/>
    </row>
    <row r="8" spans="2:10" ht="16.5" thickBot="1">
      <c r="B8" s="127"/>
      <c r="C8" s="119"/>
      <c r="D8" s="119" t="s">
        <v>56</v>
      </c>
      <c r="E8" s="119" t="s">
        <v>57</v>
      </c>
      <c r="F8" s="119" t="s">
        <v>58</v>
      </c>
      <c r="G8" s="119" t="s">
        <v>59</v>
      </c>
      <c r="H8" s="138" t="s">
        <v>53</v>
      </c>
      <c r="I8"/>
      <c r="J8"/>
    </row>
    <row r="9" spans="2:10" ht="16.5" thickBot="1">
      <c r="B9" s="120" t="s">
        <v>67</v>
      </c>
      <c r="C9" s="131" t="s">
        <v>69</v>
      </c>
      <c r="D9" s="132">
        <v>0</v>
      </c>
      <c r="E9" s="133">
        <v>184000</v>
      </c>
      <c r="F9" s="133">
        <v>0</v>
      </c>
      <c r="G9" s="133">
        <v>211000</v>
      </c>
      <c r="H9" s="139">
        <v>395000</v>
      </c>
      <c r="I9"/>
      <c r="J9"/>
    </row>
    <row r="10" spans="2:10" ht="16.5" thickBot="1">
      <c r="B10" s="121"/>
      <c r="C10" s="128" t="s">
        <v>86</v>
      </c>
      <c r="D10" s="134"/>
      <c r="E10" s="135">
        <v>1</v>
      </c>
      <c r="F10" s="135"/>
      <c r="G10" s="135">
        <v>1</v>
      </c>
      <c r="H10" s="140">
        <v>2</v>
      </c>
      <c r="I10"/>
      <c r="J10"/>
    </row>
    <row r="11" spans="2:10" ht="16.5" thickBot="1">
      <c r="B11" s="122" t="s">
        <v>54</v>
      </c>
      <c r="C11" s="131" t="s">
        <v>69</v>
      </c>
      <c r="D11" s="136">
        <v>0</v>
      </c>
      <c r="E11" s="137">
        <v>0</v>
      </c>
      <c r="F11" s="137">
        <v>182000</v>
      </c>
      <c r="G11" s="137">
        <v>174000</v>
      </c>
      <c r="H11" s="123">
        <v>356000</v>
      </c>
      <c r="I11"/>
      <c r="J11"/>
    </row>
    <row r="12" spans="2:10" ht="16.5" thickBot="1">
      <c r="B12" s="121"/>
      <c r="C12" s="128" t="s">
        <v>86</v>
      </c>
      <c r="D12" s="134"/>
      <c r="E12" s="135"/>
      <c r="F12" s="135">
        <v>1</v>
      </c>
      <c r="G12" s="135">
        <v>1</v>
      </c>
      <c r="H12" s="140">
        <v>2</v>
      </c>
      <c r="I12"/>
      <c r="J12"/>
    </row>
    <row r="13" spans="2:10" ht="16.5" thickBot="1">
      <c r="B13" s="122" t="s">
        <v>55</v>
      </c>
      <c r="C13" s="131" t="s">
        <v>69</v>
      </c>
      <c r="D13" s="136">
        <v>368000</v>
      </c>
      <c r="E13" s="137">
        <v>186000</v>
      </c>
      <c r="F13" s="137">
        <v>364000</v>
      </c>
      <c r="G13" s="137">
        <v>192000</v>
      </c>
      <c r="H13" s="123">
        <v>1110000</v>
      </c>
      <c r="I13"/>
      <c r="J13"/>
    </row>
    <row r="14" spans="2:10" ht="16.5" thickBot="1">
      <c r="B14" s="121"/>
      <c r="C14" s="129" t="s">
        <v>86</v>
      </c>
      <c r="D14" s="124">
        <v>2</v>
      </c>
      <c r="E14" s="125">
        <v>1</v>
      </c>
      <c r="F14" s="125">
        <v>2</v>
      </c>
      <c r="G14" s="125">
        <v>1</v>
      </c>
      <c r="H14" s="126">
        <v>6</v>
      </c>
      <c r="I14"/>
      <c r="J14"/>
    </row>
    <row r="15" spans="2:10">
      <c r="B15"/>
      <c r="C15"/>
      <c r="D15"/>
      <c r="E15"/>
      <c r="F15"/>
      <c r="G15"/>
      <c r="H15"/>
      <c r="I15"/>
      <c r="J15"/>
    </row>
    <row r="16" spans="2:10">
      <c r="B16"/>
      <c r="C16"/>
      <c r="D16"/>
      <c r="E16"/>
      <c r="F16"/>
      <c r="G16"/>
      <c r="H16"/>
      <c r="I16"/>
      <c r="J16"/>
    </row>
    <row r="17" spans="2:10">
      <c r="B17"/>
      <c r="C17"/>
      <c r="D17"/>
      <c r="E17"/>
      <c r="F17"/>
      <c r="G17"/>
      <c r="H17"/>
      <c r="I17"/>
      <c r="J17"/>
    </row>
    <row r="18" spans="2:10" ht="16.5" thickBot="1">
      <c r="B18"/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 ht="16.5" thickBot="1">
      <c r="B21"/>
      <c r="C21"/>
      <c r="D21"/>
      <c r="E21"/>
      <c r="F21"/>
      <c r="G21"/>
      <c r="H21"/>
      <c r="I21"/>
      <c r="J21"/>
    </row>
    <row r="22" spans="2:10" ht="16.5" thickBot="1">
      <c r="B22"/>
      <c r="C22"/>
      <c r="D22"/>
      <c r="E22"/>
      <c r="F22"/>
      <c r="G22"/>
      <c r="H22"/>
      <c r="I22"/>
      <c r="J22"/>
    </row>
    <row r="23" spans="2:10">
      <c r="B23"/>
      <c r="C23"/>
      <c r="D23"/>
      <c r="E23"/>
      <c r="F23"/>
      <c r="G23"/>
      <c r="H23"/>
      <c r="I23"/>
      <c r="J23"/>
    </row>
    <row r="24" spans="2:10" ht="16.5" thickBot="1">
      <c r="B24"/>
      <c r="C24"/>
      <c r="D24"/>
      <c r="E24"/>
      <c r="F24"/>
      <c r="G24"/>
      <c r="H24"/>
      <c r="I24"/>
      <c r="J24"/>
    </row>
    <row r="25" spans="2:10">
      <c r="B25"/>
      <c r="C25"/>
      <c r="D25"/>
      <c r="E25"/>
      <c r="F25"/>
      <c r="G25"/>
      <c r="H25"/>
      <c r="I25"/>
      <c r="J25"/>
    </row>
    <row r="26" spans="2:10">
      <c r="B26"/>
      <c r="C26"/>
      <c r="D26"/>
      <c r="E26"/>
      <c r="F26"/>
      <c r="G26"/>
      <c r="H26"/>
      <c r="I26"/>
      <c r="J26"/>
    </row>
    <row r="27" spans="2:10" ht="16.5" thickBot="1">
      <c r="B27"/>
      <c r="C27"/>
      <c r="D27"/>
      <c r="E27"/>
      <c r="F27"/>
      <c r="G27"/>
      <c r="H27"/>
      <c r="I27"/>
      <c r="J27"/>
    </row>
    <row r="28" spans="2:10" ht="16.5" thickBot="1">
      <c r="B28"/>
      <c r="C28"/>
      <c r="D28"/>
      <c r="E28"/>
      <c r="F28"/>
      <c r="G28"/>
      <c r="H28"/>
      <c r="I28"/>
      <c r="J28"/>
    </row>
    <row r="29" spans="2:10">
      <c r="B29"/>
      <c r="C29"/>
      <c r="D29"/>
      <c r="E29"/>
      <c r="F29"/>
      <c r="G29"/>
      <c r="H29"/>
      <c r="I29"/>
      <c r="J29"/>
    </row>
    <row r="30" spans="2:10" ht="16.5" thickBot="1">
      <c r="B30"/>
      <c r="C30"/>
      <c r="D30"/>
      <c r="E30"/>
      <c r="F30"/>
      <c r="G30"/>
      <c r="H30"/>
      <c r="I30"/>
      <c r="J30"/>
    </row>
    <row r="31" spans="2:10">
      <c r="B31"/>
      <c r="C31"/>
      <c r="D31"/>
      <c r="E31"/>
      <c r="F31"/>
      <c r="G31"/>
      <c r="H31"/>
      <c r="I31"/>
      <c r="J31"/>
    </row>
    <row r="32" spans="2:10">
      <c r="B32"/>
      <c r="C32"/>
      <c r="D32"/>
      <c r="E32"/>
      <c r="F32"/>
      <c r="G32"/>
      <c r="H32"/>
      <c r="I32"/>
      <c r="J32"/>
    </row>
    <row r="33" spans="2:10" ht="16.5" thickBot="1">
      <c r="B33"/>
      <c r="C33"/>
      <c r="D33"/>
      <c r="E33"/>
      <c r="F33"/>
      <c r="G33"/>
      <c r="H33"/>
      <c r="I33"/>
      <c r="J33"/>
    </row>
    <row r="34" spans="2:10" ht="16.5" thickBot="1">
      <c r="B34"/>
      <c r="C34"/>
      <c r="D34"/>
      <c r="E34"/>
      <c r="F34"/>
      <c r="G34"/>
      <c r="H34"/>
      <c r="I34"/>
      <c r="J34"/>
    </row>
    <row r="35" spans="2:10">
      <c r="B35"/>
      <c r="C35"/>
      <c r="D35"/>
      <c r="E35"/>
      <c r="F35"/>
      <c r="G35"/>
      <c r="H35"/>
      <c r="I35"/>
      <c r="J35"/>
    </row>
    <row r="36" spans="2:10" ht="16.5" thickBot="1">
      <c r="B36"/>
      <c r="C36"/>
      <c r="D36"/>
      <c r="E36"/>
      <c r="F36"/>
      <c r="G36"/>
      <c r="H36"/>
      <c r="I36"/>
      <c r="J36"/>
    </row>
    <row r="37" spans="2:10">
      <c r="B37"/>
      <c r="C37"/>
      <c r="D37"/>
      <c r="E37"/>
      <c r="F37"/>
      <c r="G37"/>
      <c r="H37"/>
      <c r="I37"/>
      <c r="J37"/>
    </row>
    <row r="38" spans="2:10">
      <c r="B38"/>
      <c r="C38"/>
      <c r="D38"/>
      <c r="E38"/>
      <c r="F38"/>
      <c r="G38"/>
      <c r="H38"/>
      <c r="I38"/>
      <c r="J38"/>
    </row>
    <row r="39" spans="2:10" ht="16.5" thickBot="1">
      <c r="B39"/>
      <c r="C39"/>
      <c r="D39"/>
      <c r="E39"/>
      <c r="F39"/>
      <c r="G39"/>
      <c r="H39"/>
      <c r="I39"/>
      <c r="J39"/>
    </row>
    <row r="40" spans="2:10" ht="16.5" thickBot="1">
      <c r="B40"/>
      <c r="C40"/>
      <c r="D40"/>
      <c r="E40"/>
      <c r="F40"/>
      <c r="G40"/>
      <c r="H40"/>
      <c r="I40"/>
      <c r="J40"/>
    </row>
    <row r="41" spans="2:10">
      <c r="B41"/>
      <c r="C41"/>
      <c r="D41"/>
      <c r="E41"/>
      <c r="F41"/>
      <c r="G41"/>
      <c r="H41"/>
      <c r="I41"/>
      <c r="J41"/>
    </row>
    <row r="42" spans="2:10" ht="16.5" thickBot="1">
      <c r="B42"/>
      <c r="C42"/>
      <c r="D42"/>
      <c r="E42"/>
      <c r="F42"/>
      <c r="G42"/>
      <c r="H42"/>
      <c r="I42"/>
      <c r="J42"/>
    </row>
    <row r="43" spans="2:10">
      <c r="B43"/>
      <c r="C43"/>
      <c r="D43"/>
      <c r="E43"/>
      <c r="F43"/>
      <c r="G43"/>
      <c r="H43"/>
      <c r="I43"/>
      <c r="J43"/>
    </row>
    <row r="44" spans="2:10">
      <c r="B44"/>
      <c r="C44"/>
      <c r="D44"/>
      <c r="E44"/>
      <c r="F44"/>
      <c r="G44"/>
      <c r="H44"/>
      <c r="I44"/>
      <c r="J44"/>
    </row>
    <row r="45" spans="2:10" ht="16.5" thickBot="1">
      <c r="B45"/>
      <c r="C45"/>
      <c r="D45"/>
      <c r="E45"/>
      <c r="F45"/>
      <c r="G45"/>
      <c r="H45"/>
      <c r="I45"/>
      <c r="J45"/>
    </row>
    <row r="46" spans="2:10" ht="16.5" thickBot="1">
      <c r="B46"/>
      <c r="C46"/>
      <c r="D46"/>
      <c r="E46"/>
      <c r="F46"/>
      <c r="G46"/>
      <c r="H46"/>
      <c r="I46"/>
      <c r="J46"/>
    </row>
    <row r="47" spans="2:10">
      <c r="B47"/>
      <c r="C47"/>
      <c r="D47"/>
      <c r="E47"/>
      <c r="F47"/>
      <c r="G47"/>
      <c r="H47"/>
      <c r="I47"/>
      <c r="J47"/>
    </row>
    <row r="48" spans="2:10" ht="16.5" thickBot="1">
      <c r="B48"/>
      <c r="C48"/>
      <c r="D48"/>
      <c r="E48"/>
      <c r="F48"/>
      <c r="G48"/>
      <c r="H48"/>
      <c r="I48"/>
      <c r="J48"/>
    </row>
    <row r="49" spans="2:10">
      <c r="B49"/>
      <c r="C49"/>
      <c r="D49"/>
      <c r="E49"/>
      <c r="F49"/>
      <c r="G49"/>
      <c r="H49"/>
      <c r="I49"/>
      <c r="J49"/>
    </row>
    <row r="50" spans="2:10">
      <c r="B50"/>
      <c r="C50"/>
      <c r="D50"/>
      <c r="E50"/>
      <c r="F50"/>
      <c r="G50"/>
      <c r="H50"/>
      <c r="I50"/>
      <c r="J50"/>
    </row>
    <row r="51" spans="2:10" ht="16.5" thickBot="1">
      <c r="B51"/>
      <c r="C51"/>
      <c r="D51"/>
      <c r="E51"/>
      <c r="F51"/>
      <c r="G51"/>
      <c r="H51"/>
      <c r="I51"/>
      <c r="J51"/>
    </row>
  </sheetData>
  <mergeCells count="1">
    <mergeCell ref="B2:H2"/>
  </mergeCells>
  <printOptions horizontalCentered="1"/>
  <pageMargins left="0.7" right="0.7" top="0.75" bottom="0.75" header="0.3" footer="0.3"/>
  <pageSetup orientation="landscape" r:id="rId2"/>
  <headerFooter>
    <oddFooter>&amp;L&amp;F
&amp;A&amp;C&amp;P of &amp;N&amp;R&amp;D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BCDE-9BE6-4F84-8C7E-F88F8FDF204D}">
  <sheetPr codeName="Sheet7">
    <tabColor rgb="FFFFC000"/>
    <pageSetUpPr fitToPage="1"/>
  </sheetPr>
  <dimension ref="B1:H138"/>
  <sheetViews>
    <sheetView tabSelected="1" zoomScale="130" zoomScaleNormal="130" workbookViewId="0">
      <pane ySplit="12" topLeftCell="A13" activePane="bottomLeft" state="frozen"/>
      <selection pane="bottomLeft" activeCell="H3" sqref="H3"/>
    </sheetView>
  </sheetViews>
  <sheetFormatPr defaultRowHeight="15"/>
  <cols>
    <col min="2" max="2" width="10.5703125" style="10" customWidth="1"/>
    <col min="3" max="3" width="9.140625" style="9"/>
    <col min="4" max="4" width="10.7109375" style="9" customWidth="1"/>
    <col min="5" max="5" width="12.140625" style="11" customWidth="1"/>
    <col min="6" max="6" width="9.140625" style="9"/>
    <col min="7" max="7" width="14.28515625" style="9" customWidth="1"/>
    <col min="8" max="8" width="16.140625" customWidth="1"/>
  </cols>
  <sheetData>
    <row r="1" spans="2:8" ht="15.75" thickBot="1"/>
    <row r="2" spans="2:8" ht="19.5" thickBot="1">
      <c r="B2" s="233" t="s">
        <v>24</v>
      </c>
      <c r="C2" s="234"/>
      <c r="D2" s="234"/>
      <c r="E2" s="234"/>
      <c r="F2" s="234"/>
      <c r="G2" s="234"/>
      <c r="H2" s="235"/>
    </row>
    <row r="3" spans="2:8">
      <c r="B3" s="12" t="s">
        <v>25</v>
      </c>
      <c r="H3" s="141">
        <f ca="1">Statement!F11</f>
        <v>46</v>
      </c>
    </row>
    <row r="4" spans="2:8">
      <c r="B4" s="12" t="s">
        <v>36</v>
      </c>
      <c r="H4" s="181">
        <f ca="1">Statement!F15</f>
        <v>4540.8</v>
      </c>
    </row>
    <row r="5" spans="2:8">
      <c r="B5" s="12" t="s">
        <v>26</v>
      </c>
      <c r="H5" s="67">
        <f>Rate!C28</f>
        <v>0.04</v>
      </c>
    </row>
    <row r="6" spans="2:8">
      <c r="B6" s="12"/>
      <c r="H6" s="66"/>
    </row>
    <row r="7" spans="2:8">
      <c r="B7" s="12" t="s">
        <v>35</v>
      </c>
      <c r="H7" s="142">
        <f>Rate!B28</f>
        <v>2019</v>
      </c>
    </row>
    <row r="8" spans="2:8">
      <c r="B8" s="12" t="s">
        <v>27</v>
      </c>
      <c r="H8" s="13">
        <f ca="1">SUM($H13:$H128)</f>
        <v>18.683688719905774</v>
      </c>
    </row>
    <row r="9" spans="2:8">
      <c r="B9" s="12" t="s">
        <v>28</v>
      </c>
      <c r="H9" s="202">
        <f ca="1">H8*$H$4</f>
        <v>84838.893739348146</v>
      </c>
    </row>
    <row r="10" spans="2:8" ht="15.75" thickBot="1"/>
    <row r="11" spans="2:8" ht="19.5" thickBot="1">
      <c r="B11" s="236" t="s">
        <v>29</v>
      </c>
      <c r="C11" s="237"/>
      <c r="D11" s="237"/>
      <c r="E11" s="237"/>
      <c r="F11" s="237"/>
      <c r="G11" s="237"/>
      <c r="H11" s="238"/>
    </row>
    <row r="12" spans="2:8">
      <c r="B12" s="10" t="s">
        <v>9</v>
      </c>
      <c r="C12" s="10" t="s">
        <v>23</v>
      </c>
      <c r="D12" s="10" t="s">
        <v>30</v>
      </c>
      <c r="E12" s="14" t="s">
        <v>31</v>
      </c>
      <c r="F12" s="10"/>
      <c r="H12" s="10" t="s">
        <v>32</v>
      </c>
    </row>
    <row r="13" spans="2:8">
      <c r="B13" s="9">
        <f ca="1">IF(H3="",65,H3)</f>
        <v>46</v>
      </c>
      <c r="C13" s="11">
        <f ca="1">IF(B13="","",VLOOKUP(B13,QxTable,2))</f>
        <v>1.722E-3</v>
      </c>
      <c r="D13" s="11">
        <f ca="1">IF(B13="","",1-C13)</f>
        <v>0.998278</v>
      </c>
      <c r="E13" s="11">
        <f>1</f>
        <v>1</v>
      </c>
      <c r="F13" s="11"/>
      <c r="G13" s="11"/>
      <c r="H13" s="15">
        <f ca="1">IF(B13="","",$E13*(1+$H$5)^($B$13-B13))</f>
        <v>1</v>
      </c>
    </row>
    <row r="14" spans="2:8">
      <c r="B14" s="9">
        <f ca="1">IF(B13&gt;=120,"",B13+1)</f>
        <v>47</v>
      </c>
      <c r="C14" s="11">
        <f t="shared" ref="C14:C77" ca="1" si="0">IF(B14="","",VLOOKUP(B14,QxTable,2))</f>
        <v>1.8990000000000001E-3</v>
      </c>
      <c r="D14" s="11">
        <f t="shared" ref="D14:D77" ca="1" si="1">IF(B14="","",1-C14)</f>
        <v>0.99810100000000002</v>
      </c>
      <c r="E14" s="11">
        <f ca="1">IF(B14="","",E13*D13)</f>
        <v>0.998278</v>
      </c>
      <c r="F14" s="11"/>
      <c r="G14" s="11"/>
      <c r="H14" s="15">
        <f t="shared" ref="H14:H44" ca="1" si="2">IF(B14="","",$E14*(1+$H$5)^($B$13-B14))</f>
        <v>0.95988269230769219</v>
      </c>
    </row>
    <row r="15" spans="2:8">
      <c r="B15" s="9">
        <f t="shared" ref="B15:B78" ca="1" si="3">IF(B14&gt;=120,"",B14+1)</f>
        <v>48</v>
      </c>
      <c r="C15" s="11">
        <f t="shared" ca="1" si="0"/>
        <v>2.1020000000000001E-3</v>
      </c>
      <c r="D15" s="11">
        <f t="shared" ca="1" si="1"/>
        <v>0.99789799999999995</v>
      </c>
      <c r="E15" s="11">
        <f t="shared" ref="E15:E78" ca="1" si="4">IF(B15="","",E14*D14)</f>
        <v>0.99638227007800007</v>
      </c>
      <c r="F15" s="11"/>
      <c r="G15" s="11"/>
      <c r="H15" s="15">
        <f t="shared" ca="1" si="2"/>
        <v>0.92121141834134612</v>
      </c>
    </row>
    <row r="16" spans="2:8">
      <c r="B16" s="9">
        <f t="shared" ca="1" si="3"/>
        <v>49</v>
      </c>
      <c r="C16" s="11">
        <f t="shared" ca="1" si="0"/>
        <v>2.3259999999999999E-3</v>
      </c>
      <c r="D16" s="11">
        <f t="shared" ca="1" si="1"/>
        <v>0.99767399999999995</v>
      </c>
      <c r="E16" s="11">
        <f t="shared" ca="1" si="4"/>
        <v>0.99428787454629608</v>
      </c>
      <c r="F16" s="11"/>
      <c r="G16" s="11"/>
      <c r="H16" s="15">
        <f t="shared" ca="1" si="2"/>
        <v>0.88391829994230064</v>
      </c>
    </row>
    <row r="17" spans="2:8">
      <c r="B17" s="9">
        <f t="shared" ca="1" si="3"/>
        <v>50</v>
      </c>
      <c r="C17" s="11">
        <f t="shared" ca="1" si="0"/>
        <v>2.5790000000000001E-3</v>
      </c>
      <c r="D17" s="11">
        <f t="shared" ca="1" si="1"/>
        <v>0.997421</v>
      </c>
      <c r="E17" s="11">
        <f t="shared" ca="1" si="4"/>
        <v>0.9919751609501013</v>
      </c>
      <c r="F17" s="11"/>
      <c r="G17" s="11"/>
      <c r="H17" s="15">
        <f t="shared" ca="1" si="2"/>
        <v>0.84794452497753325</v>
      </c>
    </row>
    <row r="18" spans="2:8">
      <c r="B18" s="9">
        <f t="shared" ca="1" si="3"/>
        <v>51</v>
      </c>
      <c r="C18" s="11">
        <f t="shared" ca="1" si="0"/>
        <v>2.872E-3</v>
      </c>
      <c r="D18" s="11">
        <f t="shared" ca="1" si="1"/>
        <v>0.99712800000000001</v>
      </c>
      <c r="E18" s="11">
        <f t="shared" ca="1" si="4"/>
        <v>0.98941685701001103</v>
      </c>
      <c r="F18" s="11"/>
      <c r="G18" s="11"/>
      <c r="H18" s="15">
        <f t="shared" ca="1" si="2"/>
        <v>0.8132285346611694</v>
      </c>
    </row>
    <row r="19" spans="2:8">
      <c r="B19" s="9">
        <f t="shared" ca="1" si="3"/>
        <v>52</v>
      </c>
      <c r="C19" s="11">
        <f t="shared" ca="1" si="0"/>
        <v>3.2130000000000001E-3</v>
      </c>
      <c r="D19" s="11">
        <f t="shared" ca="1" si="1"/>
        <v>0.99678699999999998</v>
      </c>
      <c r="E19" s="11">
        <f t="shared" ca="1" si="4"/>
        <v>0.98657525179667827</v>
      </c>
      <c r="F19" s="11"/>
      <c r="G19" s="11"/>
      <c r="H19" s="15">
        <f t="shared" ca="1" si="2"/>
        <v>0.77970475222079083</v>
      </c>
    </row>
    <row r="20" spans="2:8">
      <c r="B20" s="9">
        <f t="shared" ca="1" si="3"/>
        <v>53</v>
      </c>
      <c r="C20" s="11">
        <f t="shared" ca="1" si="0"/>
        <v>3.5839999999999999E-3</v>
      </c>
      <c r="D20" s="11">
        <f t="shared" ca="1" si="1"/>
        <v>0.99641599999999997</v>
      </c>
      <c r="E20" s="11">
        <f t="shared" ca="1" si="4"/>
        <v>0.98340538551265555</v>
      </c>
      <c r="F20" s="11"/>
      <c r="G20" s="11"/>
      <c r="H20" s="15">
        <f t="shared" ca="1" si="2"/>
        <v>0.74730727004990927</v>
      </c>
    </row>
    <row r="21" spans="2:8">
      <c r="B21" s="9">
        <f t="shared" ca="1" si="3"/>
        <v>54</v>
      </c>
      <c r="C21" s="11">
        <f t="shared" ca="1" si="0"/>
        <v>3.9789999999999999E-3</v>
      </c>
      <c r="D21" s="11">
        <f t="shared" ca="1" si="1"/>
        <v>0.99602100000000005</v>
      </c>
      <c r="E21" s="11">
        <f t="shared" ca="1" si="4"/>
        <v>0.97988086061097812</v>
      </c>
      <c r="F21" s="11"/>
      <c r="G21" s="11"/>
      <c r="H21" s="15">
        <f t="shared" ca="1" si="2"/>
        <v>0.71598934691735594</v>
      </c>
    </row>
    <row r="22" spans="2:8">
      <c r="B22" s="9">
        <f t="shared" ca="1" si="3"/>
        <v>55</v>
      </c>
      <c r="C22" s="11">
        <f t="shared" ca="1" si="0"/>
        <v>4.4250000000000001E-3</v>
      </c>
      <c r="D22" s="11">
        <f t="shared" ca="1" si="1"/>
        <v>0.99557499999999999</v>
      </c>
      <c r="E22" s="11">
        <f t="shared" ca="1" si="4"/>
        <v>0.97598191466660711</v>
      </c>
      <c r="F22" s="11"/>
      <c r="G22" s="11"/>
      <c r="H22" s="15">
        <f t="shared" ca="1" si="2"/>
        <v>0.68571194740958819</v>
      </c>
    </row>
    <row r="23" spans="2:8">
      <c r="B23" s="9">
        <f t="shared" ca="1" si="3"/>
        <v>56</v>
      </c>
      <c r="C23" s="11">
        <f t="shared" ca="1" si="0"/>
        <v>4.9490000000000003E-3</v>
      </c>
      <c r="D23" s="11">
        <f t="shared" ca="1" si="1"/>
        <v>0.99505100000000002</v>
      </c>
      <c r="E23" s="11">
        <f t="shared" ca="1" si="4"/>
        <v>0.97166319469420737</v>
      </c>
      <c r="F23" s="11"/>
      <c r="G23" s="11"/>
      <c r="H23" s="15">
        <f t="shared" ca="1" si="2"/>
        <v>0.65642083850221222</v>
      </c>
    </row>
    <row r="24" spans="2:8">
      <c r="B24" s="9">
        <f t="shared" ca="1" si="3"/>
        <v>57</v>
      </c>
      <c r="C24" s="11">
        <f t="shared" ca="1" si="0"/>
        <v>5.581E-3</v>
      </c>
      <c r="D24" s="11">
        <f t="shared" ca="1" si="1"/>
        <v>0.99441900000000005</v>
      </c>
      <c r="E24" s="11">
        <f t="shared" ca="1" si="4"/>
        <v>0.96685443354366574</v>
      </c>
      <c r="F24" s="11"/>
      <c r="G24" s="11"/>
      <c r="H24" s="15">
        <f t="shared" ca="1" si="2"/>
        <v>0.62805020362737007</v>
      </c>
    </row>
    <row r="25" spans="2:8">
      <c r="B25" s="9">
        <f t="shared" ca="1" si="3"/>
        <v>58</v>
      </c>
      <c r="C25" s="11">
        <f t="shared" ca="1" si="0"/>
        <v>6.3E-3</v>
      </c>
      <c r="D25" s="11">
        <f t="shared" ca="1" si="1"/>
        <v>0.99370000000000003</v>
      </c>
      <c r="E25" s="11">
        <f t="shared" ca="1" si="4"/>
        <v>0.96145841895005857</v>
      </c>
      <c r="F25" s="11"/>
      <c r="G25" s="11"/>
      <c r="H25" s="15">
        <f t="shared" ca="1" si="2"/>
        <v>0.60052409177012078</v>
      </c>
    </row>
    <row r="26" spans="2:8">
      <c r="B26" s="9">
        <f t="shared" ca="1" si="3"/>
        <v>59</v>
      </c>
      <c r="C26" s="11">
        <f t="shared" ca="1" si="0"/>
        <v>7.0899999999999999E-3</v>
      </c>
      <c r="D26" s="11">
        <f t="shared" ca="1" si="1"/>
        <v>0.99290999999999996</v>
      </c>
      <c r="E26" s="11">
        <f t="shared" ca="1" si="4"/>
        <v>0.95540123091067319</v>
      </c>
      <c r="F26" s="11"/>
      <c r="G26" s="11"/>
      <c r="H26" s="15">
        <f t="shared" ca="1" si="2"/>
        <v>0.57378922114612407</v>
      </c>
    </row>
    <row r="27" spans="2:8">
      <c r="B27" s="9">
        <f t="shared" ca="1" si="3"/>
        <v>60</v>
      </c>
      <c r="C27" s="11">
        <f t="shared" ca="1" si="0"/>
        <v>7.9760000000000005E-3</v>
      </c>
      <c r="D27" s="11">
        <f t="shared" ca="1" si="1"/>
        <v>0.99202400000000002</v>
      </c>
      <c r="E27" s="11">
        <f t="shared" ca="1" si="4"/>
        <v>0.94862743618351653</v>
      </c>
      <c r="F27" s="11"/>
      <c r="G27" s="11"/>
      <c r="H27" s="15">
        <f t="shared" ca="1" si="2"/>
        <v>0.5478087072771135</v>
      </c>
    </row>
    <row r="28" spans="2:8">
      <c r="B28" s="9">
        <f t="shared" ca="1" si="3"/>
        <v>61</v>
      </c>
      <c r="C28" s="11">
        <f t="shared" ca="1" si="0"/>
        <v>8.9859999999999992E-3</v>
      </c>
      <c r="D28" s="11">
        <f t="shared" ca="1" si="1"/>
        <v>0.99101399999999995</v>
      </c>
      <c r="E28" s="11">
        <f t="shared" ca="1" si="4"/>
        <v>0.94106118375251679</v>
      </c>
      <c r="F28" s="11"/>
      <c r="G28" s="11"/>
      <c r="H28" s="15">
        <f t="shared" ca="1" si="2"/>
        <v>0.52253787021910691</v>
      </c>
    </row>
    <row r="29" spans="2:8">
      <c r="B29" s="9">
        <f t="shared" ca="1" si="3"/>
        <v>62</v>
      </c>
      <c r="C29" s="11">
        <f t="shared" ca="1" si="0"/>
        <v>1.0147E-2</v>
      </c>
      <c r="D29" s="11">
        <f t="shared" ca="1" si="1"/>
        <v>0.98985299999999998</v>
      </c>
      <c r="E29" s="11">
        <f t="shared" ca="1" si="4"/>
        <v>0.93260480795531664</v>
      </c>
      <c r="F29" s="11"/>
      <c r="G29" s="11"/>
      <c r="H29" s="15">
        <f t="shared" ca="1" si="2"/>
        <v>0.49792533165126723</v>
      </c>
    </row>
    <row r="30" spans="2:8">
      <c r="B30" s="9">
        <f t="shared" ca="1" si="3"/>
        <v>63</v>
      </c>
      <c r="C30" s="11">
        <f t="shared" ca="1" si="0"/>
        <v>1.1471E-2</v>
      </c>
      <c r="D30" s="11">
        <f t="shared" ca="1" si="1"/>
        <v>0.98852899999999999</v>
      </c>
      <c r="E30" s="11">
        <f t="shared" ca="1" si="4"/>
        <v>0.92314166696899402</v>
      </c>
      <c r="F30" s="11"/>
      <c r="G30" s="11"/>
      <c r="H30" s="15">
        <f t="shared" ca="1" si="2"/>
        <v>0.4739162339528864</v>
      </c>
    </row>
    <row r="31" spans="2:8">
      <c r="B31" s="9">
        <f t="shared" ca="1" si="3"/>
        <v>64</v>
      </c>
      <c r="C31" s="11">
        <f t="shared" ca="1" si="0"/>
        <v>1.294E-2</v>
      </c>
      <c r="D31" s="11">
        <f t="shared" ca="1" si="1"/>
        <v>0.98706000000000005</v>
      </c>
      <c r="E31" s="11">
        <f t="shared" ca="1" si="4"/>
        <v>0.91255230890719263</v>
      </c>
      <c r="F31" s="11"/>
      <c r="G31" s="11"/>
      <c r="H31" s="15">
        <f t="shared" ca="1" si="2"/>
        <v>0.45046148157039684</v>
      </c>
    </row>
    <row r="32" spans="2:8">
      <c r="B32" s="9">
        <f t="shared" ca="1" si="3"/>
        <v>65</v>
      </c>
      <c r="C32" s="11">
        <f t="shared" ca="1" si="0"/>
        <v>1.4534999999999999E-2</v>
      </c>
      <c r="D32" s="11">
        <f t="shared" ca="1" si="1"/>
        <v>0.98546500000000004</v>
      </c>
      <c r="E32" s="11">
        <f t="shared" ca="1" si="4"/>
        <v>0.90074388202993361</v>
      </c>
      <c r="F32" s="11"/>
      <c r="G32" s="11"/>
      <c r="H32" s="15">
        <f t="shared" ca="1" si="2"/>
        <v>0.42753125961430383</v>
      </c>
    </row>
    <row r="33" spans="2:8">
      <c r="B33" s="9">
        <f t="shared" ca="1" si="3"/>
        <v>66</v>
      </c>
      <c r="C33" s="11">
        <f t="shared" ca="1" si="0"/>
        <v>1.6239E-2</v>
      </c>
      <c r="D33" s="11">
        <f t="shared" ca="1" si="1"/>
        <v>0.983761</v>
      </c>
      <c r="E33" s="11">
        <f t="shared" ca="1" si="4"/>
        <v>0.88765156970462855</v>
      </c>
      <c r="F33" s="11"/>
      <c r="G33" s="11"/>
      <c r="H33" s="15">
        <f t="shared" ca="1" si="2"/>
        <v>0.40511258918827875</v>
      </c>
    </row>
    <row r="34" spans="2:8">
      <c r="B34" s="9">
        <f t="shared" ca="1" si="3"/>
        <v>67</v>
      </c>
      <c r="C34" s="11">
        <f t="shared" ca="1" si="0"/>
        <v>1.8034000000000001E-2</v>
      </c>
      <c r="D34" s="11">
        <f t="shared" ca="1" si="1"/>
        <v>0.98196600000000001</v>
      </c>
      <c r="E34" s="11">
        <f t="shared" ca="1" si="4"/>
        <v>0.87323699586419512</v>
      </c>
      <c r="F34" s="11"/>
      <c r="G34" s="11"/>
      <c r="H34" s="15">
        <f t="shared" ca="1" si="2"/>
        <v>0.38320573639658673</v>
      </c>
    </row>
    <row r="35" spans="2:8">
      <c r="B35" s="9">
        <f t="shared" ca="1" si="3"/>
        <v>68</v>
      </c>
      <c r="C35" s="11">
        <f t="shared" ca="1" si="0"/>
        <v>1.9859000000000002E-2</v>
      </c>
      <c r="D35" s="11">
        <f t="shared" ca="1" si="1"/>
        <v>0.98014100000000004</v>
      </c>
      <c r="E35" s="11">
        <f t="shared" ca="1" si="4"/>
        <v>0.85748903988078018</v>
      </c>
      <c r="F35" s="11"/>
      <c r="G35" s="11"/>
      <c r="H35" s="15">
        <f t="shared" ca="1" si="2"/>
        <v>0.36182211937154873</v>
      </c>
    </row>
    <row r="36" spans="2:8">
      <c r="B36" s="9">
        <f t="shared" ca="1" si="3"/>
        <v>69</v>
      </c>
      <c r="C36" s="11">
        <f t="shared" ca="1" si="0"/>
        <v>2.1728999999999998E-2</v>
      </c>
      <c r="D36" s="11">
        <f t="shared" ca="1" si="1"/>
        <v>0.978271</v>
      </c>
      <c r="E36" s="11">
        <f t="shared" ca="1" si="4"/>
        <v>0.84046016503778775</v>
      </c>
      <c r="F36" s="11"/>
      <c r="G36" s="11"/>
      <c r="H36" s="15">
        <f t="shared" ca="1" si="2"/>
        <v>0.34099682106052809</v>
      </c>
    </row>
    <row r="37" spans="2:8">
      <c r="B37" s="9">
        <f t="shared" ca="1" si="3"/>
        <v>70</v>
      </c>
      <c r="C37" s="11">
        <f t="shared" ca="1" si="0"/>
        <v>2.3730000000000001E-2</v>
      </c>
      <c r="D37" s="11">
        <f t="shared" ca="1" si="1"/>
        <v>0.97626999999999997</v>
      </c>
      <c r="E37" s="11">
        <f t="shared" ca="1" si="4"/>
        <v>0.82219780611168169</v>
      </c>
      <c r="F37" s="11"/>
      <c r="G37" s="11"/>
      <c r="H37" s="15">
        <f t="shared" ca="1" si="2"/>
        <v>0.32075702032279219</v>
      </c>
    </row>
    <row r="38" spans="2:8">
      <c r="B38" s="9">
        <f t="shared" ca="1" si="3"/>
        <v>71</v>
      </c>
      <c r="C38" s="11">
        <f t="shared" ca="1" si="0"/>
        <v>2.5950999999999998E-2</v>
      </c>
      <c r="D38" s="11">
        <f t="shared" ca="1" si="1"/>
        <v>0.97404900000000005</v>
      </c>
      <c r="E38" s="11">
        <f t="shared" ca="1" si="4"/>
        <v>0.80268705217265146</v>
      </c>
      <c r="F38" s="11"/>
      <c r="G38" s="11"/>
      <c r="H38" s="15">
        <f t="shared" ca="1" si="2"/>
        <v>0.30110140022166559</v>
      </c>
    </row>
    <row r="39" spans="2:8">
      <c r="B39" s="9">
        <f t="shared" ca="1" si="3"/>
        <v>72</v>
      </c>
      <c r="C39" s="11">
        <f t="shared" ca="1" si="0"/>
        <v>2.8480999999999999E-2</v>
      </c>
      <c r="D39" s="11">
        <f t="shared" ca="1" si="1"/>
        <v>0.97151900000000002</v>
      </c>
      <c r="E39" s="11">
        <f t="shared" ca="1" si="4"/>
        <v>0.78185652048171905</v>
      </c>
      <c r="F39" s="11"/>
      <c r="G39" s="11"/>
      <c r="H39" s="15">
        <f t="shared" ca="1" si="2"/>
        <v>0.282007228638955</v>
      </c>
    </row>
    <row r="40" spans="2:8">
      <c r="B40" s="9">
        <f t="shared" ca="1" si="3"/>
        <v>73</v>
      </c>
      <c r="C40" s="11">
        <f t="shared" ca="1" si="0"/>
        <v>3.1201E-2</v>
      </c>
      <c r="D40" s="11">
        <f t="shared" ca="1" si="1"/>
        <v>0.96879899999999997</v>
      </c>
      <c r="E40" s="11">
        <f t="shared" ca="1" si="4"/>
        <v>0.75958846492187926</v>
      </c>
      <c r="F40" s="11"/>
      <c r="G40" s="11"/>
      <c r="H40" s="15">
        <f t="shared" ca="1" si="2"/>
        <v>0.2634378661154701</v>
      </c>
    </row>
    <row r="41" spans="2:8">
      <c r="B41" s="9">
        <f t="shared" ca="1" si="3"/>
        <v>74</v>
      </c>
      <c r="C41" s="11">
        <f t="shared" ca="1" si="0"/>
        <v>3.4050999999999998E-2</v>
      </c>
      <c r="D41" s="11">
        <f t="shared" ca="1" si="1"/>
        <v>0.96594899999999995</v>
      </c>
      <c r="E41" s="11">
        <f t="shared" ca="1" si="4"/>
        <v>0.73588854522785163</v>
      </c>
      <c r="F41" s="11"/>
      <c r="G41" s="11"/>
      <c r="H41" s="15">
        <f t="shared" ca="1" si="2"/>
        <v>0.24540225120653969</v>
      </c>
    </row>
    <row r="42" spans="2:8">
      <c r="B42" s="9">
        <f t="shared" ca="1" si="3"/>
        <v>75</v>
      </c>
      <c r="C42" s="11">
        <f t="shared" ca="1" si="0"/>
        <v>3.7211000000000001E-2</v>
      </c>
      <c r="D42" s="11">
        <f t="shared" ca="1" si="1"/>
        <v>0.96278900000000001</v>
      </c>
      <c r="E42" s="11">
        <f t="shared" ca="1" si="4"/>
        <v>0.71083080437429802</v>
      </c>
      <c r="F42" s="11"/>
      <c r="G42" s="11"/>
      <c r="H42" s="15">
        <f t="shared" ca="1" si="2"/>
        <v>0.22792890302952479</v>
      </c>
    </row>
    <row r="43" spans="2:8">
      <c r="B43" s="9">
        <f t="shared" ca="1" si="3"/>
        <v>76</v>
      </c>
      <c r="C43" s="11">
        <f t="shared" ca="1" si="0"/>
        <v>4.0857999999999998E-2</v>
      </c>
      <c r="D43" s="11">
        <f t="shared" ca="1" si="1"/>
        <v>0.95914200000000005</v>
      </c>
      <c r="E43" s="11">
        <f t="shared" ca="1" si="4"/>
        <v>0.68438007931272604</v>
      </c>
      <c r="F43" s="11"/>
      <c r="G43" s="11"/>
      <c r="H43" s="15">
        <f t="shared" ca="1" si="2"/>
        <v>0.21100715444124346</v>
      </c>
    </row>
    <row r="44" spans="2:8">
      <c r="B44" s="9">
        <f t="shared" ca="1" si="3"/>
        <v>77</v>
      </c>
      <c r="C44" s="11">
        <f t="shared" ca="1" si="0"/>
        <v>4.5171000000000003E-2</v>
      </c>
      <c r="D44" s="11">
        <f t="shared" ca="1" si="1"/>
        <v>0.95482900000000004</v>
      </c>
      <c r="E44" s="11">
        <f t="shared" ca="1" si="4"/>
        <v>0.65641767803216666</v>
      </c>
      <c r="F44" s="11"/>
      <c r="G44" s="11"/>
      <c r="H44" s="15">
        <f t="shared" ca="1" si="2"/>
        <v>0.19460175396642604</v>
      </c>
    </row>
    <row r="45" spans="2:8">
      <c r="B45" s="9">
        <f t="shared" ca="1" si="3"/>
        <v>78</v>
      </c>
      <c r="C45" s="11">
        <f t="shared" ca="1" si="0"/>
        <v>5.0210999999999999E-2</v>
      </c>
      <c r="D45" s="11">
        <f t="shared" ca="1" si="1"/>
        <v>0.94978899999999999</v>
      </c>
      <c r="E45" s="11">
        <f t="shared" ca="1" si="4"/>
        <v>0.62676663509777564</v>
      </c>
      <c r="F45" s="11"/>
      <c r="G45" s="11"/>
      <c r="H45" s="15">
        <f t="shared" ref="H45:H76" ca="1" si="5">IF(B45="","",$E45*(1+$H$5)^($B$13-B45))</f>
        <v>0.17866480590193135</v>
      </c>
    </row>
    <row r="46" spans="2:8">
      <c r="B46" s="9">
        <f t="shared" ca="1" si="3"/>
        <v>79</v>
      </c>
      <c r="C46" s="11">
        <f t="shared" ca="1" si="0"/>
        <v>5.5861000000000001E-2</v>
      </c>
      <c r="D46" s="11">
        <f t="shared" ca="1" si="1"/>
        <v>0.94413899999999995</v>
      </c>
      <c r="E46" s="11">
        <f t="shared" ca="1" si="4"/>
        <v>0.59529605558288123</v>
      </c>
      <c r="F46" s="11"/>
      <c r="G46" s="11"/>
      <c r="H46" s="15">
        <f t="shared" ca="1" si="5"/>
        <v>0.16316718012768219</v>
      </c>
    </row>
    <row r="47" spans="2:8">
      <c r="B47" s="9">
        <f t="shared" ca="1" si="3"/>
        <v>80</v>
      </c>
      <c r="C47" s="11">
        <f t="shared" ca="1" si="0"/>
        <v>6.2026999999999999E-2</v>
      </c>
      <c r="D47" s="11">
        <f t="shared" ca="1" si="1"/>
        <v>0.93797299999999995</v>
      </c>
      <c r="E47" s="11">
        <f t="shared" ca="1" si="4"/>
        <v>0.5620422226219659</v>
      </c>
      <c r="F47" s="11"/>
      <c r="G47" s="11"/>
      <c r="H47" s="15">
        <f t="shared" ca="1" si="5"/>
        <v>0.14812740219093243</v>
      </c>
    </row>
    <row r="48" spans="2:8">
      <c r="B48" s="9">
        <f t="shared" ca="1" si="3"/>
        <v>81</v>
      </c>
      <c r="C48" s="11">
        <f t="shared" ca="1" si="0"/>
        <v>6.8614999999999995E-2</v>
      </c>
      <c r="D48" s="11">
        <f t="shared" ca="1" si="1"/>
        <v>0.93138500000000002</v>
      </c>
      <c r="E48" s="11">
        <f t="shared" ca="1" si="4"/>
        <v>0.52718042967939316</v>
      </c>
      <c r="F48" s="11"/>
      <c r="G48" s="11"/>
      <c r="H48" s="15">
        <f t="shared" ca="1" si="5"/>
        <v>0.13359567674541867</v>
      </c>
    </row>
    <row r="49" spans="2:8">
      <c r="B49" s="9">
        <f t="shared" ca="1" si="3"/>
        <v>82</v>
      </c>
      <c r="C49" s="11">
        <f t="shared" ca="1" si="0"/>
        <v>7.5532000000000002E-2</v>
      </c>
      <c r="D49" s="11">
        <f t="shared" ca="1" si="1"/>
        <v>0.92446799999999996</v>
      </c>
      <c r="E49" s="11">
        <f t="shared" ca="1" si="4"/>
        <v>0.49100794449694163</v>
      </c>
      <c r="F49" s="11"/>
      <c r="G49" s="11"/>
      <c r="H49" s="15">
        <f t="shared" ca="1" si="5"/>
        <v>0.11964327825531904</v>
      </c>
    </row>
    <row r="50" spans="2:8">
      <c r="B50" s="9">
        <f t="shared" ca="1" si="3"/>
        <v>83</v>
      </c>
      <c r="C50" s="11">
        <f t="shared" ca="1" si="0"/>
        <v>8.251E-2</v>
      </c>
      <c r="D50" s="11">
        <f t="shared" ca="1" si="1"/>
        <v>0.91749000000000003</v>
      </c>
      <c r="E50" s="11">
        <f t="shared" ca="1" si="4"/>
        <v>0.45392113243319859</v>
      </c>
      <c r="F50" s="11"/>
      <c r="G50" s="11"/>
      <c r="H50" s="15">
        <f t="shared" ca="1" si="5"/>
        <v>0.10635229054051754</v>
      </c>
    </row>
    <row r="51" spans="2:8">
      <c r="B51" s="9">
        <f t="shared" ca="1" si="3"/>
        <v>84</v>
      </c>
      <c r="C51" s="11">
        <f t="shared" ca="1" si="0"/>
        <v>8.9612999999999998E-2</v>
      </c>
      <c r="D51" s="11">
        <f t="shared" ca="1" si="1"/>
        <v>0.91038700000000006</v>
      </c>
      <c r="E51" s="11">
        <f t="shared" ca="1" si="4"/>
        <v>0.41646809979613542</v>
      </c>
      <c r="F51" s="11"/>
      <c r="G51" s="11"/>
      <c r="H51" s="15">
        <f t="shared" ca="1" si="5"/>
        <v>9.3824195238480249E-2</v>
      </c>
    </row>
    <row r="52" spans="2:8">
      <c r="B52" s="9">
        <f t="shared" ca="1" si="3"/>
        <v>85</v>
      </c>
      <c r="C52" s="11">
        <f t="shared" ca="1" si="0"/>
        <v>9.7239999999999993E-2</v>
      </c>
      <c r="D52" s="11">
        <f t="shared" ca="1" si="1"/>
        <v>0.90276000000000001</v>
      </c>
      <c r="E52" s="11">
        <f t="shared" ca="1" si="4"/>
        <v>0.37914714396910437</v>
      </c>
      <c r="F52" s="11"/>
      <c r="G52" s="11"/>
      <c r="H52" s="15">
        <f t="shared" ca="1" si="5"/>
        <v>8.2131084260167631E-2</v>
      </c>
    </row>
    <row r="53" spans="2:8">
      <c r="B53" s="9">
        <f t="shared" ca="1" si="3"/>
        <v>86</v>
      </c>
      <c r="C53" s="11">
        <f t="shared" ca="1" si="0"/>
        <v>0.105792</v>
      </c>
      <c r="D53" s="11">
        <f t="shared" ca="1" si="1"/>
        <v>0.894208</v>
      </c>
      <c r="E53" s="11">
        <f t="shared" ca="1" si="4"/>
        <v>0.34227887568954868</v>
      </c>
      <c r="F53" s="11"/>
      <c r="G53" s="11"/>
      <c r="H53" s="15">
        <f t="shared" ca="1" si="5"/>
        <v>7.1292940025681636E-2</v>
      </c>
    </row>
    <row r="54" spans="2:8">
      <c r="B54" s="9">
        <f t="shared" ca="1" si="3"/>
        <v>87</v>
      </c>
      <c r="C54" s="11">
        <f t="shared" ca="1" si="0"/>
        <v>0.115671</v>
      </c>
      <c r="D54" s="11">
        <f t="shared" ca="1" si="1"/>
        <v>0.88432900000000003</v>
      </c>
      <c r="E54" s="11">
        <f t="shared" ca="1" si="4"/>
        <v>0.30606850887259995</v>
      </c>
      <c r="F54" s="11"/>
      <c r="G54" s="11"/>
      <c r="H54" s="15">
        <f t="shared" ca="1" si="5"/>
        <v>6.1298766648543009E-2</v>
      </c>
    </row>
    <row r="55" spans="2:8">
      <c r="B55" s="9">
        <f t="shared" ca="1" si="3"/>
        <v>88</v>
      </c>
      <c r="C55" s="11">
        <f t="shared" ca="1" si="0"/>
        <v>0.12698000000000001</v>
      </c>
      <c r="D55" s="11">
        <f t="shared" ca="1" si="1"/>
        <v>0.87302000000000002</v>
      </c>
      <c r="E55" s="11">
        <f t="shared" ca="1" si="4"/>
        <v>0.27066525838279748</v>
      </c>
      <c r="F55" s="11"/>
      <c r="G55" s="11"/>
      <c r="H55" s="15">
        <f t="shared" ca="1" si="5"/>
        <v>5.2123343280326355E-2</v>
      </c>
    </row>
    <row r="56" spans="2:8">
      <c r="B56" s="9">
        <f t="shared" ca="1" si="3"/>
        <v>89</v>
      </c>
      <c r="C56" s="11">
        <f t="shared" ca="1" si="0"/>
        <v>0.13945199999999999</v>
      </c>
      <c r="D56" s="11">
        <f t="shared" ca="1" si="1"/>
        <v>0.86054799999999998</v>
      </c>
      <c r="E56" s="11">
        <f t="shared" ca="1" si="4"/>
        <v>0.23629618387334986</v>
      </c>
      <c r="F56" s="11"/>
      <c r="G56" s="11"/>
      <c r="H56" s="15">
        <f t="shared" ca="1" si="5"/>
        <v>4.3754539567875492E-2</v>
      </c>
    </row>
    <row r="57" spans="2:8">
      <c r="B57" s="9">
        <f t="shared" ca="1" si="3"/>
        <v>90</v>
      </c>
      <c r="C57" s="11">
        <f t="shared" ca="1" si="0"/>
        <v>0.15293100000000001</v>
      </c>
      <c r="D57" s="11">
        <f t="shared" ca="1" si="1"/>
        <v>0.84706899999999996</v>
      </c>
      <c r="E57" s="11">
        <f t="shared" ca="1" si="4"/>
        <v>0.20334420843984347</v>
      </c>
      <c r="F57" s="11"/>
      <c r="G57" s="11"/>
      <c r="H57" s="15">
        <f t="shared" ca="1" si="5"/>
        <v>3.620469376543857E-2</v>
      </c>
    </row>
    <row r="58" spans="2:8">
      <c r="B58" s="9">
        <f t="shared" ca="1" si="3"/>
        <v>91</v>
      </c>
      <c r="C58" s="11">
        <f t="shared" ca="1" si="0"/>
        <v>0.16725999999999999</v>
      </c>
      <c r="D58" s="11">
        <f t="shared" ca="1" si="1"/>
        <v>0.83274000000000004</v>
      </c>
      <c r="E58" s="11">
        <f t="shared" ca="1" si="4"/>
        <v>0.17224657529892975</v>
      </c>
      <c r="F58" s="11"/>
      <c r="G58" s="11"/>
      <c r="H58" s="15">
        <f t="shared" ca="1" si="5"/>
        <v>2.9488340137688727E-2</v>
      </c>
    </row>
    <row r="59" spans="2:8">
      <c r="B59" s="9">
        <f t="shared" ca="1" si="3"/>
        <v>92</v>
      </c>
      <c r="C59" s="11">
        <f t="shared" ca="1" si="0"/>
        <v>0.182281</v>
      </c>
      <c r="D59" s="11">
        <f t="shared" ca="1" si="1"/>
        <v>0.81771899999999997</v>
      </c>
      <c r="E59" s="11">
        <f t="shared" ca="1" si="4"/>
        <v>0.14343661311443076</v>
      </c>
      <c r="F59" s="11"/>
      <c r="G59" s="11"/>
      <c r="H59" s="15">
        <f t="shared" ca="1" si="5"/>
        <v>2.3611654198325879E-2</v>
      </c>
    </row>
    <row r="60" spans="2:8">
      <c r="B60" s="9">
        <f t="shared" ca="1" si="3"/>
        <v>93</v>
      </c>
      <c r="C60" s="11">
        <f t="shared" ca="1" si="0"/>
        <v>0.19839200000000001</v>
      </c>
      <c r="D60" s="11">
        <f t="shared" ca="1" si="1"/>
        <v>0.80160799999999999</v>
      </c>
      <c r="E60" s="11">
        <f t="shared" ca="1" si="4"/>
        <v>0.1172908438393192</v>
      </c>
      <c r="F60" s="11"/>
      <c r="G60" s="11"/>
      <c r="H60" s="15">
        <f t="shared" ca="1" si="5"/>
        <v>1.8565094480193112E-2</v>
      </c>
    </row>
    <row r="61" spans="2:8">
      <c r="B61" s="9">
        <f t="shared" ca="1" si="3"/>
        <v>94</v>
      </c>
      <c r="C61" s="11">
        <f t="shared" ca="1" si="0"/>
        <v>0.2157</v>
      </c>
      <c r="D61" s="11">
        <f t="shared" ca="1" si="1"/>
        <v>0.7843</v>
      </c>
      <c r="E61" s="11">
        <f t="shared" ca="1" si="4"/>
        <v>9.402127874834898E-2</v>
      </c>
      <c r="F61" s="11"/>
      <c r="G61" s="11"/>
      <c r="H61" s="15">
        <f t="shared" ca="1" si="5"/>
        <v>1.4309546400075613E-2</v>
      </c>
    </row>
    <row r="62" spans="2:8">
      <c r="B62" s="9">
        <f t="shared" ca="1" si="3"/>
        <v>95</v>
      </c>
      <c r="C62" s="11">
        <f t="shared" ca="1" si="0"/>
        <v>0.23360600000000001</v>
      </c>
      <c r="D62" s="11">
        <f t="shared" ca="1" si="1"/>
        <v>0.76639400000000002</v>
      </c>
      <c r="E62" s="11">
        <f t="shared" ca="1" si="4"/>
        <v>7.3740888922330106E-2</v>
      </c>
      <c r="F62" s="11"/>
      <c r="G62" s="11"/>
      <c r="H62" s="15">
        <f t="shared" ca="1" si="5"/>
        <v>1.0791324270749331E-2</v>
      </c>
    </row>
    <row r="63" spans="2:8">
      <c r="B63" s="9">
        <f t="shared" ca="1" si="3"/>
        <v>96</v>
      </c>
      <c r="C63" s="11">
        <f t="shared" ca="1" si="0"/>
        <v>0.25151000000000001</v>
      </c>
      <c r="D63" s="11">
        <f t="shared" ca="1" si="1"/>
        <v>0.74848999999999999</v>
      </c>
      <c r="E63" s="11">
        <f t="shared" ca="1" si="4"/>
        <v>5.651457482474026E-2</v>
      </c>
      <c r="F63" s="11"/>
      <c r="G63" s="11"/>
      <c r="H63" s="15">
        <f t="shared" ca="1" si="5"/>
        <v>7.9523136280352513E-3</v>
      </c>
    </row>
    <row r="64" spans="2:8">
      <c r="B64" s="9">
        <f t="shared" ca="1" si="3"/>
        <v>97</v>
      </c>
      <c r="C64" s="11">
        <f t="shared" ca="1" si="0"/>
        <v>0.26881500000000003</v>
      </c>
      <c r="D64" s="11">
        <f t="shared" ca="1" si="1"/>
        <v>0.73118499999999997</v>
      </c>
      <c r="E64" s="11">
        <f t="shared" ca="1" si="4"/>
        <v>4.2300594110569835E-2</v>
      </c>
      <c r="F64" s="11"/>
      <c r="G64" s="11"/>
      <c r="H64" s="15">
        <f t="shared" ca="1" si="5"/>
        <v>5.7232954110077927E-3</v>
      </c>
    </row>
    <row r="65" spans="2:8">
      <c r="B65" s="9">
        <f t="shared" ca="1" si="3"/>
        <v>98</v>
      </c>
      <c r="C65" s="11">
        <f t="shared" ca="1" si="0"/>
        <v>0.285277</v>
      </c>
      <c r="D65" s="11">
        <f t="shared" ca="1" si="1"/>
        <v>0.714723</v>
      </c>
      <c r="E65" s="11">
        <f t="shared" ca="1" si="4"/>
        <v>3.0929559904737003E-2</v>
      </c>
      <c r="F65" s="11"/>
      <c r="G65" s="11"/>
      <c r="H65" s="15">
        <f t="shared" ca="1" si="5"/>
        <v>4.0238343799016661E-3</v>
      </c>
    </row>
    <row r="66" spans="2:8">
      <c r="B66" s="9">
        <f t="shared" ca="1" si="3"/>
        <v>99</v>
      </c>
      <c r="C66" s="11">
        <f t="shared" ca="1" si="0"/>
        <v>0.30129800000000001</v>
      </c>
      <c r="D66" s="11">
        <f t="shared" ca="1" si="1"/>
        <v>0.69870199999999993</v>
      </c>
      <c r="E66" s="11">
        <f t="shared" ca="1" si="4"/>
        <v>2.2106067843793344E-2</v>
      </c>
      <c r="F66" s="11"/>
      <c r="G66" s="11"/>
      <c r="H66" s="15">
        <f t="shared" ca="1" si="5"/>
        <v>2.765314403371594E-3</v>
      </c>
    </row>
    <row r="67" spans="2:8">
      <c r="B67" s="9">
        <f t="shared" ca="1" si="3"/>
        <v>100</v>
      </c>
      <c r="C67" s="11">
        <f t="shared" ca="1" si="0"/>
        <v>0.31723800000000002</v>
      </c>
      <c r="D67" s="11">
        <f t="shared" ca="1" si="1"/>
        <v>0.68276199999999998</v>
      </c>
      <c r="E67" s="11">
        <f t="shared" ca="1" si="4"/>
        <v>1.5445553814594096E-2</v>
      </c>
      <c r="F67" s="11"/>
      <c r="G67" s="11"/>
      <c r="H67" s="15">
        <f t="shared" ca="1" si="5"/>
        <v>1.8578179848697494E-3</v>
      </c>
    </row>
    <row r="68" spans="2:8">
      <c r="B68" s="9">
        <f t="shared" ca="1" si="3"/>
        <v>101</v>
      </c>
      <c r="C68" s="11">
        <f t="shared" ca="1" si="0"/>
        <v>0.33346100000000001</v>
      </c>
      <c r="D68" s="11">
        <f t="shared" ca="1" si="1"/>
        <v>0.66653899999999999</v>
      </c>
      <c r="E68" s="11">
        <f t="shared" ca="1" si="4"/>
        <v>1.0545637213559894E-2</v>
      </c>
      <c r="F68" s="11"/>
      <c r="G68" s="11"/>
      <c r="H68" s="15">
        <f t="shared" ca="1" si="5"/>
        <v>1.2196610797938845E-3</v>
      </c>
    </row>
    <row r="69" spans="2:8">
      <c r="B69" s="9">
        <f t="shared" ca="1" si="3"/>
        <v>102</v>
      </c>
      <c r="C69" s="11">
        <f t="shared" ca="1" si="0"/>
        <v>0.35032999999999997</v>
      </c>
      <c r="D69" s="11">
        <f t="shared" ca="1" si="1"/>
        <v>0.64966999999999997</v>
      </c>
      <c r="E69" s="11">
        <f t="shared" ca="1" si="4"/>
        <v>7.0290784826889984E-3</v>
      </c>
      <c r="F69" s="11"/>
      <c r="G69" s="11"/>
      <c r="H69" s="15">
        <f t="shared" ca="1" si="5"/>
        <v>7.8168430429301542E-4</v>
      </c>
    </row>
    <row r="70" spans="2:8">
      <c r="B70" s="9">
        <f t="shared" ca="1" si="3"/>
        <v>103</v>
      </c>
      <c r="C70" s="11">
        <f t="shared" ca="1" si="0"/>
        <v>0.36854199999999998</v>
      </c>
      <c r="D70" s="11">
        <f t="shared" ca="1" si="1"/>
        <v>0.63145800000000007</v>
      </c>
      <c r="E70" s="11">
        <f t="shared" ca="1" si="4"/>
        <v>4.5665814178485614E-3</v>
      </c>
      <c r="F70" s="11"/>
      <c r="G70" s="11"/>
      <c r="H70" s="15">
        <f t="shared" ca="1" si="5"/>
        <v>4.883046557404261E-4</v>
      </c>
    </row>
    <row r="71" spans="2:8">
      <c r="B71" s="9">
        <f t="shared" ca="1" si="3"/>
        <v>104</v>
      </c>
      <c r="C71" s="11">
        <f t="shared" ca="1" si="0"/>
        <v>0.38785500000000001</v>
      </c>
      <c r="D71" s="11">
        <f t="shared" ca="1" si="1"/>
        <v>0.61214499999999994</v>
      </c>
      <c r="E71" s="11">
        <f t="shared" ca="1" si="4"/>
        <v>2.8836043689518171E-3</v>
      </c>
      <c r="F71" s="11"/>
      <c r="G71" s="11"/>
      <c r="H71" s="15">
        <f t="shared" ca="1" si="5"/>
        <v>2.9648450125436355E-4</v>
      </c>
    </row>
    <row r="72" spans="2:8">
      <c r="B72" s="9">
        <f t="shared" ca="1" si="3"/>
        <v>105</v>
      </c>
      <c r="C72" s="11">
        <f t="shared" ca="1" si="0"/>
        <v>0.40722399999999997</v>
      </c>
      <c r="D72" s="11">
        <f t="shared" ca="1" si="1"/>
        <v>0.59277599999999997</v>
      </c>
      <c r="E72" s="11">
        <f t="shared" ca="1" si="4"/>
        <v>1.7651839964320098E-3</v>
      </c>
      <c r="F72" s="11"/>
      <c r="G72" s="11"/>
      <c r="H72" s="15">
        <f t="shared" ca="1" si="5"/>
        <v>1.7451106251956954E-4</v>
      </c>
    </row>
    <row r="73" spans="2:8">
      <c r="B73" s="9">
        <f t="shared" ca="1" si="3"/>
        <v>106</v>
      </c>
      <c r="C73" s="11">
        <f t="shared" ca="1" si="0"/>
        <v>0.42559900000000001</v>
      </c>
      <c r="D73" s="11">
        <f t="shared" ca="1" si="1"/>
        <v>0.57440099999999994</v>
      </c>
      <c r="E73" s="11">
        <f t="shared" ca="1" si="4"/>
        <v>1.046358708668981E-3</v>
      </c>
      <c r="F73" s="11"/>
      <c r="G73" s="11"/>
      <c r="H73" s="15">
        <f t="shared" ca="1" si="5"/>
        <v>9.946727845778877E-5</v>
      </c>
    </row>
    <row r="74" spans="2:8">
      <c r="B74" s="9">
        <f t="shared" ca="1" si="3"/>
        <v>107</v>
      </c>
      <c r="C74" s="11">
        <f t="shared" ca="1" si="0"/>
        <v>0.44193500000000002</v>
      </c>
      <c r="D74" s="11">
        <f t="shared" ca="1" si="1"/>
        <v>0.55806500000000003</v>
      </c>
      <c r="E74" s="11">
        <f t="shared" ca="1" si="4"/>
        <v>6.0102948861817131E-4</v>
      </c>
      <c r="F74" s="11"/>
      <c r="G74" s="11"/>
      <c r="H74" s="15">
        <f t="shared" ca="1" si="5"/>
        <v>5.4936638666761848E-5</v>
      </c>
    </row>
    <row r="75" spans="2:8">
      <c r="B75" s="9">
        <f t="shared" ca="1" si="3"/>
        <v>108</v>
      </c>
      <c r="C75" s="11">
        <f t="shared" ca="1" si="0"/>
        <v>0.45755299999999999</v>
      </c>
      <c r="D75" s="11">
        <f t="shared" ca="1" si="1"/>
        <v>0.54244700000000001</v>
      </c>
      <c r="E75" s="11">
        <f t="shared" ca="1" si="4"/>
        <v>3.3541352156569982E-4</v>
      </c>
      <c r="F75" s="11"/>
      <c r="G75" s="11"/>
      <c r="H75" s="15">
        <f t="shared" ca="1" si="5"/>
        <v>2.9479053132275442E-5</v>
      </c>
    </row>
    <row r="76" spans="2:8">
      <c r="B76" s="9">
        <f t="shared" ca="1" si="3"/>
        <v>109</v>
      </c>
      <c r="C76" s="11">
        <f t="shared" ca="1" si="0"/>
        <v>0.47315000000000002</v>
      </c>
      <c r="D76" s="11">
        <f t="shared" ca="1" si="1"/>
        <v>0.52685000000000004</v>
      </c>
      <c r="E76" s="11">
        <f t="shared" ca="1" si="4"/>
        <v>1.8194405853274917E-4</v>
      </c>
      <c r="F76" s="11"/>
      <c r="G76" s="11"/>
      <c r="H76" s="15">
        <f t="shared" ca="1" si="5"/>
        <v>1.5375792244657133E-5</v>
      </c>
    </row>
    <row r="77" spans="2:8">
      <c r="B77" s="9">
        <f t="shared" ca="1" si="3"/>
        <v>110</v>
      </c>
      <c r="C77" s="11">
        <f t="shared" ca="1" si="0"/>
        <v>0.48674499999999998</v>
      </c>
      <c r="D77" s="11">
        <f t="shared" ca="1" si="1"/>
        <v>0.51325500000000002</v>
      </c>
      <c r="E77" s="11">
        <f t="shared" ca="1" si="4"/>
        <v>9.5857227237978909E-5</v>
      </c>
      <c r="F77" s="11"/>
      <c r="G77" s="11"/>
      <c r="H77" s="15">
        <f t="shared" ref="H77:H108" ca="1" si="6">IF(B77="","",$E77*(1+$H$5)^($B$13-B77))</f>
        <v>7.7891693693246237E-6</v>
      </c>
    </row>
    <row r="78" spans="2:8">
      <c r="B78" s="9">
        <f t="shared" ca="1" si="3"/>
        <v>111</v>
      </c>
      <c r="C78" s="11">
        <f t="shared" ref="C78:C137" ca="1" si="7">IF(B78="","",VLOOKUP(B78,QxTable,2))</f>
        <v>0.49635600000000002</v>
      </c>
      <c r="D78" s="11">
        <f t="shared" ref="D78:D137" ca="1" si="8">IF(B78="","",1-C78)</f>
        <v>0.50364399999999998</v>
      </c>
      <c r="E78" s="11">
        <f t="shared" ca="1" si="4"/>
        <v>4.9199201166028864E-5</v>
      </c>
      <c r="F78" s="11"/>
      <c r="G78" s="11"/>
      <c r="H78" s="15">
        <f t="shared" ca="1" si="6"/>
        <v>3.8440674275506822E-6</v>
      </c>
    </row>
    <row r="79" spans="2:8">
      <c r="B79" s="9">
        <f t="shared" ref="B79:B137" ca="1" si="9">IF(B78&gt;=120,"",B78+1)</f>
        <v>112</v>
      </c>
      <c r="C79" s="11">
        <f t="shared" ca="1" si="7"/>
        <v>0.5</v>
      </c>
      <c r="D79" s="11">
        <f t="shared" ca="1" si="8"/>
        <v>0.5</v>
      </c>
      <c r="E79" s="11">
        <f t="shared" ref="E79:E137" ca="1" si="10">IF(B79="","",E78*D78)</f>
        <v>2.477888247206344E-5</v>
      </c>
      <c r="F79" s="11"/>
      <c r="G79" s="11"/>
      <c r="H79" s="15">
        <f t="shared" ca="1" si="6"/>
        <v>1.861578361039746E-6</v>
      </c>
    </row>
    <row r="80" spans="2:8">
      <c r="B80" s="9">
        <f t="shared" ca="1" si="9"/>
        <v>113</v>
      </c>
      <c r="C80" s="11">
        <f t="shared" ca="1" si="7"/>
        <v>0.5</v>
      </c>
      <c r="D80" s="11">
        <f t="shared" ca="1" si="8"/>
        <v>0.5</v>
      </c>
      <c r="E80" s="11">
        <f t="shared" ca="1" si="10"/>
        <v>1.238944123603172E-5</v>
      </c>
      <c r="F80" s="11"/>
      <c r="G80" s="11"/>
      <c r="H80" s="15">
        <f t="shared" ca="1" si="6"/>
        <v>8.9498959665372411E-7</v>
      </c>
    </row>
    <row r="81" spans="2:8">
      <c r="B81" s="9">
        <f t="shared" ca="1" si="9"/>
        <v>114</v>
      </c>
      <c r="C81" s="11">
        <f t="shared" ca="1" si="7"/>
        <v>0.5</v>
      </c>
      <c r="D81" s="11">
        <f t="shared" ca="1" si="8"/>
        <v>0.5</v>
      </c>
      <c r="E81" s="11">
        <f t="shared" ca="1" si="10"/>
        <v>6.1947206180158601E-6</v>
      </c>
      <c r="F81" s="11"/>
      <c r="G81" s="11"/>
      <c r="H81" s="15">
        <f t="shared" ca="1" si="6"/>
        <v>4.3028345992967495E-7</v>
      </c>
    </row>
    <row r="82" spans="2:8">
      <c r="B82" s="9">
        <f t="shared" ca="1" si="9"/>
        <v>115</v>
      </c>
      <c r="C82" s="11">
        <f t="shared" ca="1" si="7"/>
        <v>0.5</v>
      </c>
      <c r="D82" s="11">
        <f t="shared" ca="1" si="8"/>
        <v>0.5</v>
      </c>
      <c r="E82" s="11">
        <f t="shared" ca="1" si="10"/>
        <v>3.09736030900793E-6</v>
      </c>
      <c r="F82" s="11"/>
      <c r="G82" s="11"/>
      <c r="H82" s="15">
        <f t="shared" ca="1" si="6"/>
        <v>2.0686704804311296E-7</v>
      </c>
    </row>
    <row r="83" spans="2:8">
      <c r="B83" s="9">
        <f t="shared" ca="1" si="9"/>
        <v>116</v>
      </c>
      <c r="C83" s="11">
        <f t="shared" ca="1" si="7"/>
        <v>0.5</v>
      </c>
      <c r="D83" s="11">
        <f t="shared" ca="1" si="8"/>
        <v>0.5</v>
      </c>
      <c r="E83" s="11">
        <f t="shared" ca="1" si="10"/>
        <v>1.548680154503965E-6</v>
      </c>
      <c r="F83" s="11"/>
      <c r="G83" s="11"/>
      <c r="H83" s="15">
        <f t="shared" ca="1" si="6"/>
        <v>9.945531155918892E-8</v>
      </c>
    </row>
    <row r="84" spans="2:8">
      <c r="B84" s="9">
        <f t="shared" ca="1" si="9"/>
        <v>117</v>
      </c>
      <c r="C84" s="11">
        <f t="shared" ca="1" si="7"/>
        <v>0.5</v>
      </c>
      <c r="D84" s="11">
        <f t="shared" ca="1" si="8"/>
        <v>0.5</v>
      </c>
      <c r="E84" s="11">
        <f t="shared" ca="1" si="10"/>
        <v>7.7434007725198251E-7</v>
      </c>
      <c r="F84" s="11"/>
      <c r="G84" s="11"/>
      <c r="H84" s="15">
        <f t="shared" ca="1" si="6"/>
        <v>4.7815053634225444E-8</v>
      </c>
    </row>
    <row r="85" spans="2:8">
      <c r="B85" s="9">
        <f t="shared" ca="1" si="9"/>
        <v>118</v>
      </c>
      <c r="C85" s="11">
        <f t="shared" ca="1" si="7"/>
        <v>0.5</v>
      </c>
      <c r="D85" s="11">
        <f t="shared" ca="1" si="8"/>
        <v>0.5</v>
      </c>
      <c r="E85" s="11">
        <f t="shared" ca="1" si="10"/>
        <v>3.8717003862599125E-7</v>
      </c>
      <c r="F85" s="11"/>
      <c r="G85" s="11"/>
      <c r="H85" s="15">
        <f t="shared" ca="1" si="6"/>
        <v>2.2988006554916075E-8</v>
      </c>
    </row>
    <row r="86" spans="2:8">
      <c r="B86" s="9">
        <f t="shared" ca="1" si="9"/>
        <v>119</v>
      </c>
      <c r="C86" s="11">
        <f t="shared" ca="1" si="7"/>
        <v>0.5</v>
      </c>
      <c r="D86" s="11">
        <f t="shared" ca="1" si="8"/>
        <v>0.5</v>
      </c>
      <c r="E86" s="11">
        <f t="shared" ca="1" si="10"/>
        <v>1.9358501931299563E-7</v>
      </c>
      <c r="F86" s="11"/>
      <c r="G86" s="11"/>
      <c r="H86" s="15">
        <f t="shared" ca="1" si="6"/>
        <v>1.1051926228325036E-8</v>
      </c>
    </row>
    <row r="87" spans="2:8">
      <c r="B87" s="9">
        <f t="shared" ca="1" si="9"/>
        <v>120</v>
      </c>
      <c r="C87" s="11">
        <f t="shared" ca="1" si="7"/>
        <v>1</v>
      </c>
      <c r="D87" s="11">
        <f t="shared" ca="1" si="8"/>
        <v>0</v>
      </c>
      <c r="E87" s="11">
        <f t="shared" ca="1" si="10"/>
        <v>9.6792509656497813E-8</v>
      </c>
      <c r="F87" s="11"/>
      <c r="G87" s="11"/>
      <c r="H87" s="15">
        <f t="shared" ca="1" si="6"/>
        <v>5.3134260713101126E-9</v>
      </c>
    </row>
    <row r="88" spans="2:8">
      <c r="B88" s="9" t="str">
        <f t="shared" ca="1" si="9"/>
        <v/>
      </c>
      <c r="C88" s="11" t="str">
        <f t="shared" ca="1" si="7"/>
        <v/>
      </c>
      <c r="D88" s="11" t="str">
        <f t="shared" ca="1" si="8"/>
        <v/>
      </c>
      <c r="E88" s="11" t="str">
        <f t="shared" ca="1" si="10"/>
        <v/>
      </c>
      <c r="F88" s="11"/>
      <c r="G88" s="11"/>
      <c r="H88" s="15" t="str">
        <f t="shared" ca="1" si="6"/>
        <v/>
      </c>
    </row>
    <row r="89" spans="2:8">
      <c r="B89" s="9" t="str">
        <f t="shared" ca="1" si="9"/>
        <v/>
      </c>
      <c r="C89" s="11" t="str">
        <f t="shared" ca="1" si="7"/>
        <v/>
      </c>
      <c r="D89" s="11" t="str">
        <f t="shared" ca="1" si="8"/>
        <v/>
      </c>
      <c r="E89" s="11" t="str">
        <f t="shared" ca="1" si="10"/>
        <v/>
      </c>
      <c r="F89" s="11"/>
      <c r="G89" s="11"/>
      <c r="H89" s="15" t="str">
        <f t="shared" ca="1" si="6"/>
        <v/>
      </c>
    </row>
    <row r="90" spans="2:8">
      <c r="B90" s="9" t="str">
        <f t="shared" ca="1" si="9"/>
        <v/>
      </c>
      <c r="C90" s="11" t="str">
        <f t="shared" ca="1" si="7"/>
        <v/>
      </c>
      <c r="D90" s="11" t="str">
        <f t="shared" ca="1" si="8"/>
        <v/>
      </c>
      <c r="E90" s="11" t="str">
        <f t="shared" ca="1" si="10"/>
        <v/>
      </c>
      <c r="F90" s="11"/>
      <c r="G90" s="11"/>
      <c r="H90" s="15" t="str">
        <f t="shared" ca="1" si="6"/>
        <v/>
      </c>
    </row>
    <row r="91" spans="2:8">
      <c r="B91" s="9" t="str">
        <f t="shared" ca="1" si="9"/>
        <v/>
      </c>
      <c r="C91" s="11" t="str">
        <f t="shared" ca="1" si="7"/>
        <v/>
      </c>
      <c r="D91" s="11" t="str">
        <f t="shared" ca="1" si="8"/>
        <v/>
      </c>
      <c r="E91" s="11" t="str">
        <f t="shared" ca="1" si="10"/>
        <v/>
      </c>
      <c r="F91" s="11"/>
      <c r="G91" s="11"/>
      <c r="H91" s="15" t="str">
        <f t="shared" ca="1" si="6"/>
        <v/>
      </c>
    </row>
    <row r="92" spans="2:8">
      <c r="B92" s="9" t="str">
        <f t="shared" ca="1" si="9"/>
        <v/>
      </c>
      <c r="C92" s="11" t="str">
        <f t="shared" ca="1" si="7"/>
        <v/>
      </c>
      <c r="D92" s="11" t="str">
        <f t="shared" ca="1" si="8"/>
        <v/>
      </c>
      <c r="E92" s="11" t="str">
        <f t="shared" ca="1" si="10"/>
        <v/>
      </c>
      <c r="F92" s="11"/>
      <c r="G92" s="11"/>
      <c r="H92" s="15" t="str">
        <f t="shared" ca="1" si="6"/>
        <v/>
      </c>
    </row>
    <row r="93" spans="2:8">
      <c r="B93" s="9" t="str">
        <f t="shared" ca="1" si="9"/>
        <v/>
      </c>
      <c r="C93" s="11" t="str">
        <f t="shared" ca="1" si="7"/>
        <v/>
      </c>
      <c r="D93" s="11" t="str">
        <f t="shared" ca="1" si="8"/>
        <v/>
      </c>
      <c r="E93" s="11" t="str">
        <f t="shared" ca="1" si="10"/>
        <v/>
      </c>
      <c r="F93" s="11"/>
      <c r="G93" s="11"/>
      <c r="H93" s="15" t="str">
        <f t="shared" ca="1" si="6"/>
        <v/>
      </c>
    </row>
    <row r="94" spans="2:8">
      <c r="B94" s="9" t="str">
        <f t="shared" ca="1" si="9"/>
        <v/>
      </c>
      <c r="C94" s="11" t="str">
        <f t="shared" ca="1" si="7"/>
        <v/>
      </c>
      <c r="D94" s="11" t="str">
        <f t="shared" ca="1" si="8"/>
        <v/>
      </c>
      <c r="E94" s="11" t="str">
        <f t="shared" ca="1" si="10"/>
        <v/>
      </c>
      <c r="F94" s="11"/>
      <c r="G94" s="11"/>
      <c r="H94" s="15" t="str">
        <f t="shared" ca="1" si="6"/>
        <v/>
      </c>
    </row>
    <row r="95" spans="2:8">
      <c r="B95" s="9" t="str">
        <f t="shared" ca="1" si="9"/>
        <v/>
      </c>
      <c r="C95" s="11" t="str">
        <f t="shared" ca="1" si="7"/>
        <v/>
      </c>
      <c r="D95" s="11" t="str">
        <f t="shared" ca="1" si="8"/>
        <v/>
      </c>
      <c r="E95" s="11" t="str">
        <f t="shared" ca="1" si="10"/>
        <v/>
      </c>
      <c r="F95" s="11"/>
      <c r="G95" s="11"/>
      <c r="H95" s="15" t="str">
        <f t="shared" ca="1" si="6"/>
        <v/>
      </c>
    </row>
    <row r="96" spans="2:8">
      <c r="B96" s="9" t="str">
        <f t="shared" ca="1" si="9"/>
        <v/>
      </c>
      <c r="C96" s="11" t="str">
        <f t="shared" ca="1" si="7"/>
        <v/>
      </c>
      <c r="D96" s="11" t="str">
        <f t="shared" ca="1" si="8"/>
        <v/>
      </c>
      <c r="E96" s="11" t="str">
        <f t="shared" ca="1" si="10"/>
        <v/>
      </c>
      <c r="F96" s="11"/>
      <c r="G96" s="11"/>
      <c r="H96" s="15" t="str">
        <f t="shared" ca="1" si="6"/>
        <v/>
      </c>
    </row>
    <row r="97" spans="2:8">
      <c r="B97" s="9" t="str">
        <f t="shared" ca="1" si="9"/>
        <v/>
      </c>
      <c r="C97" s="11" t="str">
        <f t="shared" ca="1" si="7"/>
        <v/>
      </c>
      <c r="D97" s="11" t="str">
        <f t="shared" ca="1" si="8"/>
        <v/>
      </c>
      <c r="E97" s="11" t="str">
        <f t="shared" ca="1" si="10"/>
        <v/>
      </c>
      <c r="F97" s="11"/>
      <c r="G97" s="11"/>
      <c r="H97" s="15" t="str">
        <f t="shared" ca="1" si="6"/>
        <v/>
      </c>
    </row>
    <row r="98" spans="2:8">
      <c r="B98" s="9" t="str">
        <f t="shared" ca="1" si="9"/>
        <v/>
      </c>
      <c r="C98" s="11" t="str">
        <f t="shared" ca="1" si="7"/>
        <v/>
      </c>
      <c r="D98" s="11" t="str">
        <f t="shared" ca="1" si="8"/>
        <v/>
      </c>
      <c r="E98" s="11" t="str">
        <f t="shared" ca="1" si="10"/>
        <v/>
      </c>
      <c r="F98" s="11"/>
      <c r="G98" s="11"/>
      <c r="H98" s="15" t="str">
        <f t="shared" ca="1" si="6"/>
        <v/>
      </c>
    </row>
    <row r="99" spans="2:8">
      <c r="B99" s="9" t="str">
        <f t="shared" ca="1" si="9"/>
        <v/>
      </c>
      <c r="C99" s="11" t="str">
        <f t="shared" ca="1" si="7"/>
        <v/>
      </c>
      <c r="D99" s="11" t="str">
        <f t="shared" ca="1" si="8"/>
        <v/>
      </c>
      <c r="E99" s="11" t="str">
        <f t="shared" ca="1" si="10"/>
        <v/>
      </c>
      <c r="F99" s="11"/>
      <c r="G99" s="11"/>
      <c r="H99" s="15" t="str">
        <f t="shared" ca="1" si="6"/>
        <v/>
      </c>
    </row>
    <row r="100" spans="2:8">
      <c r="B100" s="9" t="str">
        <f t="shared" ca="1" si="9"/>
        <v/>
      </c>
      <c r="C100" s="11" t="str">
        <f t="shared" ca="1" si="7"/>
        <v/>
      </c>
      <c r="D100" s="11" t="str">
        <f t="shared" ca="1" si="8"/>
        <v/>
      </c>
      <c r="E100" s="11" t="str">
        <f t="shared" ca="1" si="10"/>
        <v/>
      </c>
      <c r="F100" s="11"/>
      <c r="G100" s="11"/>
      <c r="H100" s="15" t="str">
        <f t="shared" ca="1" si="6"/>
        <v/>
      </c>
    </row>
    <row r="101" spans="2:8">
      <c r="B101" s="9" t="str">
        <f t="shared" ca="1" si="9"/>
        <v/>
      </c>
      <c r="C101" s="11" t="str">
        <f t="shared" ca="1" si="7"/>
        <v/>
      </c>
      <c r="D101" s="11" t="str">
        <f t="shared" ca="1" si="8"/>
        <v/>
      </c>
      <c r="E101" s="11" t="str">
        <f t="shared" ca="1" si="10"/>
        <v/>
      </c>
      <c r="F101" s="11"/>
      <c r="G101" s="11"/>
      <c r="H101" s="15" t="str">
        <f t="shared" ca="1" si="6"/>
        <v/>
      </c>
    </row>
    <row r="102" spans="2:8">
      <c r="B102" s="9" t="str">
        <f t="shared" ca="1" si="9"/>
        <v/>
      </c>
      <c r="C102" s="11" t="str">
        <f t="shared" ca="1" si="7"/>
        <v/>
      </c>
      <c r="D102" s="11" t="str">
        <f t="shared" ca="1" si="8"/>
        <v/>
      </c>
      <c r="E102" s="11" t="str">
        <f t="shared" ca="1" si="10"/>
        <v/>
      </c>
      <c r="F102" s="11"/>
      <c r="G102" s="11"/>
      <c r="H102" s="15" t="str">
        <f t="shared" ca="1" si="6"/>
        <v/>
      </c>
    </row>
    <row r="103" spans="2:8">
      <c r="B103" s="9" t="str">
        <f t="shared" ca="1" si="9"/>
        <v/>
      </c>
      <c r="C103" s="11" t="str">
        <f t="shared" ca="1" si="7"/>
        <v/>
      </c>
      <c r="D103" s="11" t="str">
        <f t="shared" ca="1" si="8"/>
        <v/>
      </c>
      <c r="E103" s="11" t="str">
        <f t="shared" ca="1" si="10"/>
        <v/>
      </c>
      <c r="F103" s="11"/>
      <c r="G103" s="11"/>
      <c r="H103" s="15" t="str">
        <f t="shared" ca="1" si="6"/>
        <v/>
      </c>
    </row>
    <row r="104" spans="2:8">
      <c r="B104" s="9" t="str">
        <f t="shared" ca="1" si="9"/>
        <v/>
      </c>
      <c r="C104" s="11" t="str">
        <f t="shared" ca="1" si="7"/>
        <v/>
      </c>
      <c r="D104" s="11" t="str">
        <f t="shared" ca="1" si="8"/>
        <v/>
      </c>
      <c r="E104" s="11" t="str">
        <f t="shared" ca="1" si="10"/>
        <v/>
      </c>
      <c r="F104" s="11"/>
      <c r="G104" s="11"/>
      <c r="H104" s="15" t="str">
        <f t="shared" ca="1" si="6"/>
        <v/>
      </c>
    </row>
    <row r="105" spans="2:8">
      <c r="B105" s="9" t="str">
        <f t="shared" ca="1" si="9"/>
        <v/>
      </c>
      <c r="C105" s="11" t="str">
        <f t="shared" ca="1" si="7"/>
        <v/>
      </c>
      <c r="D105" s="11" t="str">
        <f t="shared" ca="1" si="8"/>
        <v/>
      </c>
      <c r="E105" s="11" t="str">
        <f t="shared" ca="1" si="10"/>
        <v/>
      </c>
      <c r="F105" s="11"/>
      <c r="G105" s="11"/>
      <c r="H105" s="15" t="str">
        <f t="shared" ca="1" si="6"/>
        <v/>
      </c>
    </row>
    <row r="106" spans="2:8">
      <c r="B106" s="9" t="str">
        <f t="shared" ca="1" si="9"/>
        <v/>
      </c>
      <c r="C106" s="11" t="str">
        <f t="shared" ca="1" si="7"/>
        <v/>
      </c>
      <c r="D106" s="11" t="str">
        <f t="shared" ca="1" si="8"/>
        <v/>
      </c>
      <c r="E106" s="11" t="str">
        <f t="shared" ca="1" si="10"/>
        <v/>
      </c>
      <c r="F106" s="11"/>
      <c r="G106" s="11"/>
      <c r="H106" s="15" t="str">
        <f t="shared" ca="1" si="6"/>
        <v/>
      </c>
    </row>
    <row r="107" spans="2:8">
      <c r="B107" s="9" t="str">
        <f t="shared" ca="1" si="9"/>
        <v/>
      </c>
      <c r="C107" s="11" t="str">
        <f t="shared" ca="1" si="7"/>
        <v/>
      </c>
      <c r="D107" s="11" t="str">
        <f t="shared" ca="1" si="8"/>
        <v/>
      </c>
      <c r="E107" s="11" t="str">
        <f t="shared" ca="1" si="10"/>
        <v/>
      </c>
      <c r="F107" s="11"/>
      <c r="G107" s="11"/>
      <c r="H107" s="15" t="str">
        <f t="shared" ca="1" si="6"/>
        <v/>
      </c>
    </row>
    <row r="108" spans="2:8">
      <c r="B108" s="9" t="str">
        <f t="shared" ca="1" si="9"/>
        <v/>
      </c>
      <c r="C108" s="11" t="str">
        <f t="shared" ca="1" si="7"/>
        <v/>
      </c>
      <c r="D108" s="11" t="str">
        <f t="shared" ca="1" si="8"/>
        <v/>
      </c>
      <c r="E108" s="11" t="str">
        <f t="shared" ca="1" si="10"/>
        <v/>
      </c>
      <c r="F108" s="11"/>
      <c r="G108" s="11"/>
      <c r="H108" s="15" t="str">
        <f t="shared" ca="1" si="6"/>
        <v/>
      </c>
    </row>
    <row r="109" spans="2:8">
      <c r="B109" s="9" t="str">
        <f t="shared" ca="1" si="9"/>
        <v/>
      </c>
      <c r="C109" s="11" t="str">
        <f t="shared" ca="1" si="7"/>
        <v/>
      </c>
      <c r="D109" s="11" t="str">
        <f t="shared" ca="1" si="8"/>
        <v/>
      </c>
      <c r="E109" s="11" t="str">
        <f t="shared" ca="1" si="10"/>
        <v/>
      </c>
      <c r="F109" s="11"/>
      <c r="G109" s="11"/>
      <c r="H109" s="15" t="str">
        <f t="shared" ref="H109:H137" ca="1" si="11">IF(B109="","",$E109*(1+$H$5)^($B$13-B109))</f>
        <v/>
      </c>
    </row>
    <row r="110" spans="2:8">
      <c r="B110" s="9" t="str">
        <f t="shared" ca="1" si="9"/>
        <v/>
      </c>
      <c r="C110" s="11" t="str">
        <f t="shared" ca="1" si="7"/>
        <v/>
      </c>
      <c r="D110" s="11" t="str">
        <f t="shared" ca="1" si="8"/>
        <v/>
      </c>
      <c r="E110" s="11" t="str">
        <f t="shared" ca="1" si="10"/>
        <v/>
      </c>
      <c r="F110" s="11"/>
      <c r="G110" s="11"/>
      <c r="H110" s="15" t="str">
        <f t="shared" ca="1" si="11"/>
        <v/>
      </c>
    </row>
    <row r="111" spans="2:8">
      <c r="B111" s="9" t="str">
        <f t="shared" ca="1" si="9"/>
        <v/>
      </c>
      <c r="C111" s="11" t="str">
        <f t="shared" ca="1" si="7"/>
        <v/>
      </c>
      <c r="D111" s="11" t="str">
        <f t="shared" ca="1" si="8"/>
        <v/>
      </c>
      <c r="E111" s="11" t="str">
        <f t="shared" ca="1" si="10"/>
        <v/>
      </c>
      <c r="F111" s="11"/>
      <c r="G111" s="11"/>
      <c r="H111" s="15" t="str">
        <f t="shared" ca="1" si="11"/>
        <v/>
      </c>
    </row>
    <row r="112" spans="2:8">
      <c r="B112" s="9" t="str">
        <f t="shared" ca="1" si="9"/>
        <v/>
      </c>
      <c r="C112" s="11" t="str">
        <f t="shared" ca="1" si="7"/>
        <v/>
      </c>
      <c r="D112" s="11" t="str">
        <f t="shared" ca="1" si="8"/>
        <v/>
      </c>
      <c r="E112" s="11" t="str">
        <f t="shared" ca="1" si="10"/>
        <v/>
      </c>
      <c r="F112" s="11"/>
      <c r="G112" s="11"/>
      <c r="H112" s="15" t="str">
        <f t="shared" ca="1" si="11"/>
        <v/>
      </c>
    </row>
    <row r="113" spans="2:8">
      <c r="B113" s="9" t="str">
        <f t="shared" ca="1" si="9"/>
        <v/>
      </c>
      <c r="C113" s="11" t="str">
        <f t="shared" ca="1" si="7"/>
        <v/>
      </c>
      <c r="D113" s="11" t="str">
        <f t="shared" ca="1" si="8"/>
        <v/>
      </c>
      <c r="E113" s="11" t="str">
        <f t="shared" ca="1" si="10"/>
        <v/>
      </c>
      <c r="F113" s="11"/>
      <c r="G113" s="11"/>
      <c r="H113" s="15" t="str">
        <f t="shared" ca="1" si="11"/>
        <v/>
      </c>
    </row>
    <row r="114" spans="2:8">
      <c r="B114" s="9" t="str">
        <f t="shared" ca="1" si="9"/>
        <v/>
      </c>
      <c r="C114" s="11" t="str">
        <f t="shared" ca="1" si="7"/>
        <v/>
      </c>
      <c r="D114" s="11" t="str">
        <f t="shared" ca="1" si="8"/>
        <v/>
      </c>
      <c r="E114" s="11" t="str">
        <f t="shared" ca="1" si="10"/>
        <v/>
      </c>
      <c r="F114" s="11"/>
      <c r="G114" s="11"/>
      <c r="H114" s="15" t="str">
        <f t="shared" ca="1" si="11"/>
        <v/>
      </c>
    </row>
    <row r="115" spans="2:8">
      <c r="B115" s="9" t="str">
        <f t="shared" ca="1" si="9"/>
        <v/>
      </c>
      <c r="C115" s="11" t="str">
        <f t="shared" ca="1" si="7"/>
        <v/>
      </c>
      <c r="D115" s="11" t="str">
        <f t="shared" ca="1" si="8"/>
        <v/>
      </c>
      <c r="E115" s="11" t="str">
        <f t="shared" ca="1" si="10"/>
        <v/>
      </c>
      <c r="F115" s="11"/>
      <c r="G115" s="11"/>
      <c r="H115" s="15" t="str">
        <f t="shared" ca="1" si="11"/>
        <v/>
      </c>
    </row>
    <row r="116" spans="2:8">
      <c r="B116" s="9" t="str">
        <f t="shared" ca="1" si="9"/>
        <v/>
      </c>
      <c r="C116" s="11" t="str">
        <f t="shared" ca="1" si="7"/>
        <v/>
      </c>
      <c r="D116" s="11" t="str">
        <f t="shared" ca="1" si="8"/>
        <v/>
      </c>
      <c r="E116" s="11" t="str">
        <f t="shared" ca="1" si="10"/>
        <v/>
      </c>
      <c r="F116" s="11"/>
      <c r="G116" s="11"/>
      <c r="H116" s="15" t="str">
        <f t="shared" ca="1" si="11"/>
        <v/>
      </c>
    </row>
    <row r="117" spans="2:8">
      <c r="B117" s="9" t="str">
        <f t="shared" ca="1" si="9"/>
        <v/>
      </c>
      <c r="C117" s="11" t="str">
        <f t="shared" ca="1" si="7"/>
        <v/>
      </c>
      <c r="D117" s="11" t="str">
        <f t="shared" ca="1" si="8"/>
        <v/>
      </c>
      <c r="E117" s="11" t="str">
        <f t="shared" ca="1" si="10"/>
        <v/>
      </c>
      <c r="F117" s="11"/>
      <c r="G117" s="11"/>
      <c r="H117" s="15" t="str">
        <f t="shared" ca="1" si="11"/>
        <v/>
      </c>
    </row>
    <row r="118" spans="2:8">
      <c r="B118" s="9" t="str">
        <f t="shared" ca="1" si="9"/>
        <v/>
      </c>
      <c r="C118" s="11" t="str">
        <f t="shared" ca="1" si="7"/>
        <v/>
      </c>
      <c r="D118" s="11" t="str">
        <f t="shared" ca="1" si="8"/>
        <v/>
      </c>
      <c r="E118" s="11" t="str">
        <f t="shared" ca="1" si="10"/>
        <v/>
      </c>
      <c r="F118" s="11"/>
      <c r="G118" s="11"/>
      <c r="H118" s="15" t="str">
        <f t="shared" ca="1" si="11"/>
        <v/>
      </c>
    </row>
    <row r="119" spans="2:8">
      <c r="B119" s="9" t="str">
        <f t="shared" ca="1" si="9"/>
        <v/>
      </c>
      <c r="C119" s="11" t="str">
        <f t="shared" ca="1" si="7"/>
        <v/>
      </c>
      <c r="D119" s="11" t="str">
        <f t="shared" ca="1" si="8"/>
        <v/>
      </c>
      <c r="E119" s="11" t="str">
        <f t="shared" ca="1" si="10"/>
        <v/>
      </c>
      <c r="F119" s="11"/>
      <c r="G119" s="11"/>
      <c r="H119" s="15" t="str">
        <f t="shared" ca="1" si="11"/>
        <v/>
      </c>
    </row>
    <row r="120" spans="2:8">
      <c r="B120" s="9" t="str">
        <f t="shared" ca="1" si="9"/>
        <v/>
      </c>
      <c r="C120" s="11" t="str">
        <f t="shared" ca="1" si="7"/>
        <v/>
      </c>
      <c r="D120" s="11" t="str">
        <f t="shared" ca="1" si="8"/>
        <v/>
      </c>
      <c r="E120" s="11" t="str">
        <f t="shared" ca="1" si="10"/>
        <v/>
      </c>
      <c r="F120" s="11"/>
      <c r="G120" s="11"/>
      <c r="H120" s="15" t="str">
        <f t="shared" ca="1" si="11"/>
        <v/>
      </c>
    </row>
    <row r="121" spans="2:8">
      <c r="B121" s="9" t="str">
        <f t="shared" ca="1" si="9"/>
        <v/>
      </c>
      <c r="C121" s="11" t="str">
        <f t="shared" ca="1" si="7"/>
        <v/>
      </c>
      <c r="D121" s="11" t="str">
        <f t="shared" ca="1" si="8"/>
        <v/>
      </c>
      <c r="E121" s="11" t="str">
        <f t="shared" ca="1" si="10"/>
        <v/>
      </c>
      <c r="F121" s="11"/>
      <c r="G121" s="11"/>
      <c r="H121" s="15" t="str">
        <f t="shared" ca="1" si="11"/>
        <v/>
      </c>
    </row>
    <row r="122" spans="2:8">
      <c r="B122" s="9" t="str">
        <f t="shared" ca="1" si="9"/>
        <v/>
      </c>
      <c r="C122" s="11" t="str">
        <f t="shared" ca="1" si="7"/>
        <v/>
      </c>
      <c r="D122" s="11" t="str">
        <f t="shared" ca="1" si="8"/>
        <v/>
      </c>
      <c r="E122" s="11" t="str">
        <f t="shared" ca="1" si="10"/>
        <v/>
      </c>
      <c r="F122" s="11"/>
      <c r="G122" s="11"/>
      <c r="H122" s="15" t="str">
        <f t="shared" ca="1" si="11"/>
        <v/>
      </c>
    </row>
    <row r="123" spans="2:8">
      <c r="B123" s="9" t="str">
        <f t="shared" ca="1" si="9"/>
        <v/>
      </c>
      <c r="C123" s="11" t="str">
        <f t="shared" ca="1" si="7"/>
        <v/>
      </c>
      <c r="D123" s="11" t="str">
        <f t="shared" ca="1" si="8"/>
        <v/>
      </c>
      <c r="E123" s="11" t="str">
        <f t="shared" ca="1" si="10"/>
        <v/>
      </c>
      <c r="F123" s="11"/>
      <c r="G123" s="11"/>
      <c r="H123" s="15" t="str">
        <f t="shared" ca="1" si="11"/>
        <v/>
      </c>
    </row>
    <row r="124" spans="2:8">
      <c r="B124" s="9" t="str">
        <f t="shared" ca="1" si="9"/>
        <v/>
      </c>
      <c r="C124" s="11" t="str">
        <f t="shared" ca="1" si="7"/>
        <v/>
      </c>
      <c r="D124" s="11" t="str">
        <f t="shared" ca="1" si="8"/>
        <v/>
      </c>
      <c r="E124" s="11" t="str">
        <f t="shared" ca="1" si="10"/>
        <v/>
      </c>
      <c r="F124" s="11"/>
      <c r="G124" s="11"/>
      <c r="H124" s="15" t="str">
        <f t="shared" ca="1" si="11"/>
        <v/>
      </c>
    </row>
    <row r="125" spans="2:8">
      <c r="B125" s="9" t="str">
        <f t="shared" ca="1" si="9"/>
        <v/>
      </c>
      <c r="C125" s="11" t="str">
        <f t="shared" ca="1" si="7"/>
        <v/>
      </c>
      <c r="D125" s="11" t="str">
        <f t="shared" ca="1" si="8"/>
        <v/>
      </c>
      <c r="E125" s="11" t="str">
        <f t="shared" ca="1" si="10"/>
        <v/>
      </c>
      <c r="F125" s="11"/>
      <c r="G125" s="11"/>
      <c r="H125" s="15" t="str">
        <f t="shared" ca="1" si="11"/>
        <v/>
      </c>
    </row>
    <row r="126" spans="2:8">
      <c r="B126" s="9" t="str">
        <f t="shared" ca="1" si="9"/>
        <v/>
      </c>
      <c r="C126" s="11" t="str">
        <f t="shared" ca="1" si="7"/>
        <v/>
      </c>
      <c r="D126" s="11" t="str">
        <f t="shared" ca="1" si="8"/>
        <v/>
      </c>
      <c r="E126" s="11" t="str">
        <f t="shared" ca="1" si="10"/>
        <v/>
      </c>
      <c r="F126" s="11"/>
      <c r="G126" s="11"/>
      <c r="H126" s="15" t="str">
        <f t="shared" ca="1" si="11"/>
        <v/>
      </c>
    </row>
    <row r="127" spans="2:8">
      <c r="B127" s="9" t="str">
        <f t="shared" ca="1" si="9"/>
        <v/>
      </c>
      <c r="C127" s="11" t="str">
        <f t="shared" ca="1" si="7"/>
        <v/>
      </c>
      <c r="D127" s="11" t="str">
        <f t="shared" ca="1" si="8"/>
        <v/>
      </c>
      <c r="E127" s="11" t="str">
        <f t="shared" ca="1" si="10"/>
        <v/>
      </c>
      <c r="F127" s="11"/>
      <c r="G127" s="11"/>
      <c r="H127" s="15" t="str">
        <f t="shared" ca="1" si="11"/>
        <v/>
      </c>
    </row>
    <row r="128" spans="2:8">
      <c r="B128" s="9" t="str">
        <f t="shared" ca="1" si="9"/>
        <v/>
      </c>
      <c r="C128" s="11" t="str">
        <f t="shared" ca="1" si="7"/>
        <v/>
      </c>
      <c r="D128" s="11" t="str">
        <f t="shared" ca="1" si="8"/>
        <v/>
      </c>
      <c r="E128" s="11" t="str">
        <f t="shared" ca="1" si="10"/>
        <v/>
      </c>
      <c r="F128" s="11"/>
      <c r="G128" s="11"/>
      <c r="H128" s="15" t="str">
        <f t="shared" ca="1" si="11"/>
        <v/>
      </c>
    </row>
    <row r="129" spans="2:8">
      <c r="B129" s="9" t="str">
        <f t="shared" ca="1" si="9"/>
        <v/>
      </c>
      <c r="C129" s="11" t="str">
        <f t="shared" ca="1" si="7"/>
        <v/>
      </c>
      <c r="D129" s="11" t="str">
        <f t="shared" ca="1" si="8"/>
        <v/>
      </c>
      <c r="E129" s="11" t="str">
        <f t="shared" ca="1" si="10"/>
        <v/>
      </c>
      <c r="F129" s="11"/>
      <c r="G129" s="11"/>
      <c r="H129" s="15" t="str">
        <f t="shared" ca="1" si="11"/>
        <v/>
      </c>
    </row>
    <row r="130" spans="2:8">
      <c r="B130" s="9" t="str">
        <f t="shared" ca="1" si="9"/>
        <v/>
      </c>
      <c r="C130" s="11" t="str">
        <f t="shared" ca="1" si="7"/>
        <v/>
      </c>
      <c r="D130" s="11" t="str">
        <f t="shared" ca="1" si="8"/>
        <v/>
      </c>
      <c r="E130" s="11" t="str">
        <f t="shared" ca="1" si="10"/>
        <v/>
      </c>
      <c r="F130" s="11"/>
      <c r="G130" s="11"/>
      <c r="H130" s="15" t="str">
        <f t="shared" ca="1" si="11"/>
        <v/>
      </c>
    </row>
    <row r="131" spans="2:8">
      <c r="B131" s="9" t="str">
        <f t="shared" ca="1" si="9"/>
        <v/>
      </c>
      <c r="C131" s="11" t="str">
        <f t="shared" ca="1" si="7"/>
        <v/>
      </c>
      <c r="D131" s="11" t="str">
        <f t="shared" ca="1" si="8"/>
        <v/>
      </c>
      <c r="E131" s="11" t="str">
        <f t="shared" ca="1" si="10"/>
        <v/>
      </c>
      <c r="F131" s="11"/>
      <c r="G131" s="11"/>
      <c r="H131" s="15" t="str">
        <f t="shared" ca="1" si="11"/>
        <v/>
      </c>
    </row>
    <row r="132" spans="2:8">
      <c r="B132" s="9" t="str">
        <f t="shared" ca="1" si="9"/>
        <v/>
      </c>
      <c r="C132" s="11" t="str">
        <f t="shared" ca="1" si="7"/>
        <v/>
      </c>
      <c r="D132" s="11" t="str">
        <f t="shared" ca="1" si="8"/>
        <v/>
      </c>
      <c r="E132" s="11" t="str">
        <f t="shared" ca="1" si="10"/>
        <v/>
      </c>
      <c r="F132" s="11"/>
      <c r="G132" s="11"/>
      <c r="H132" s="15" t="str">
        <f t="shared" ca="1" si="11"/>
        <v/>
      </c>
    </row>
    <row r="133" spans="2:8">
      <c r="B133" s="9" t="str">
        <f t="shared" ca="1" si="9"/>
        <v/>
      </c>
      <c r="C133" s="11" t="str">
        <f t="shared" ca="1" si="7"/>
        <v/>
      </c>
      <c r="D133" s="11" t="str">
        <f t="shared" ca="1" si="8"/>
        <v/>
      </c>
      <c r="E133" s="11" t="str">
        <f t="shared" ca="1" si="10"/>
        <v/>
      </c>
      <c r="F133" s="11"/>
      <c r="G133" s="11"/>
      <c r="H133" s="15" t="str">
        <f t="shared" ca="1" si="11"/>
        <v/>
      </c>
    </row>
    <row r="134" spans="2:8">
      <c r="B134" s="9" t="str">
        <f t="shared" ca="1" si="9"/>
        <v/>
      </c>
      <c r="C134" s="11" t="str">
        <f t="shared" ca="1" si="7"/>
        <v/>
      </c>
      <c r="D134" s="11" t="str">
        <f t="shared" ca="1" si="8"/>
        <v/>
      </c>
      <c r="E134" s="11" t="str">
        <f t="shared" ca="1" si="10"/>
        <v/>
      </c>
      <c r="F134" s="11"/>
      <c r="G134" s="11"/>
      <c r="H134" s="15" t="str">
        <f t="shared" ca="1" si="11"/>
        <v/>
      </c>
    </row>
    <row r="135" spans="2:8">
      <c r="B135" s="9" t="str">
        <f t="shared" ca="1" si="9"/>
        <v/>
      </c>
      <c r="C135" s="11" t="str">
        <f t="shared" ca="1" si="7"/>
        <v/>
      </c>
      <c r="D135" s="11" t="str">
        <f t="shared" ca="1" si="8"/>
        <v/>
      </c>
      <c r="E135" s="11" t="str">
        <f t="shared" ca="1" si="10"/>
        <v/>
      </c>
      <c r="F135" s="11"/>
      <c r="G135" s="11"/>
      <c r="H135" s="15" t="str">
        <f t="shared" ca="1" si="11"/>
        <v/>
      </c>
    </row>
    <row r="136" spans="2:8">
      <c r="B136" s="9" t="str">
        <f t="shared" ca="1" si="9"/>
        <v/>
      </c>
      <c r="C136" s="11" t="str">
        <f t="shared" ca="1" si="7"/>
        <v/>
      </c>
      <c r="D136" s="11" t="str">
        <f t="shared" ca="1" si="8"/>
        <v/>
      </c>
      <c r="E136" s="11" t="str">
        <f t="shared" ca="1" si="10"/>
        <v/>
      </c>
      <c r="F136" s="11"/>
      <c r="G136" s="11"/>
      <c r="H136" s="15" t="str">
        <f t="shared" ca="1" si="11"/>
        <v/>
      </c>
    </row>
    <row r="137" spans="2:8">
      <c r="B137" s="9" t="str">
        <f t="shared" ca="1" si="9"/>
        <v/>
      </c>
      <c r="C137" s="11" t="str">
        <f t="shared" ca="1" si="7"/>
        <v/>
      </c>
      <c r="D137" s="11" t="str">
        <f t="shared" ca="1" si="8"/>
        <v/>
      </c>
      <c r="E137" s="11" t="str">
        <f t="shared" ca="1" si="10"/>
        <v/>
      </c>
      <c r="F137" s="11"/>
      <c r="G137" s="11"/>
      <c r="H137" s="15" t="str">
        <f t="shared" ca="1" si="11"/>
        <v/>
      </c>
    </row>
    <row r="138" spans="2:8">
      <c r="B138" s="9"/>
    </row>
  </sheetData>
  <mergeCells count="2">
    <mergeCell ref="B2:H2"/>
    <mergeCell ref="B11:H11"/>
  </mergeCells>
  <printOptions horizontalCentered="1"/>
  <pageMargins left="0.7" right="0.7" top="0.75" bottom="0.75" header="0.3" footer="0.3"/>
  <pageSetup scale="79" fitToHeight="3" orientation="portrait" r:id="rId1"/>
  <headerFooter>
    <oddFooter>&amp;L&amp;F
&amp;A&amp;C&amp;P of &amp;N&amp;R&amp;D
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C348-BF38-4E58-95DF-FAA9DE10D0DA}">
  <sheetPr codeName="Sheet8">
    <tabColor rgb="FFC00000"/>
    <pageSetUpPr fitToPage="1"/>
  </sheetPr>
  <dimension ref="A1:V28"/>
  <sheetViews>
    <sheetView topLeftCell="A7" zoomScaleNormal="100" workbookViewId="0">
      <selection activeCell="B29" sqref="B29"/>
    </sheetView>
  </sheetViews>
  <sheetFormatPr defaultRowHeight="15"/>
  <cols>
    <col min="1" max="1" width="7.85546875" customWidth="1"/>
    <col min="2" max="2" width="21.28515625" style="24" customWidth="1"/>
    <col min="3" max="3" width="11.85546875" style="24" customWidth="1"/>
    <col min="4" max="4" width="1.7109375" style="23" customWidth="1"/>
    <col min="5" max="5" width="14.5703125" customWidth="1"/>
    <col min="17" max="17" width="16.7109375" customWidth="1"/>
    <col min="18" max="18" width="11.140625" customWidth="1"/>
  </cols>
  <sheetData>
    <row r="1" spans="1:22" ht="15.75" thickBot="1"/>
    <row r="2" spans="1:22" ht="21.75" thickBot="1">
      <c r="B2" s="239" t="s">
        <v>26</v>
      </c>
      <c r="C2" s="239"/>
    </row>
    <row r="3" spans="1:22" s="23" customFormat="1" ht="19.5" customHeight="1" thickBot="1">
      <c r="A3"/>
      <c r="B3" s="28" t="s">
        <v>37</v>
      </c>
      <c r="C3" s="28" t="s">
        <v>38</v>
      </c>
      <c r="E3" s="240" t="s">
        <v>39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23" customFormat="1" ht="15" customHeight="1">
      <c r="A4"/>
      <c r="B4" s="32">
        <v>2012</v>
      </c>
      <c r="C4" s="33">
        <v>0.04</v>
      </c>
      <c r="E4" s="241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ht="15" customHeight="1">
      <c r="A5"/>
      <c r="B5" s="34">
        <f>B4+1</f>
        <v>2013</v>
      </c>
      <c r="C5" s="35">
        <v>7.4999999999999997E-2</v>
      </c>
      <c r="E5" s="241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23" customFormat="1" ht="15" customHeight="1">
      <c r="A6"/>
      <c r="B6" s="34">
        <f t="shared" ref="B6:B24" si="0">B5+1</f>
        <v>2014</v>
      </c>
      <c r="C6" s="35">
        <v>6.5000000000000002E-2</v>
      </c>
      <c r="E6" s="241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23" customFormat="1" ht="15" customHeight="1">
      <c r="A7"/>
      <c r="B7" s="34">
        <f t="shared" si="0"/>
        <v>2015</v>
      </c>
      <c r="C7" s="35">
        <v>7.2499999999999995E-2</v>
      </c>
      <c r="E7" s="241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s="23" customFormat="1" ht="15" customHeight="1">
      <c r="A8"/>
      <c r="B8" s="34">
        <f t="shared" si="0"/>
        <v>2016</v>
      </c>
      <c r="C8" s="35">
        <v>6.5000000000000002E-2</v>
      </c>
      <c r="E8" s="241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ht="15" customHeight="1">
      <c r="A9"/>
      <c r="B9" s="34">
        <f t="shared" si="0"/>
        <v>2017</v>
      </c>
      <c r="C9" s="35">
        <v>0.04</v>
      </c>
      <c r="E9" s="241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 s="23" customFormat="1" ht="15" customHeight="1">
      <c r="A10"/>
      <c r="B10" s="34">
        <f t="shared" si="0"/>
        <v>2018</v>
      </c>
      <c r="C10" s="35">
        <v>4.4999999999999998E-2</v>
      </c>
      <c r="E10" s="241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ht="15" customHeight="1">
      <c r="A11"/>
      <c r="B11" s="34">
        <f t="shared" si="0"/>
        <v>2019</v>
      </c>
      <c r="C11" s="35">
        <v>0.04</v>
      </c>
      <c r="E11" s="242" t="s">
        <v>40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23" customFormat="1" ht="15" customHeight="1">
      <c r="A12"/>
      <c r="B12" s="34">
        <f t="shared" si="0"/>
        <v>2020</v>
      </c>
      <c r="C12" s="143"/>
      <c r="E12" s="24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23" customFormat="1" ht="15" customHeight="1">
      <c r="A13"/>
      <c r="B13" s="34">
        <f t="shared" si="0"/>
        <v>2021</v>
      </c>
      <c r="C13" s="143"/>
      <c r="E13" s="242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23" customFormat="1" ht="15" customHeight="1">
      <c r="A14"/>
      <c r="B14" s="34">
        <f t="shared" si="0"/>
        <v>2022</v>
      </c>
      <c r="C14" s="143"/>
      <c r="E14" s="242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ht="15" customHeight="1">
      <c r="A15"/>
      <c r="B15" s="34">
        <f t="shared" si="0"/>
        <v>2023</v>
      </c>
      <c r="C15" s="143"/>
      <c r="E15" s="242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23" customFormat="1" ht="15" customHeight="1">
      <c r="A16"/>
      <c r="B16" s="34">
        <f t="shared" si="0"/>
        <v>2024</v>
      </c>
      <c r="C16" s="143"/>
      <c r="E16" s="242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s="23" customFormat="1" ht="15" customHeight="1">
      <c r="A17"/>
      <c r="B17" s="34">
        <f t="shared" si="0"/>
        <v>2025</v>
      </c>
      <c r="C17" s="143"/>
      <c r="E17" s="24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23" customFormat="1" ht="15" customHeight="1">
      <c r="A18"/>
      <c r="B18" s="34">
        <f t="shared" si="0"/>
        <v>2026</v>
      </c>
      <c r="C18" s="143"/>
      <c r="E18" s="242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23" customFormat="1" ht="15" customHeight="1">
      <c r="A19"/>
      <c r="B19" s="34">
        <f t="shared" si="0"/>
        <v>2027</v>
      </c>
      <c r="C19" s="143"/>
      <c r="E19" s="242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s="23" customFormat="1" ht="15" customHeight="1">
      <c r="A20"/>
      <c r="B20" s="34">
        <f t="shared" si="0"/>
        <v>2028</v>
      </c>
      <c r="C20" s="143"/>
      <c r="E20" s="242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s="23" customFormat="1" ht="15" customHeight="1">
      <c r="A21"/>
      <c r="B21" s="34">
        <f t="shared" si="0"/>
        <v>2029</v>
      </c>
      <c r="C21" s="143"/>
      <c r="E21" s="242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 s="23" customFormat="1" ht="15" customHeight="1">
      <c r="A22"/>
      <c r="B22" s="34">
        <f t="shared" si="0"/>
        <v>2030</v>
      </c>
      <c r="C22" s="143"/>
      <c r="E22" s="24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 s="23" customFormat="1" ht="15" customHeight="1">
      <c r="A23"/>
      <c r="B23" s="34">
        <f>B22+1</f>
        <v>2031</v>
      </c>
      <c r="C23" s="143"/>
      <c r="E23" s="24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23" customFormat="1" ht="15" customHeight="1">
      <c r="A24"/>
      <c r="B24" s="34">
        <f t="shared" si="0"/>
        <v>2032</v>
      </c>
      <c r="C24" s="143"/>
      <c r="E24" s="242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ht="15.75" customHeight="1" thickBot="1">
      <c r="E25" s="243"/>
    </row>
    <row r="26" spans="1:22" ht="15.75" thickBot="1">
      <c r="B26" s="117" t="s">
        <v>41</v>
      </c>
      <c r="C26" s="117"/>
    </row>
    <row r="27" spans="1:22" ht="15.75" thickBot="1">
      <c r="B27" s="25" t="s">
        <v>35</v>
      </c>
      <c r="C27" s="25" t="s">
        <v>38</v>
      </c>
    </row>
    <row r="28" spans="1:22" ht="15.75" thickBot="1">
      <c r="B28" s="26">
        <v>2019</v>
      </c>
      <c r="C28" s="27">
        <f>VLOOKUP(B28,$B$4:$C$24,2,0)</f>
        <v>0.04</v>
      </c>
    </row>
  </sheetData>
  <mergeCells count="3">
    <mergeCell ref="B2:C2"/>
    <mergeCell ref="E3:E10"/>
    <mergeCell ref="E11:E25"/>
  </mergeCells>
  <printOptions horizontalCentered="1"/>
  <pageMargins left="0.7" right="0.7" top="0.75" bottom="0.75" header="0.3" footer="0.3"/>
  <pageSetup scale="65" orientation="landscape" r:id="rId1"/>
  <headerFooter>
    <oddFooter>&amp;L&amp;F
&amp;A&amp;C&amp;P of &amp;N&amp;R&amp;D
&amp;T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E8AB-7FDC-4C7F-9F66-069CD24A343A}">
  <sheetPr codeName="Sheet9">
    <tabColor rgb="FF00B050"/>
    <pageSetUpPr fitToPage="1"/>
  </sheetPr>
  <dimension ref="A1:N26"/>
  <sheetViews>
    <sheetView topLeftCell="A10" zoomScale="85" zoomScaleNormal="85" workbookViewId="0">
      <selection activeCell="F26" sqref="F26"/>
    </sheetView>
  </sheetViews>
  <sheetFormatPr defaultRowHeight="18.75"/>
  <cols>
    <col min="1" max="1" width="5.7109375" customWidth="1"/>
    <col min="2" max="4" width="9.140625" style="70"/>
    <col min="5" max="5" width="17.140625" style="70" customWidth="1"/>
    <col min="6" max="6" width="39.7109375" style="70" customWidth="1"/>
    <col min="7" max="7" width="3.140625" style="71" customWidth="1"/>
    <col min="8" max="8" width="3.140625" style="70" customWidth="1"/>
    <col min="9" max="9" width="8" style="198" customWidth="1"/>
    <col min="10" max="10" width="29.28515625" style="58" hidden="1" customWidth="1"/>
    <col min="11" max="11" width="18.28515625" hidden="1" customWidth="1"/>
  </cols>
  <sheetData>
    <row r="1" spans="1:14" ht="19.5" thickBot="1">
      <c r="A1" s="149"/>
      <c r="B1" s="150"/>
      <c r="C1" s="150"/>
      <c r="D1" s="150"/>
      <c r="E1" s="150"/>
      <c r="F1" s="150"/>
      <c r="G1" s="150"/>
      <c r="H1" s="151"/>
    </row>
    <row r="2" spans="1:14" ht="31.5" customHeight="1" thickBot="1">
      <c r="A2" s="152"/>
      <c r="B2" s="247" t="s">
        <v>60</v>
      </c>
      <c r="C2" s="248"/>
      <c r="D2" s="248"/>
      <c r="E2" s="248"/>
      <c r="F2" s="248"/>
      <c r="G2" s="249"/>
      <c r="H2" s="153"/>
    </row>
    <row r="3" spans="1:14" ht="15" customHeight="1" thickBot="1">
      <c r="A3" s="152"/>
      <c r="B3" s="159"/>
      <c r="C3" s="159"/>
      <c r="D3" s="159"/>
      <c r="E3" s="159"/>
      <c r="F3" s="159"/>
      <c r="G3" s="159"/>
      <c r="H3" s="153"/>
    </row>
    <row r="4" spans="1:14" ht="19.5" thickBot="1">
      <c r="A4" s="152"/>
      <c r="B4" s="160" t="s">
        <v>1</v>
      </c>
      <c r="C4" s="146"/>
      <c r="D4" s="146"/>
      <c r="E4" s="146"/>
      <c r="F4" s="169" t="str">
        <f>VLOOKUP($F$26,X!B5:S14,2)</f>
        <v>Diane Aho</v>
      </c>
      <c r="G4" s="161"/>
      <c r="H4" s="154"/>
    </row>
    <row r="5" spans="1:14" ht="19.5" thickBot="1">
      <c r="A5" s="152"/>
      <c r="B5" s="160"/>
      <c r="C5" s="146"/>
      <c r="D5" s="146"/>
      <c r="E5" s="146"/>
      <c r="F5" s="170"/>
      <c r="G5" s="146"/>
      <c r="H5" s="154"/>
    </row>
    <row r="6" spans="1:14" ht="19.5" thickBot="1">
      <c r="A6" s="152"/>
      <c r="B6" s="160" t="s">
        <v>2</v>
      </c>
      <c r="C6" s="146"/>
      <c r="D6" s="146"/>
      <c r="E6" s="146"/>
      <c r="F6" s="171">
        <f ca="1">VLOOKUP($F$26,X!$B$5:$G$14,5)</f>
        <v>26458</v>
      </c>
      <c r="G6" s="162"/>
      <c r="H6" s="154"/>
      <c r="N6" s="70"/>
    </row>
    <row r="7" spans="1:14" ht="19.5" thickBot="1">
      <c r="A7" s="152"/>
      <c r="B7" s="160" t="s">
        <v>3</v>
      </c>
      <c r="C7" s="146"/>
      <c r="D7" s="146"/>
      <c r="E7" s="146"/>
      <c r="F7" s="171">
        <f ca="1">VLOOKUP($F$26,X!$B$5:$G$14,6)</f>
        <v>40973</v>
      </c>
      <c r="G7" s="162"/>
      <c r="H7" s="154"/>
      <c r="N7" s="70"/>
    </row>
    <row r="8" spans="1:14" ht="19.5" thickBot="1">
      <c r="A8" s="152"/>
      <c r="B8" s="160" t="s">
        <v>11</v>
      </c>
      <c r="C8" s="146"/>
      <c r="D8" s="146"/>
      <c r="E8" s="146"/>
      <c r="F8" s="171">
        <f ca="1">VLOOKUP($F$26,X!$B$5:$S$14,7)</f>
        <v>41456</v>
      </c>
      <c r="G8" s="162"/>
      <c r="H8" s="154"/>
      <c r="N8" s="72"/>
    </row>
    <row r="9" spans="1:14" ht="19.5" thickBot="1">
      <c r="A9" s="152"/>
      <c r="B9" s="160" t="s">
        <v>71</v>
      </c>
      <c r="C9" s="146"/>
      <c r="D9" s="146"/>
      <c r="E9" s="146"/>
      <c r="F9" s="171">
        <f ca="1">VLOOKUP($F$26,X!$B$5:$S$14,8)</f>
        <v>50222</v>
      </c>
      <c r="G9" s="162"/>
      <c r="H9" s="154"/>
      <c r="N9" s="70"/>
    </row>
    <row r="10" spans="1:14" ht="19.5" thickBot="1">
      <c r="A10" s="152"/>
      <c r="B10" s="160" t="s">
        <v>7</v>
      </c>
      <c r="C10" s="146"/>
      <c r="D10" s="146"/>
      <c r="E10" s="146"/>
      <c r="F10" s="174">
        <f>VLOOKUP($F$26,X!B5:S14,3)</f>
        <v>96000</v>
      </c>
      <c r="G10" s="163"/>
      <c r="H10" s="154"/>
      <c r="N10" s="70"/>
    </row>
    <row r="11" spans="1:14" ht="19.5" thickBot="1">
      <c r="A11" s="152"/>
      <c r="B11" s="160" t="s">
        <v>61</v>
      </c>
      <c r="C11" s="146"/>
      <c r="D11" s="146"/>
      <c r="E11" s="146"/>
      <c r="F11" s="172">
        <f ca="1">VLOOKUP($F$26,X!B5:S14,9)</f>
        <v>46</v>
      </c>
      <c r="G11" s="163"/>
      <c r="H11" s="154"/>
      <c r="N11" s="70"/>
    </row>
    <row r="12" spans="1:14" ht="19.5" thickBot="1">
      <c r="A12" s="152"/>
      <c r="B12" s="160" t="s">
        <v>62</v>
      </c>
      <c r="C12" s="146"/>
      <c r="D12" s="146"/>
      <c r="E12" s="146"/>
      <c r="F12" s="173">
        <f ca="1">VLOOKUP($F$26,X!B5:S14,17)</f>
        <v>5.499980082135524</v>
      </c>
      <c r="G12" s="164"/>
      <c r="H12" s="154"/>
      <c r="N12" s="70"/>
    </row>
    <row r="13" spans="1:14" ht="19.5" thickBot="1">
      <c r="A13" s="152"/>
      <c r="B13" s="160" t="s">
        <v>36</v>
      </c>
      <c r="C13" s="146"/>
      <c r="D13" s="146"/>
      <c r="E13" s="146"/>
      <c r="F13" s="175">
        <f ca="1">VLOOKUP($F$26,X!B5:S14,11)</f>
        <v>10560</v>
      </c>
      <c r="G13" s="144"/>
      <c r="H13" s="154"/>
      <c r="N13" s="70"/>
    </row>
    <row r="14" spans="1:14" ht="19.5" thickBot="1">
      <c r="A14" s="152"/>
      <c r="B14" s="160" t="s">
        <v>63</v>
      </c>
      <c r="C14" s="146"/>
      <c r="D14" s="146"/>
      <c r="E14" s="146"/>
      <c r="F14" s="175">
        <f ca="1">VLOOKUP($F$26,X!B5:AF14,12)</f>
        <v>0.43000000000000005</v>
      </c>
      <c r="G14" s="144"/>
      <c r="H14" s="154"/>
      <c r="N14" s="70"/>
    </row>
    <row r="15" spans="1:14" ht="19.5" thickBot="1">
      <c r="A15" s="152"/>
      <c r="B15" s="160" t="s">
        <v>64</v>
      </c>
      <c r="C15" s="146"/>
      <c r="D15" s="146"/>
      <c r="E15" s="146"/>
      <c r="F15" s="175">
        <f ca="1">VLOOKUP($F$26,X!B5:S14,13)</f>
        <v>4540.8</v>
      </c>
      <c r="G15" s="145"/>
      <c r="H15" s="154"/>
      <c r="N15" s="70"/>
    </row>
    <row r="16" spans="1:14" ht="19.5" thickBot="1">
      <c r="A16" s="152"/>
      <c r="B16" s="160" t="s">
        <v>77</v>
      </c>
      <c r="C16" s="146"/>
      <c r="D16" s="146"/>
      <c r="E16" s="146"/>
      <c r="F16" s="174">
        <f ca="1">VLOOKUP($F$26,X!B5:S14,14)</f>
        <v>84838.893739348146</v>
      </c>
      <c r="G16" s="144"/>
      <c r="H16" s="154"/>
      <c r="N16" s="70"/>
    </row>
    <row r="17" spans="1:14">
      <c r="A17" s="152"/>
      <c r="B17" s="160"/>
      <c r="C17" s="146"/>
      <c r="D17" s="146"/>
      <c r="E17" s="146"/>
      <c r="F17" s="170"/>
      <c r="G17" s="146"/>
      <c r="H17" s="154"/>
      <c r="N17" s="70"/>
    </row>
    <row r="18" spans="1:14" ht="19.5" thickBot="1">
      <c r="A18" s="152"/>
      <c r="B18" s="160"/>
      <c r="C18" s="146"/>
      <c r="D18" s="146"/>
      <c r="E18" s="146"/>
      <c r="F18" s="170"/>
      <c r="G18" s="146"/>
      <c r="H18" s="154"/>
      <c r="J18" s="167" t="s">
        <v>6</v>
      </c>
      <c r="K18" s="165">
        <f ca="1">Record!G2</f>
        <v>43466</v>
      </c>
      <c r="N18" s="70"/>
    </row>
    <row r="19" spans="1:14" ht="19.5" thickBot="1">
      <c r="A19" s="152"/>
      <c r="B19" s="160" t="s">
        <v>65</v>
      </c>
      <c r="C19" s="146"/>
      <c r="D19" s="146"/>
      <c r="E19" s="146"/>
      <c r="F19" s="174">
        <f>VLOOKUP($F$26,X!B5:S14,15)</f>
        <v>960000</v>
      </c>
      <c r="G19" s="147"/>
      <c r="H19" s="154"/>
      <c r="J19" s="167"/>
      <c r="K19" s="118"/>
      <c r="N19" s="70"/>
    </row>
    <row r="20" spans="1:14" ht="19.5" thickBot="1">
      <c r="A20" s="152"/>
      <c r="B20" s="160" t="s">
        <v>66</v>
      </c>
      <c r="C20" s="146"/>
      <c r="D20" s="146"/>
      <c r="E20" s="146"/>
      <c r="F20" s="199">
        <f ca="1">F16/F19</f>
        <v>8.8373847645154324E-2</v>
      </c>
      <c r="G20" s="148"/>
      <c r="H20" s="154"/>
      <c r="J20" s="167"/>
      <c r="K20" s="118"/>
      <c r="N20" s="70"/>
    </row>
    <row r="21" spans="1:14">
      <c r="A21" s="152"/>
      <c r="B21" s="160"/>
      <c r="C21" s="146"/>
      <c r="D21" s="146"/>
      <c r="E21" s="146"/>
      <c r="F21" s="146"/>
      <c r="G21" s="146"/>
      <c r="H21" s="154"/>
      <c r="J21" s="167"/>
      <c r="K21" s="118"/>
      <c r="N21" s="70"/>
    </row>
    <row r="22" spans="1:14" ht="19.5" thickBot="1">
      <c r="A22" s="152"/>
      <c r="B22" s="160"/>
      <c r="C22" s="146"/>
      <c r="D22" s="146"/>
      <c r="E22" s="146"/>
      <c r="F22" s="146"/>
      <c r="G22" s="146"/>
      <c r="H22" s="154"/>
      <c r="J22" s="167" t="s">
        <v>87</v>
      </c>
      <c r="K22" s="166">
        <f ca="1">EOMONTH(K18,3)+10</f>
        <v>43595</v>
      </c>
      <c r="N22" s="70"/>
    </row>
    <row r="23" spans="1:14" ht="19.5" thickBot="1">
      <c r="A23" s="152"/>
      <c r="B23" s="244" t="str">
        <f ca="1">"The statement is prepared on " &amp;TEXT(K22,"mmmm d, yyyy")</f>
        <v>The statement is prepared on May 10, 2019</v>
      </c>
      <c r="C23" s="245"/>
      <c r="D23" s="245"/>
      <c r="E23" s="245"/>
      <c r="F23" s="245"/>
      <c r="G23" s="246"/>
      <c r="H23" s="154"/>
      <c r="N23" s="70"/>
    </row>
    <row r="24" spans="1:14" ht="19.5" thickBot="1">
      <c r="A24" s="155"/>
      <c r="B24" s="156"/>
      <c r="C24" s="157"/>
      <c r="D24" s="157"/>
      <c r="E24" s="157"/>
      <c r="F24" s="157"/>
      <c r="G24" s="157"/>
      <c r="H24" s="158"/>
    </row>
    <row r="25" spans="1:14">
      <c r="B25" s="68"/>
      <c r="K25" s="58"/>
    </row>
    <row r="26" spans="1:14">
      <c r="B26" s="68" t="s">
        <v>116</v>
      </c>
      <c r="F26" s="168">
        <v>50005</v>
      </c>
    </row>
  </sheetData>
  <mergeCells count="2">
    <mergeCell ref="B23:G23"/>
    <mergeCell ref="B2:G2"/>
  </mergeCells>
  <printOptions horizontalCentered="1"/>
  <pageMargins left="0.7" right="0.7" top="0.75" bottom="0.75" header="0.3" footer="0.3"/>
  <pageSetup scale="93" orientation="portrait" r:id="rId1"/>
  <headerFooter>
    <oddFooter>&amp;L&amp;F
&amp;A&amp;C&amp;P of &amp;N&amp;R&amp;D
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Identification Number" prompt="This is the drop down list of Identification Numbers for Records._x000a_" xr:uid="{A2C924CF-FC89-46DF-BBAE-917E2EB8F97D}">
          <x14:formula1>
            <xm:f>X!$B$5:$B$14</xm:f>
          </x14:formula1>
          <xm:sqref>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04D5-44C5-4DFA-A4CB-00BD0D27BCAD}">
  <sheetPr codeName="Sheet10">
    <tabColor rgb="FF0000FF"/>
    <pageSetUpPr fitToPage="1"/>
  </sheetPr>
  <dimension ref="B1:J29"/>
  <sheetViews>
    <sheetView workbookViewId="0">
      <selection activeCell="I6" sqref="I6"/>
    </sheetView>
  </sheetViews>
  <sheetFormatPr defaultRowHeight="15"/>
  <cols>
    <col min="2" max="2" width="12.140625" bestFit="1" customWidth="1"/>
    <col min="3" max="9" width="9.5703125" bestFit="1" customWidth="1"/>
    <col min="10" max="10" width="9.140625" hidden="1" customWidth="1"/>
  </cols>
  <sheetData>
    <row r="1" spans="2:10" ht="15" customHeight="1" thickBot="1"/>
    <row r="2" spans="2:10" ht="15" customHeight="1" thickBot="1">
      <c r="B2" s="250" t="s">
        <v>80</v>
      </c>
      <c r="C2" s="251"/>
      <c r="D2" s="251"/>
      <c r="E2" s="251"/>
      <c r="F2" s="251"/>
      <c r="G2" s="251"/>
      <c r="H2" s="251"/>
      <c r="I2" s="252"/>
    </row>
    <row r="3" spans="2:10">
      <c r="B3" s="23" t="s">
        <v>81</v>
      </c>
      <c r="C3" s="23"/>
      <c r="I3" s="86">
        <v>1</v>
      </c>
      <c r="J3">
        <f>IF(I3="",1,I3)</f>
        <v>1</v>
      </c>
    </row>
    <row r="4" spans="2:10">
      <c r="B4" s="23"/>
      <c r="C4" s="23"/>
    </row>
    <row r="5" spans="2:10">
      <c r="B5" s="23" t="s">
        <v>82</v>
      </c>
      <c r="C5" s="23"/>
      <c r="I5" s="220">
        <v>0.05</v>
      </c>
      <c r="J5">
        <f>IF(I5="",1,I5)</f>
        <v>0.05</v>
      </c>
    </row>
    <row r="6" spans="2:10">
      <c r="B6" s="23" t="s">
        <v>83</v>
      </c>
      <c r="C6" s="23"/>
      <c r="I6" s="89">
        <v>5.0000000000000001E-3</v>
      </c>
      <c r="J6">
        <f>IF(I6="",1,I6)</f>
        <v>5.0000000000000001E-3</v>
      </c>
    </row>
    <row r="7" spans="2:10" ht="15.75" thickBot="1"/>
    <row r="8" spans="2:10" ht="15.75" thickBot="1">
      <c r="B8" s="253" t="s">
        <v>84</v>
      </c>
      <c r="C8" s="254"/>
      <c r="D8" s="254"/>
      <c r="E8" s="254"/>
      <c r="F8" s="254"/>
      <c r="G8" s="254"/>
      <c r="H8" s="254"/>
      <c r="I8" s="255"/>
    </row>
    <row r="9" spans="2:10">
      <c r="B9" s="221">
        <f>'Annuity (2)'!H9</f>
        <v>14119.600501563138</v>
      </c>
      <c r="C9" s="204">
        <v>0.05</v>
      </c>
      <c r="D9" s="204">
        <f t="shared" ref="D9:I9" si="0">C9+0.005</f>
        <v>5.5E-2</v>
      </c>
      <c r="E9" s="204">
        <f t="shared" si="0"/>
        <v>0.06</v>
      </c>
      <c r="F9" s="204">
        <f t="shared" si="0"/>
        <v>6.5000000000000002E-2</v>
      </c>
      <c r="G9" s="204">
        <f t="shared" si="0"/>
        <v>7.0000000000000007E-2</v>
      </c>
      <c r="H9" s="204">
        <f t="shared" si="0"/>
        <v>7.5000000000000011E-2</v>
      </c>
      <c r="I9" s="205">
        <f t="shared" si="0"/>
        <v>8.0000000000000016E-2</v>
      </c>
    </row>
    <row r="10" spans="2:10">
      <c r="B10" s="206">
        <v>65</v>
      </c>
      <c r="C10" s="208">
        <f t="dataTable" ref="C10:I25" dt2D="1" dtr="1" r1="C29" r2="C28"/>
        <v>11612.616468136408</v>
      </c>
      <c r="D10" s="208">
        <v>11179.143900238227</v>
      </c>
      <c r="E10" s="208">
        <v>10774.601440726912</v>
      </c>
      <c r="F10" s="208">
        <v>10396.514191913782</v>
      </c>
      <c r="G10" s="208">
        <v>10042.65573802224</v>
      </c>
      <c r="H10" s="208">
        <v>9711.0201186900667</v>
      </c>
      <c r="I10" s="209">
        <v>9399.7972643258563</v>
      </c>
      <c r="J10" s="88"/>
    </row>
    <row r="11" spans="2:10">
      <c r="B11" s="206">
        <f>B10-1</f>
        <v>64</v>
      </c>
      <c r="C11" s="208">
        <v>11916.523058132114</v>
      </c>
      <c r="D11" s="208">
        <v>11459.228225752748</v>
      </c>
      <c r="E11" s="208">
        <v>11033.18688498482</v>
      </c>
      <c r="F11" s="208">
        <v>10635.665068798517</v>
      </c>
      <c r="G11" s="208">
        <v>10264.20913343199</v>
      </c>
      <c r="H11" s="208">
        <v>9916.6135054457845</v>
      </c>
      <c r="I11" s="209">
        <v>9590.8924886347068</v>
      </c>
    </row>
    <row r="12" spans="2:10">
      <c r="B12" s="206">
        <f t="shared" ref="B12:B25" si="1">B11-1</f>
        <v>63</v>
      </c>
      <c r="C12" s="208">
        <v>12218.884402030746</v>
      </c>
      <c r="D12" s="208">
        <v>11737.231676564108</v>
      </c>
      <c r="E12" s="208">
        <v>11289.269054931274</v>
      </c>
      <c r="F12" s="208">
        <v>10871.9843706989</v>
      </c>
      <c r="G12" s="208">
        <v>10482.680738749903</v>
      </c>
      <c r="H12" s="208">
        <v>10118.93956458122</v>
      </c>
      <c r="I12" s="209">
        <v>9778.5882971273841</v>
      </c>
    </row>
    <row r="13" spans="2:10">
      <c r="B13" s="206">
        <f t="shared" si="1"/>
        <v>62</v>
      </c>
      <c r="C13" s="208">
        <v>12518.951792384129</v>
      </c>
      <c r="D13" s="208">
        <v>12012.449276532714</v>
      </c>
      <c r="E13" s="208">
        <v>11542.185699840458</v>
      </c>
      <c r="F13" s="208">
        <v>11104.851028440766</v>
      </c>
      <c r="G13" s="208">
        <v>10697.488763825981</v>
      </c>
      <c r="H13" s="208">
        <v>10317.453660297135</v>
      </c>
      <c r="I13" s="209">
        <v>9962.3749645152184</v>
      </c>
    </row>
    <row r="14" spans="2:10">
      <c r="B14" s="206">
        <f t="shared" si="1"/>
        <v>61</v>
      </c>
      <c r="C14" s="208">
        <v>12815.672849121682</v>
      </c>
      <c r="D14" s="208">
        <v>12283.891381359046</v>
      </c>
      <c r="E14" s="208">
        <v>11791.007187869525</v>
      </c>
      <c r="F14" s="208">
        <v>11333.392335304416</v>
      </c>
      <c r="G14" s="208">
        <v>10907.814139994618</v>
      </c>
      <c r="H14" s="208">
        <v>10511.386996935535</v>
      </c>
      <c r="I14" s="209">
        <v>10141.530613966739</v>
      </c>
    </row>
    <row r="15" spans="2:10">
      <c r="B15" s="206">
        <f t="shared" si="1"/>
        <v>60</v>
      </c>
      <c r="C15" s="208">
        <v>13108.052421406752</v>
      </c>
      <c r="D15" s="208">
        <v>12550.630392133957</v>
      </c>
      <c r="E15" s="208">
        <v>12034.869919376486</v>
      </c>
      <c r="F15" s="208">
        <v>11556.80488078688</v>
      </c>
      <c r="G15" s="208">
        <v>11112.909733097218</v>
      </c>
      <c r="H15" s="208">
        <v>10700.04481325394</v>
      </c>
      <c r="I15" s="209">
        <v>10315.409042397911</v>
      </c>
    </row>
    <row r="16" spans="2:10">
      <c r="B16" s="206">
        <f t="shared" si="1"/>
        <v>59</v>
      </c>
      <c r="C16" s="208">
        <v>13395.348885465695</v>
      </c>
      <c r="D16" s="208">
        <v>12811.987130477461</v>
      </c>
      <c r="E16" s="208">
        <v>12273.153482686894</v>
      </c>
      <c r="F16" s="208">
        <v>11774.523130687416</v>
      </c>
      <c r="G16" s="208">
        <v>11312.260937466875</v>
      </c>
      <c r="H16" s="208">
        <v>10882.959530723692</v>
      </c>
      <c r="I16" s="209">
        <v>10483.585918784553</v>
      </c>
    </row>
    <row r="17" spans="2:9">
      <c r="B17" s="206">
        <f t="shared" si="1"/>
        <v>58</v>
      </c>
      <c r="C17" s="208">
        <v>13677.103035702148</v>
      </c>
      <c r="D17" s="208">
        <v>13067.556029910391</v>
      </c>
      <c r="E17" s="208">
        <v>12505.50246768487</v>
      </c>
      <c r="F17" s="208">
        <v>11986.238154895856</v>
      </c>
      <c r="G17" s="208">
        <v>11505.601582767134</v>
      </c>
      <c r="H17" s="208">
        <v>11059.904079702445</v>
      </c>
      <c r="I17" s="209">
        <v>10645.869747681663</v>
      </c>
    </row>
    <row r="18" spans="2:9">
      <c r="B18" s="206">
        <f t="shared" si="1"/>
        <v>57</v>
      </c>
      <c r="C18" s="208">
        <v>13953.115355866565</v>
      </c>
      <c r="D18" s="208">
        <v>13317.181042376742</v>
      </c>
      <c r="E18" s="208">
        <v>12731.801187181816</v>
      </c>
      <c r="F18" s="208">
        <v>12191.871323712096</v>
      </c>
      <c r="G18" s="208">
        <v>11692.886747975432</v>
      </c>
      <c r="H18" s="208">
        <v>11230.863958170819</v>
      </c>
      <c r="I18" s="209">
        <v>10802.273285759131</v>
      </c>
    </row>
    <row r="19" spans="2:9">
      <c r="B19" s="206">
        <f t="shared" si="1"/>
        <v>56</v>
      </c>
      <c r="C19" s="208">
        <v>14222.915607590836</v>
      </c>
      <c r="D19" s="208">
        <v>13560.44958615926</v>
      </c>
      <c r="E19" s="208">
        <v>12951.690097270233</v>
      </c>
      <c r="F19" s="208">
        <v>12391.111504723993</v>
      </c>
      <c r="G19" s="208">
        <v>11873.849206971685</v>
      </c>
      <c r="H19" s="208">
        <v>11395.611546457512</v>
      </c>
      <c r="I19" s="209">
        <v>10952.604477099918</v>
      </c>
    </row>
    <row r="20" spans="2:9">
      <c r="B20" s="206">
        <f t="shared" si="1"/>
        <v>55</v>
      </c>
      <c r="C20" s="208">
        <v>14485.694481930719</v>
      </c>
      <c r="D20" s="208">
        <v>13796.629949517062</v>
      </c>
      <c r="E20" s="208">
        <v>13164.508366594164</v>
      </c>
      <c r="F20" s="208">
        <v>12583.362287620268</v>
      </c>
      <c r="G20" s="208">
        <v>12047.950863767133</v>
      </c>
      <c r="H20" s="208">
        <v>11553.661363129708</v>
      </c>
      <c r="I20" s="209">
        <v>11096.425187304383</v>
      </c>
    </row>
    <row r="21" spans="2:9">
      <c r="B21" s="206">
        <f t="shared" si="1"/>
        <v>54</v>
      </c>
      <c r="C21" s="208">
        <v>14741.005622463921</v>
      </c>
      <c r="D21" s="208">
        <v>14025.339487154446</v>
      </c>
      <c r="E21" s="208">
        <v>13369.930931890087</v>
      </c>
      <c r="F21" s="208">
        <v>12768.350318382942</v>
      </c>
      <c r="G21" s="208">
        <v>12214.964548860005</v>
      </c>
      <c r="H21" s="208">
        <v>11704.827297270534</v>
      </c>
      <c r="I21" s="209">
        <v>11233.585658781576</v>
      </c>
    </row>
    <row r="22" spans="2:9">
      <c r="B22" s="206">
        <f t="shared" si="1"/>
        <v>53</v>
      </c>
      <c r="C22" s="208">
        <v>14988.737007917149</v>
      </c>
      <c r="D22" s="208">
        <v>14246.514379556866</v>
      </c>
      <c r="E22" s="208">
        <v>13567.936886254893</v>
      </c>
      <c r="F22" s="208">
        <v>12946.092536001752</v>
      </c>
      <c r="G22" s="208">
        <v>12374.940295249424</v>
      </c>
      <c r="H22" s="208">
        <v>11849.188089522895</v>
      </c>
      <c r="I22" s="209">
        <v>11364.18934053751</v>
      </c>
    </row>
    <row r="23" spans="2:9">
      <c r="B23" s="206">
        <f t="shared" si="1"/>
        <v>52</v>
      </c>
      <c r="C23" s="208">
        <v>15229.122091343541</v>
      </c>
      <c r="D23" s="208">
        <v>14460.417373322603</v>
      </c>
      <c r="E23" s="208">
        <v>13758.814250037125</v>
      </c>
      <c r="F23" s="208">
        <v>13116.898348059689</v>
      </c>
      <c r="G23" s="208">
        <v>12528.205244935325</v>
      </c>
      <c r="H23" s="208">
        <v>11987.085254131411</v>
      </c>
      <c r="I23" s="209">
        <v>11488.589074246627</v>
      </c>
    </row>
    <row r="24" spans="2:9">
      <c r="B24" s="206">
        <f t="shared" si="1"/>
        <v>51</v>
      </c>
      <c r="C24" s="208">
        <v>15462.270526378283</v>
      </c>
      <c r="D24" s="208">
        <v>14667.19152097291</v>
      </c>
      <c r="E24" s="208">
        <v>13942.734844821716</v>
      </c>
      <c r="F24" s="208">
        <v>13280.963958689261</v>
      </c>
      <c r="G24" s="208">
        <v>12674.975924740063</v>
      </c>
      <c r="H24" s="208">
        <v>12118.751949099113</v>
      </c>
      <c r="I24" s="209">
        <v>11607.031339282761</v>
      </c>
    </row>
    <row r="25" spans="2:9" ht="15.75" thickBot="1">
      <c r="B25" s="207">
        <f t="shared" si="1"/>
        <v>50</v>
      </c>
      <c r="C25" s="210">
        <v>15687.993648276904</v>
      </c>
      <c r="D25" s="210">
        <v>14866.696525156702</v>
      </c>
      <c r="E25" s="210">
        <v>14119.600501563138</v>
      </c>
      <c r="F25" s="210">
        <v>13438.227561164138</v>
      </c>
      <c r="G25" s="210">
        <v>12815.22164657025</v>
      </c>
      <c r="H25" s="210">
        <v>12244.183895648726</v>
      </c>
      <c r="I25" s="211">
        <v>11719.534079128487</v>
      </c>
    </row>
    <row r="27" spans="2:9" ht="15.75" thickBot="1"/>
    <row r="28" spans="2:9" ht="15.75" thickBot="1">
      <c r="B28" s="22" t="s">
        <v>4</v>
      </c>
      <c r="C28" s="87">
        <v>50</v>
      </c>
    </row>
    <row r="29" spans="2:9" ht="15.75" thickBot="1">
      <c r="B29" s="22" t="s">
        <v>85</v>
      </c>
      <c r="C29" s="203">
        <v>0.06</v>
      </c>
    </row>
  </sheetData>
  <mergeCells count="2">
    <mergeCell ref="B2:I2"/>
    <mergeCell ref="B8:I8"/>
  </mergeCells>
  <dataValidations count="3">
    <dataValidation type="whole" operator="equal" allowBlank="1" showInputMessage="1" showErrorMessage="1" prompt="It should equal 1." sqref="I3" xr:uid="{6418A758-0CD4-40D0-AC8C-E8B32331F425}">
      <formula1>1</formula1>
    </dataValidation>
    <dataValidation type="decimal" operator="equal" allowBlank="1" showInputMessage="1" showErrorMessage="1" prompt="it should be 5%._x000a_" sqref="I5" xr:uid="{1B6D5B11-4A94-45AA-A44E-C94F259C326C}">
      <formula1>0.05</formula1>
    </dataValidation>
    <dataValidation type="decimal" operator="equal" allowBlank="1" showInputMessage="1" showErrorMessage="1" prompt="it should be 0.5%" sqref="I6" xr:uid="{52E127E4-3958-4ABB-A3D9-CA9B4DAA9369}">
      <formula1>0.5</formula1>
    </dataValidation>
  </dataValidations>
  <printOptions horizontalCentered="1"/>
  <pageMargins left="0.7" right="0.7" top="0.75" bottom="0.75" header="0.3" footer="0.3"/>
  <pageSetup orientation="landscape" horizontalDpi="4294967293" verticalDpi="4294967293" r:id="rId1"/>
  <headerFooter>
    <oddFooter>&amp;L&amp;F
&amp;A&amp;C&amp;P of &amp;N&amp;R&amp;D
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127-853B-485F-9A69-BF380FA65E1A}">
  <sheetPr codeName="Sheet11">
    <tabColor rgb="FFFFC000"/>
    <pageSetUpPr fitToPage="1"/>
  </sheetPr>
  <dimension ref="B1:I138"/>
  <sheetViews>
    <sheetView zoomScale="130" zoomScaleNormal="130" workbookViewId="0">
      <pane ySplit="12" topLeftCell="A13" activePane="bottomLeft" state="frozen"/>
      <selection pane="bottomLeft" activeCell="H5" sqref="H5"/>
    </sheetView>
  </sheetViews>
  <sheetFormatPr defaultRowHeight="15"/>
  <cols>
    <col min="2" max="2" width="10.5703125" style="10" customWidth="1"/>
    <col min="3" max="3" width="9.140625" style="9"/>
    <col min="4" max="4" width="10.7109375" style="9" customWidth="1"/>
    <col min="5" max="5" width="12.140625" style="11" customWidth="1"/>
    <col min="6" max="6" width="9.140625" style="9"/>
    <col min="7" max="7" width="14.28515625" style="9" customWidth="1"/>
    <col min="8" max="8" width="16.140625" customWidth="1"/>
    <col min="9" max="9" width="0" hidden="1" customWidth="1"/>
  </cols>
  <sheetData>
    <row r="1" spans="2:9" ht="15.75" thickBot="1"/>
    <row r="2" spans="2:9" ht="19.5" thickBot="1">
      <c r="B2" s="233" t="s">
        <v>24</v>
      </c>
      <c r="C2" s="234"/>
      <c r="D2" s="234"/>
      <c r="E2" s="234"/>
      <c r="F2" s="234"/>
      <c r="G2" s="234"/>
      <c r="H2" s="235"/>
    </row>
    <row r="3" spans="2:9">
      <c r="B3" s="12" t="s">
        <v>81</v>
      </c>
      <c r="H3" s="141">
        <f>'Annuity Table '!C28</f>
        <v>50</v>
      </c>
      <c r="I3">
        <f>IF(H3="",65,H3)</f>
        <v>50</v>
      </c>
    </row>
    <row r="4" spans="2:9">
      <c r="B4" s="12" t="s">
        <v>36</v>
      </c>
      <c r="H4" s="181">
        <v>1000</v>
      </c>
    </row>
    <row r="5" spans="2:9">
      <c r="B5" s="12" t="s">
        <v>26</v>
      </c>
      <c r="H5" s="67">
        <f>'Annuity Table '!C29</f>
        <v>0.06</v>
      </c>
    </row>
    <row r="6" spans="2:9">
      <c r="B6" s="12"/>
      <c r="H6" s="217"/>
    </row>
    <row r="7" spans="2:9">
      <c r="B7" s="12" t="s">
        <v>35</v>
      </c>
      <c r="H7" s="218">
        <f>Rate!B28</f>
        <v>2019</v>
      </c>
    </row>
    <row r="8" spans="2:9">
      <c r="B8" s="12" t="s">
        <v>27</v>
      </c>
      <c r="H8" s="13">
        <f>SUM($H13:$H128)</f>
        <v>14.119600501563138</v>
      </c>
    </row>
    <row r="9" spans="2:9">
      <c r="B9" s="12" t="s">
        <v>28</v>
      </c>
      <c r="H9" s="219">
        <f>H8*$H$4</f>
        <v>14119.600501563138</v>
      </c>
    </row>
    <row r="10" spans="2:9" ht="15.75" thickBot="1"/>
    <row r="11" spans="2:9" ht="19.5" thickBot="1">
      <c r="B11" s="236" t="s">
        <v>29</v>
      </c>
      <c r="C11" s="237"/>
      <c r="D11" s="237"/>
      <c r="E11" s="237"/>
      <c r="F11" s="237"/>
      <c r="G11" s="237"/>
      <c r="H11" s="238"/>
    </row>
    <row r="12" spans="2:9">
      <c r="B12" s="10" t="s">
        <v>9</v>
      </c>
      <c r="C12" s="10" t="s">
        <v>23</v>
      </c>
      <c r="D12" s="10" t="s">
        <v>30</v>
      </c>
      <c r="E12" s="14" t="s">
        <v>31</v>
      </c>
      <c r="F12" s="10"/>
      <c r="H12" s="10" t="s">
        <v>32</v>
      </c>
    </row>
    <row r="13" spans="2:9">
      <c r="B13" s="9">
        <f>IF(H3="",20,H3)</f>
        <v>50</v>
      </c>
      <c r="C13" s="11">
        <f>IF(B13="","",VLOOKUP(B13,QxTable,2))</f>
        <v>2.5790000000000001E-3</v>
      </c>
      <c r="D13" s="11">
        <f>IF(B13="","",1-C13)</f>
        <v>0.997421</v>
      </c>
      <c r="E13" s="11">
        <f>1</f>
        <v>1</v>
      </c>
      <c r="F13" s="11"/>
      <c r="G13" s="11"/>
      <c r="H13" s="15">
        <f>IF(B13="","",$E13*(1+$H$5)^($B$13-B13))</f>
        <v>1</v>
      </c>
    </row>
    <row r="14" spans="2:9">
      <c r="B14" s="9">
        <f>IF(B13&gt;=120,"",B13+1)</f>
        <v>51</v>
      </c>
      <c r="C14" s="11">
        <f t="shared" ref="C14:C77" si="0">IF(B14="","",VLOOKUP(B14,QxTable,2))</f>
        <v>2.872E-3</v>
      </c>
      <c r="D14" s="11">
        <f t="shared" ref="D14:D77" si="1">IF(B14="","",1-C14)</f>
        <v>0.99712800000000001</v>
      </c>
      <c r="E14" s="11">
        <f>IF(B14="","",E13*D13)</f>
        <v>0.997421</v>
      </c>
      <c r="F14" s="11"/>
      <c r="G14" s="11"/>
      <c r="H14" s="15">
        <f>IF(B14="","",$E14*(1+$H$5)^($B$13-B14))</f>
        <v>0.94096320754716967</v>
      </c>
    </row>
    <row r="15" spans="2:9">
      <c r="B15" s="9">
        <f t="shared" ref="B15:B78" si="2">IF(B14&gt;=120,"",B14+1)</f>
        <v>52</v>
      </c>
      <c r="C15" s="11">
        <f t="shared" si="0"/>
        <v>3.2130000000000001E-3</v>
      </c>
      <c r="D15" s="11">
        <f t="shared" si="1"/>
        <v>0.99678699999999998</v>
      </c>
      <c r="E15" s="11">
        <f t="shared" ref="E15:E78" si="3">IF(B15="","",E14*D14)</f>
        <v>0.99455640688800007</v>
      </c>
      <c r="F15" s="11"/>
      <c r="G15" s="11"/>
      <c r="H15" s="15">
        <f t="shared" ref="H15:H78" si="4">IF(B15="","",$E15*(1+$H$5)^($B$13-B15))</f>
        <v>0.88515166152367386</v>
      </c>
    </row>
    <row r="16" spans="2:9">
      <c r="B16" s="9">
        <f t="shared" si="2"/>
        <v>53</v>
      </c>
      <c r="C16" s="11">
        <f t="shared" si="0"/>
        <v>3.5839999999999999E-3</v>
      </c>
      <c r="D16" s="11">
        <f t="shared" si="1"/>
        <v>0.99641599999999997</v>
      </c>
      <c r="E16" s="11">
        <f t="shared" si="3"/>
        <v>0.99136089715266895</v>
      </c>
      <c r="F16" s="11"/>
      <c r="G16" s="11"/>
      <c r="H16" s="15">
        <f t="shared" si="4"/>
        <v>0.83236572569358314</v>
      </c>
    </row>
    <row r="17" spans="2:8">
      <c r="B17" s="9">
        <f t="shared" si="2"/>
        <v>54</v>
      </c>
      <c r="C17" s="11">
        <f t="shared" si="0"/>
        <v>3.9789999999999999E-3</v>
      </c>
      <c r="D17" s="11">
        <f t="shared" si="1"/>
        <v>0.99602100000000005</v>
      </c>
      <c r="E17" s="11">
        <f t="shared" si="3"/>
        <v>0.9878078596972738</v>
      </c>
      <c r="F17" s="11"/>
      <c r="G17" s="11"/>
      <c r="H17" s="15">
        <f t="shared" si="4"/>
        <v>0.78243634616292213</v>
      </c>
    </row>
    <row r="18" spans="2:8">
      <c r="B18" s="9">
        <f t="shared" si="2"/>
        <v>55</v>
      </c>
      <c r="C18" s="11">
        <f t="shared" si="0"/>
        <v>4.4250000000000001E-3</v>
      </c>
      <c r="D18" s="11">
        <f t="shared" si="1"/>
        <v>0.99557499999999999</v>
      </c>
      <c r="E18" s="11">
        <f t="shared" si="3"/>
        <v>0.98387737222353844</v>
      </c>
      <c r="F18" s="11"/>
      <c r="G18" s="11"/>
      <c r="H18" s="15">
        <f t="shared" si="4"/>
        <v>0.73521040749201871</v>
      </c>
    </row>
    <row r="19" spans="2:8">
      <c r="B19" s="9">
        <f t="shared" si="2"/>
        <v>56</v>
      </c>
      <c r="C19" s="11">
        <f t="shared" si="0"/>
        <v>4.9490000000000003E-3</v>
      </c>
      <c r="D19" s="11">
        <f t="shared" si="1"/>
        <v>0.99505100000000002</v>
      </c>
      <c r="E19" s="11">
        <f t="shared" si="3"/>
        <v>0.97952371485144929</v>
      </c>
      <c r="F19" s="11"/>
      <c r="G19" s="11"/>
      <c r="H19" s="15">
        <f t="shared" si="4"/>
        <v>0.69052556739515702</v>
      </c>
    </row>
    <row r="20" spans="2:8">
      <c r="B20" s="9">
        <f t="shared" si="2"/>
        <v>57</v>
      </c>
      <c r="C20" s="11">
        <f t="shared" si="0"/>
        <v>5.581E-3</v>
      </c>
      <c r="D20" s="11">
        <f t="shared" si="1"/>
        <v>0.99441900000000005</v>
      </c>
      <c r="E20" s="11">
        <f t="shared" si="3"/>
        <v>0.97467605198664953</v>
      </c>
      <c r="F20" s="11"/>
      <c r="G20" s="11"/>
      <c r="H20" s="15">
        <f t="shared" si="4"/>
        <v>0.64821524185105506</v>
      </c>
    </row>
    <row r="21" spans="2:8">
      <c r="B21" s="9">
        <f t="shared" si="2"/>
        <v>58</v>
      </c>
      <c r="C21" s="11">
        <f t="shared" si="0"/>
        <v>6.3E-3</v>
      </c>
      <c r="D21" s="11">
        <f t="shared" si="1"/>
        <v>0.99370000000000003</v>
      </c>
      <c r="E21" s="11">
        <f t="shared" si="3"/>
        <v>0.96923638494051212</v>
      </c>
      <c r="F21" s="11"/>
      <c r="G21" s="11"/>
      <c r="H21" s="15">
        <f t="shared" si="4"/>
        <v>0.60811089866630608</v>
      </c>
    </row>
    <row r="22" spans="2:8">
      <c r="B22" s="9">
        <f t="shared" si="2"/>
        <v>59</v>
      </c>
      <c r="C22" s="11">
        <f t="shared" si="0"/>
        <v>7.0899999999999999E-3</v>
      </c>
      <c r="D22" s="11">
        <f t="shared" si="1"/>
        <v>0.99290999999999996</v>
      </c>
      <c r="E22" s="11">
        <f t="shared" si="3"/>
        <v>0.96313019571538694</v>
      </c>
      <c r="F22" s="11"/>
      <c r="G22" s="11"/>
      <c r="H22" s="15">
        <f t="shared" si="4"/>
        <v>0.57007528302330979</v>
      </c>
    </row>
    <row r="23" spans="2:8">
      <c r="B23" s="9">
        <f t="shared" si="2"/>
        <v>60</v>
      </c>
      <c r="C23" s="11">
        <f t="shared" si="0"/>
        <v>7.9760000000000005E-3</v>
      </c>
      <c r="D23" s="11">
        <f t="shared" si="1"/>
        <v>0.99202400000000002</v>
      </c>
      <c r="E23" s="11">
        <f t="shared" si="3"/>
        <v>0.95630160262776476</v>
      </c>
      <c r="F23" s="11"/>
      <c r="G23" s="11"/>
      <c r="H23" s="15">
        <f t="shared" si="4"/>
        <v>0.53399382006290042</v>
      </c>
    </row>
    <row r="24" spans="2:8">
      <c r="B24" s="9">
        <f t="shared" si="2"/>
        <v>61</v>
      </c>
      <c r="C24" s="11">
        <f t="shared" si="0"/>
        <v>8.9859999999999992E-3</v>
      </c>
      <c r="D24" s="11">
        <f t="shared" si="1"/>
        <v>0.99101399999999995</v>
      </c>
      <c r="E24" s="11">
        <f t="shared" si="3"/>
        <v>0.94867414104520575</v>
      </c>
      <c r="F24" s="11"/>
      <c r="G24" s="11"/>
      <c r="H24" s="15">
        <f t="shared" si="4"/>
        <v>0.49974970316422512</v>
      </c>
    </row>
    <row r="25" spans="2:8">
      <c r="B25" s="9">
        <f t="shared" si="2"/>
        <v>62</v>
      </c>
      <c r="C25" s="11">
        <f t="shared" si="0"/>
        <v>1.0147E-2</v>
      </c>
      <c r="D25" s="11">
        <f t="shared" si="1"/>
        <v>0.98985299999999998</v>
      </c>
      <c r="E25" s="11">
        <f t="shared" si="3"/>
        <v>0.94014935521377352</v>
      </c>
      <c r="F25" s="11"/>
      <c r="G25" s="11"/>
      <c r="H25" s="15">
        <f t="shared" si="4"/>
        <v>0.46722542672791639</v>
      </c>
    </row>
    <row r="26" spans="2:8">
      <c r="B26" s="9">
        <f t="shared" si="2"/>
        <v>63</v>
      </c>
      <c r="C26" s="11">
        <f t="shared" si="0"/>
        <v>1.1471E-2</v>
      </c>
      <c r="D26" s="11">
        <f t="shared" si="1"/>
        <v>0.98852899999999999</v>
      </c>
      <c r="E26" s="11">
        <f t="shared" si="3"/>
        <v>0.93060965970641929</v>
      </c>
      <c r="F26" s="11"/>
      <c r="G26" s="11"/>
      <c r="H26" s="15">
        <f t="shared" si="4"/>
        <v>0.4363061229461398</v>
      </c>
    </row>
    <row r="27" spans="2:8">
      <c r="B27" s="9">
        <f t="shared" si="2"/>
        <v>64</v>
      </c>
      <c r="C27" s="11">
        <f t="shared" si="0"/>
        <v>1.294E-2</v>
      </c>
      <c r="D27" s="11">
        <f t="shared" si="1"/>
        <v>0.98706000000000005</v>
      </c>
      <c r="E27" s="11">
        <f t="shared" si="3"/>
        <v>0.919934636299927</v>
      </c>
      <c r="F27" s="11"/>
      <c r="G27" s="11"/>
      <c r="H27" s="15">
        <f t="shared" si="4"/>
        <v>0.4068879768017214</v>
      </c>
    </row>
    <row r="28" spans="2:8">
      <c r="B28" s="9">
        <f t="shared" si="2"/>
        <v>65</v>
      </c>
      <c r="C28" s="11">
        <f t="shared" si="0"/>
        <v>1.4534999999999999E-2</v>
      </c>
      <c r="D28" s="11">
        <f t="shared" si="1"/>
        <v>0.98546500000000004</v>
      </c>
      <c r="E28" s="11">
        <f t="shared" si="3"/>
        <v>0.90803068210620597</v>
      </c>
      <c r="F28" s="11"/>
      <c r="G28" s="11"/>
      <c r="H28" s="15">
        <f t="shared" si="4"/>
        <v>0.37888947771878018</v>
      </c>
    </row>
    <row r="29" spans="2:8">
      <c r="B29" s="9">
        <f t="shared" si="2"/>
        <v>66</v>
      </c>
      <c r="C29" s="11">
        <f t="shared" si="0"/>
        <v>1.6239E-2</v>
      </c>
      <c r="D29" s="11">
        <f t="shared" si="1"/>
        <v>0.983761</v>
      </c>
      <c r="E29" s="11">
        <f t="shared" si="3"/>
        <v>0.8948324561417923</v>
      </c>
      <c r="F29" s="11"/>
      <c r="G29" s="11"/>
      <c r="H29" s="15">
        <f t="shared" si="4"/>
        <v>0.35224747090579039</v>
      </c>
    </row>
    <row r="30" spans="2:8">
      <c r="B30" s="9">
        <f t="shared" si="2"/>
        <v>67</v>
      </c>
      <c r="C30" s="11">
        <f t="shared" si="0"/>
        <v>1.8034000000000001E-2</v>
      </c>
      <c r="D30" s="11">
        <f t="shared" si="1"/>
        <v>0.98196600000000001</v>
      </c>
      <c r="E30" s="11">
        <f t="shared" si="3"/>
        <v>0.88030127188650575</v>
      </c>
      <c r="F30" s="11"/>
      <c r="G30" s="11"/>
      <c r="H30" s="15">
        <f t="shared" si="4"/>
        <v>0.32691257002429358</v>
      </c>
    </row>
    <row r="31" spans="2:8">
      <c r="B31" s="9">
        <f t="shared" si="2"/>
        <v>68</v>
      </c>
      <c r="C31" s="11">
        <f t="shared" si="0"/>
        <v>1.9859000000000002E-2</v>
      </c>
      <c r="D31" s="11">
        <f t="shared" si="1"/>
        <v>0.98014100000000004</v>
      </c>
      <c r="E31" s="11">
        <f t="shared" si="3"/>
        <v>0.86442591874930452</v>
      </c>
      <c r="F31" s="11"/>
      <c r="G31" s="11"/>
      <c r="H31" s="15">
        <f t="shared" si="4"/>
        <v>0.3028462535249769</v>
      </c>
    </row>
    <row r="32" spans="2:8">
      <c r="B32" s="9">
        <f t="shared" si="2"/>
        <v>69</v>
      </c>
      <c r="C32" s="11">
        <f t="shared" si="0"/>
        <v>2.1728999999999998E-2</v>
      </c>
      <c r="D32" s="11">
        <f t="shared" si="1"/>
        <v>0.978271</v>
      </c>
      <c r="E32" s="11">
        <f t="shared" si="3"/>
        <v>0.84725928442886211</v>
      </c>
      <c r="F32" s="11"/>
      <c r="G32" s="11"/>
      <c r="H32" s="15">
        <f t="shared" si="4"/>
        <v>0.28003021677002293</v>
      </c>
    </row>
    <row r="33" spans="2:8">
      <c r="B33" s="9">
        <f t="shared" si="2"/>
        <v>70</v>
      </c>
      <c r="C33" s="11">
        <f t="shared" si="0"/>
        <v>2.3730000000000001E-2</v>
      </c>
      <c r="D33" s="11">
        <f t="shared" si="1"/>
        <v>0.97626999999999997</v>
      </c>
      <c r="E33" s="11">
        <f t="shared" si="3"/>
        <v>0.82884918743750735</v>
      </c>
      <c r="F33" s="11"/>
      <c r="G33" s="11"/>
      <c r="H33" s="15">
        <f t="shared" si="4"/>
        <v>0.25843909451870489</v>
      </c>
    </row>
    <row r="34" spans="2:8">
      <c r="B34" s="9">
        <f t="shared" si="2"/>
        <v>71</v>
      </c>
      <c r="C34" s="11">
        <f t="shared" si="0"/>
        <v>2.5950999999999998E-2</v>
      </c>
      <c r="D34" s="11">
        <f t="shared" si="1"/>
        <v>0.97404900000000005</v>
      </c>
      <c r="E34" s="11">
        <f t="shared" si="3"/>
        <v>0.80918059621961524</v>
      </c>
      <c r="F34" s="11"/>
      <c r="G34" s="11"/>
      <c r="H34" s="15">
        <f t="shared" si="4"/>
        <v>0.23802484415639238</v>
      </c>
    </row>
    <row r="35" spans="2:8">
      <c r="B35" s="9">
        <f t="shared" si="2"/>
        <v>72</v>
      </c>
      <c r="C35" s="11">
        <f t="shared" si="0"/>
        <v>2.8480999999999999E-2</v>
      </c>
      <c r="D35" s="11">
        <f t="shared" si="1"/>
        <v>0.97151900000000002</v>
      </c>
      <c r="E35" s="11">
        <f t="shared" si="3"/>
        <v>0.78818155056712003</v>
      </c>
      <c r="F35" s="11"/>
      <c r="G35" s="11"/>
      <c r="H35" s="15">
        <f t="shared" si="4"/>
        <v>0.21872439757140549</v>
      </c>
    </row>
    <row r="36" spans="2:8">
      <c r="B36" s="9">
        <f t="shared" si="2"/>
        <v>73</v>
      </c>
      <c r="C36" s="11">
        <f t="shared" si="0"/>
        <v>3.1201E-2</v>
      </c>
      <c r="D36" s="11">
        <f t="shared" si="1"/>
        <v>0.96879899999999997</v>
      </c>
      <c r="E36" s="11">
        <f t="shared" si="3"/>
        <v>0.76573335182541791</v>
      </c>
      <c r="F36" s="11"/>
      <c r="G36" s="11"/>
      <c r="H36" s="15">
        <f t="shared" si="4"/>
        <v>0.20046689434356066</v>
      </c>
    </row>
    <row r="37" spans="2:8">
      <c r="B37" s="9">
        <f t="shared" si="2"/>
        <v>74</v>
      </c>
      <c r="C37" s="11">
        <f t="shared" si="0"/>
        <v>3.4050999999999998E-2</v>
      </c>
      <c r="D37" s="11">
        <f t="shared" si="1"/>
        <v>0.96594899999999995</v>
      </c>
      <c r="E37" s="11">
        <f t="shared" si="3"/>
        <v>0.74184170551511297</v>
      </c>
      <c r="F37" s="11"/>
      <c r="G37" s="11"/>
      <c r="H37" s="15">
        <f t="shared" si="4"/>
        <v>0.18321898752183699</v>
      </c>
    </row>
    <row r="38" spans="2:8">
      <c r="B38" s="9">
        <f t="shared" si="2"/>
        <v>75</v>
      </c>
      <c r="C38" s="11">
        <f t="shared" si="0"/>
        <v>3.7211000000000001E-2</v>
      </c>
      <c r="D38" s="11">
        <f t="shared" si="1"/>
        <v>0.96278900000000001</v>
      </c>
      <c r="E38" s="11">
        <f t="shared" si="3"/>
        <v>0.71658125360061786</v>
      </c>
      <c r="F38" s="11"/>
      <c r="G38" s="11"/>
      <c r="H38" s="15">
        <f t="shared" si="4"/>
        <v>0.16696245073370841</v>
      </c>
    </row>
    <row r="39" spans="2:8">
      <c r="B39" s="9">
        <f t="shared" si="2"/>
        <v>76</v>
      </c>
      <c r="C39" s="11">
        <f t="shared" si="0"/>
        <v>4.0857999999999998E-2</v>
      </c>
      <c r="D39" s="11">
        <f t="shared" si="1"/>
        <v>0.95914200000000005</v>
      </c>
      <c r="E39" s="11">
        <f t="shared" si="3"/>
        <v>0.68991654857288531</v>
      </c>
      <c r="F39" s="11"/>
      <c r="G39" s="11"/>
      <c r="H39" s="15">
        <f t="shared" si="4"/>
        <v>0.15165057639571358</v>
      </c>
    </row>
    <row r="40" spans="2:8">
      <c r="B40" s="9">
        <f t="shared" si="2"/>
        <v>77</v>
      </c>
      <c r="C40" s="11">
        <f t="shared" si="0"/>
        <v>4.5171000000000003E-2</v>
      </c>
      <c r="D40" s="11">
        <f t="shared" si="1"/>
        <v>0.95482900000000004</v>
      </c>
      <c r="E40" s="11">
        <f t="shared" si="3"/>
        <v>0.66172793823129439</v>
      </c>
      <c r="F40" s="11"/>
      <c r="G40" s="11"/>
      <c r="H40" s="15">
        <f t="shared" si="4"/>
        <v>0.13722116711824292</v>
      </c>
    </row>
    <row r="41" spans="2:8">
      <c r="B41" s="9">
        <f t="shared" si="2"/>
        <v>78</v>
      </c>
      <c r="C41" s="11">
        <f t="shared" si="0"/>
        <v>5.0210999999999999E-2</v>
      </c>
      <c r="D41" s="11">
        <f t="shared" si="1"/>
        <v>0.94978899999999999</v>
      </c>
      <c r="E41" s="11">
        <f t="shared" si="3"/>
        <v>0.63183702553344856</v>
      </c>
      <c r="F41" s="11"/>
      <c r="G41" s="11"/>
      <c r="H41" s="15">
        <f t="shared" si="4"/>
        <v>0.12360636771541959</v>
      </c>
    </row>
    <row r="42" spans="2:8">
      <c r="B42" s="9">
        <f t="shared" si="2"/>
        <v>79</v>
      </c>
      <c r="C42" s="11">
        <f t="shared" si="0"/>
        <v>5.5861000000000001E-2</v>
      </c>
      <c r="D42" s="11">
        <f t="shared" si="1"/>
        <v>0.94413899999999995</v>
      </c>
      <c r="E42" s="11">
        <f t="shared" si="3"/>
        <v>0.6001118566443886</v>
      </c>
      <c r="F42" s="11"/>
      <c r="G42" s="11"/>
      <c r="H42" s="15">
        <f t="shared" si="4"/>
        <v>0.11075468715666099</v>
      </c>
    </row>
    <row r="43" spans="2:8">
      <c r="B43" s="9">
        <f t="shared" si="2"/>
        <v>80</v>
      </c>
      <c r="C43" s="11">
        <f t="shared" si="0"/>
        <v>6.2026999999999999E-2</v>
      </c>
      <c r="D43" s="11">
        <f t="shared" si="1"/>
        <v>0.93797299999999995</v>
      </c>
      <c r="E43" s="11">
        <f t="shared" si="3"/>
        <v>0.56658900822037639</v>
      </c>
      <c r="F43" s="11"/>
      <c r="G43" s="11"/>
      <c r="H43" s="15">
        <f t="shared" si="4"/>
        <v>9.864888639377617E-2</v>
      </c>
    </row>
    <row r="44" spans="2:8">
      <c r="B44" s="9">
        <f t="shared" si="2"/>
        <v>81</v>
      </c>
      <c r="C44" s="11">
        <f t="shared" si="0"/>
        <v>6.8614999999999995E-2</v>
      </c>
      <c r="D44" s="11">
        <f t="shared" si="1"/>
        <v>0.93138500000000002</v>
      </c>
      <c r="E44" s="11">
        <f t="shared" si="3"/>
        <v>0.53144519180749106</v>
      </c>
      <c r="F44" s="11"/>
      <c r="G44" s="11"/>
      <c r="H44" s="15">
        <f t="shared" si="4"/>
        <v>8.7292445205122068E-2</v>
      </c>
    </row>
    <row r="45" spans="2:8">
      <c r="B45" s="9">
        <f t="shared" si="2"/>
        <v>82</v>
      </c>
      <c r="C45" s="11">
        <f t="shared" si="0"/>
        <v>7.5532000000000002E-2</v>
      </c>
      <c r="D45" s="11">
        <f t="shared" si="1"/>
        <v>0.92446799999999996</v>
      </c>
      <c r="E45" s="11">
        <f t="shared" si="3"/>
        <v>0.49498007997162008</v>
      </c>
      <c r="F45" s="11"/>
      <c r="G45" s="11"/>
      <c r="H45" s="15">
        <f t="shared" si="4"/>
        <v>7.6700824601294931E-2</v>
      </c>
    </row>
    <row r="46" spans="2:8">
      <c r="B46" s="9">
        <f t="shared" si="2"/>
        <v>83</v>
      </c>
      <c r="C46" s="11">
        <f t="shared" si="0"/>
        <v>8.251E-2</v>
      </c>
      <c r="D46" s="11">
        <f t="shared" si="1"/>
        <v>0.91749000000000003</v>
      </c>
      <c r="E46" s="11">
        <f t="shared" si="3"/>
        <v>0.45759324457120365</v>
      </c>
      <c r="F46" s="11"/>
      <c r="G46" s="11"/>
      <c r="H46" s="15">
        <f t="shared" si="4"/>
        <v>6.6893828224065963E-2</v>
      </c>
    </row>
    <row r="47" spans="2:8">
      <c r="B47" s="9">
        <f t="shared" si="2"/>
        <v>84</v>
      </c>
      <c r="C47" s="11">
        <f t="shared" si="0"/>
        <v>8.9612999999999998E-2</v>
      </c>
      <c r="D47" s="11">
        <f t="shared" si="1"/>
        <v>0.91038700000000006</v>
      </c>
      <c r="E47" s="11">
        <f t="shared" si="3"/>
        <v>0.41983722596163364</v>
      </c>
      <c r="F47" s="11"/>
      <c r="G47" s="11"/>
      <c r="H47" s="15">
        <f t="shared" si="4"/>
        <v>5.7900394771036111E-2</v>
      </c>
    </row>
    <row r="48" spans="2:8">
      <c r="B48" s="9">
        <f t="shared" si="2"/>
        <v>85</v>
      </c>
      <c r="C48" s="11">
        <f t="shared" si="0"/>
        <v>9.7239999999999993E-2</v>
      </c>
      <c r="D48" s="11">
        <f t="shared" si="1"/>
        <v>0.90276000000000001</v>
      </c>
      <c r="E48" s="11">
        <f t="shared" si="3"/>
        <v>0.3822143526315338</v>
      </c>
      <c r="F48" s="11"/>
      <c r="G48" s="11"/>
      <c r="H48" s="15">
        <f t="shared" si="4"/>
        <v>4.9728081787187975E-2</v>
      </c>
    </row>
    <row r="49" spans="2:8">
      <c r="B49" s="9">
        <f t="shared" si="2"/>
        <v>86</v>
      </c>
      <c r="C49" s="11">
        <f t="shared" si="0"/>
        <v>0.105792</v>
      </c>
      <c r="D49" s="11">
        <f t="shared" si="1"/>
        <v>0.894208</v>
      </c>
      <c r="E49" s="11">
        <f t="shared" si="3"/>
        <v>0.34504782898164343</v>
      </c>
      <c r="F49" s="11"/>
      <c r="G49" s="11"/>
      <c r="H49" s="15">
        <f t="shared" si="4"/>
        <v>4.2351436900190387E-2</v>
      </c>
    </row>
    <row r="50" spans="2:8">
      <c r="B50" s="9">
        <f t="shared" si="2"/>
        <v>87</v>
      </c>
      <c r="C50" s="11">
        <f t="shared" si="0"/>
        <v>0.115671</v>
      </c>
      <c r="D50" s="11">
        <f t="shared" si="1"/>
        <v>0.88432900000000003</v>
      </c>
      <c r="E50" s="11">
        <f t="shared" si="3"/>
        <v>0.30854452905801744</v>
      </c>
      <c r="F50" s="11"/>
      <c r="G50" s="11"/>
      <c r="H50" s="15">
        <f t="shared" si="4"/>
        <v>3.5727352535514574E-2</v>
      </c>
    </row>
    <row r="51" spans="2:8">
      <c r="B51" s="9">
        <f t="shared" si="2"/>
        <v>88</v>
      </c>
      <c r="C51" s="11">
        <f t="shared" si="0"/>
        <v>0.12698000000000001</v>
      </c>
      <c r="D51" s="11">
        <f t="shared" si="1"/>
        <v>0.87302000000000002</v>
      </c>
      <c r="E51" s="11">
        <f t="shared" si="3"/>
        <v>0.27285487483734749</v>
      </c>
      <c r="F51" s="11"/>
      <c r="G51" s="11"/>
      <c r="H51" s="15">
        <f t="shared" si="4"/>
        <v>2.9806352773942509E-2</v>
      </c>
    </row>
    <row r="52" spans="2:8">
      <c r="B52" s="9">
        <f t="shared" si="2"/>
        <v>89</v>
      </c>
      <c r="C52" s="11">
        <f t="shared" si="0"/>
        <v>0.13945199999999999</v>
      </c>
      <c r="D52" s="11">
        <f t="shared" si="1"/>
        <v>0.86054799999999998</v>
      </c>
      <c r="E52" s="11">
        <f t="shared" si="3"/>
        <v>0.2382077628305011</v>
      </c>
      <c r="F52" s="11"/>
      <c r="G52" s="11"/>
      <c r="H52" s="15">
        <f t="shared" si="4"/>
        <v>2.4548624621421967E-2</v>
      </c>
    </row>
    <row r="53" spans="2:8">
      <c r="B53" s="9">
        <f t="shared" si="2"/>
        <v>90</v>
      </c>
      <c r="C53" s="11">
        <f t="shared" si="0"/>
        <v>0.15293100000000001</v>
      </c>
      <c r="D53" s="11">
        <f t="shared" si="1"/>
        <v>0.84706899999999996</v>
      </c>
      <c r="E53" s="11">
        <f t="shared" si="3"/>
        <v>0.20498921388826205</v>
      </c>
      <c r="F53" s="11"/>
      <c r="G53" s="11"/>
      <c r="H53" s="15">
        <f t="shared" si="4"/>
        <v>1.9929499830863614E-2</v>
      </c>
    </row>
    <row r="54" spans="2:8">
      <c r="B54" s="9">
        <f t="shared" si="2"/>
        <v>91</v>
      </c>
      <c r="C54" s="11">
        <f t="shared" si="0"/>
        <v>0.16725999999999999</v>
      </c>
      <c r="D54" s="11">
        <f t="shared" si="1"/>
        <v>0.83274000000000004</v>
      </c>
      <c r="E54" s="11">
        <f t="shared" si="3"/>
        <v>0.17364000841911623</v>
      </c>
      <c r="F54" s="11"/>
      <c r="G54" s="11"/>
      <c r="H54" s="15">
        <f t="shared" si="4"/>
        <v>1.5926095747386612E-2</v>
      </c>
    </row>
    <row r="55" spans="2:8">
      <c r="B55" s="9">
        <f t="shared" si="2"/>
        <v>92</v>
      </c>
      <c r="C55" s="11">
        <f t="shared" si="0"/>
        <v>0.182281</v>
      </c>
      <c r="D55" s="11">
        <f t="shared" si="1"/>
        <v>0.81771899999999997</v>
      </c>
      <c r="E55" s="11">
        <f t="shared" si="3"/>
        <v>0.14459698061093484</v>
      </c>
      <c r="F55" s="11"/>
      <c r="G55" s="11"/>
      <c r="H55" s="15">
        <f t="shared" si="4"/>
        <v>1.251160091762144E-2</v>
      </c>
    </row>
    <row r="56" spans="2:8">
      <c r="B56" s="9">
        <f t="shared" si="2"/>
        <v>93</v>
      </c>
      <c r="C56" s="11">
        <f t="shared" si="0"/>
        <v>0.19839200000000001</v>
      </c>
      <c r="D56" s="11">
        <f t="shared" si="1"/>
        <v>0.80160799999999999</v>
      </c>
      <c r="E56" s="11">
        <f t="shared" si="3"/>
        <v>0.11823969838819302</v>
      </c>
      <c r="F56" s="11"/>
      <c r="G56" s="11"/>
      <c r="H56" s="15">
        <f t="shared" si="4"/>
        <v>9.6518620667514002E-3</v>
      </c>
    </row>
    <row r="57" spans="2:8">
      <c r="B57" s="9">
        <f t="shared" si="2"/>
        <v>94</v>
      </c>
      <c r="C57" s="11">
        <f t="shared" si="0"/>
        <v>0.2157</v>
      </c>
      <c r="D57" s="11">
        <f t="shared" si="1"/>
        <v>0.7843</v>
      </c>
      <c r="E57" s="11">
        <f t="shared" si="3"/>
        <v>9.4781888145562626E-2</v>
      </c>
      <c r="F57" s="11"/>
      <c r="G57" s="11"/>
      <c r="H57" s="15">
        <f t="shared" si="4"/>
        <v>7.2990658939664681E-3</v>
      </c>
    </row>
    <row r="58" spans="2:8">
      <c r="B58" s="9">
        <f t="shared" si="2"/>
        <v>95</v>
      </c>
      <c r="C58" s="11">
        <f t="shared" si="0"/>
        <v>0.23360600000000001</v>
      </c>
      <c r="D58" s="11">
        <f t="shared" si="1"/>
        <v>0.76639400000000002</v>
      </c>
      <c r="E58" s="11">
        <f t="shared" si="3"/>
        <v>7.4337434872564764E-2</v>
      </c>
      <c r="F58" s="11"/>
      <c r="G58" s="11"/>
      <c r="H58" s="15">
        <f t="shared" si="4"/>
        <v>5.4006201704131142E-3</v>
      </c>
    </row>
    <row r="59" spans="2:8">
      <c r="B59" s="9">
        <f t="shared" si="2"/>
        <v>96</v>
      </c>
      <c r="C59" s="11">
        <f t="shared" si="0"/>
        <v>0.25151000000000001</v>
      </c>
      <c r="D59" s="11">
        <f t="shared" si="1"/>
        <v>0.74848999999999999</v>
      </c>
      <c r="E59" s="11">
        <f t="shared" si="3"/>
        <v>5.6971764061724404E-2</v>
      </c>
      <c r="F59" s="11"/>
      <c r="G59" s="11"/>
      <c r="H59" s="15">
        <f t="shared" si="4"/>
        <v>3.9047197121543282E-3</v>
      </c>
    </row>
    <row r="60" spans="2:8">
      <c r="B60" s="9">
        <f t="shared" si="2"/>
        <v>97</v>
      </c>
      <c r="C60" s="11">
        <f t="shared" si="0"/>
        <v>0.26881500000000003</v>
      </c>
      <c r="D60" s="11">
        <f t="shared" si="1"/>
        <v>0.73118499999999997</v>
      </c>
      <c r="E60" s="11">
        <f t="shared" si="3"/>
        <v>4.2642795682560096E-2</v>
      </c>
      <c r="F60" s="11"/>
      <c r="G60" s="11"/>
      <c r="H60" s="15">
        <f t="shared" si="4"/>
        <v>2.7572109975003696E-3</v>
      </c>
    </row>
    <row r="61" spans="2:8">
      <c r="B61" s="9">
        <f t="shared" si="2"/>
        <v>98</v>
      </c>
      <c r="C61" s="11">
        <f t="shared" si="0"/>
        <v>0.285277</v>
      </c>
      <c r="D61" s="11">
        <f t="shared" si="1"/>
        <v>0.714723</v>
      </c>
      <c r="E61" s="11">
        <f t="shared" si="3"/>
        <v>3.1179772561152702E-2</v>
      </c>
      <c r="F61" s="11"/>
      <c r="G61" s="11"/>
      <c r="H61" s="15">
        <f t="shared" si="4"/>
        <v>1.901916342648404E-3</v>
      </c>
    </row>
    <row r="62" spans="2:8">
      <c r="B62" s="9">
        <f t="shared" si="2"/>
        <v>99</v>
      </c>
      <c r="C62" s="11">
        <f t="shared" si="0"/>
        <v>0.30129800000000001</v>
      </c>
      <c r="D62" s="11">
        <f t="shared" si="1"/>
        <v>0.69870199999999993</v>
      </c>
      <c r="E62" s="11">
        <f t="shared" si="3"/>
        <v>2.2284900584224741E-2</v>
      </c>
      <c r="F62" s="11"/>
      <c r="G62" s="11"/>
      <c r="H62" s="15">
        <f t="shared" si="4"/>
        <v>1.2823993907232971E-3</v>
      </c>
    </row>
    <row r="63" spans="2:8">
      <c r="B63" s="9">
        <f t="shared" si="2"/>
        <v>100</v>
      </c>
      <c r="C63" s="11">
        <f t="shared" si="0"/>
        <v>0.31723800000000002</v>
      </c>
      <c r="D63" s="11">
        <f t="shared" si="1"/>
        <v>0.68276199999999998</v>
      </c>
      <c r="E63" s="11">
        <f t="shared" si="3"/>
        <v>1.5570504607998994E-2</v>
      </c>
      <c r="F63" s="11"/>
      <c r="G63" s="11"/>
      <c r="H63" s="15">
        <f t="shared" si="4"/>
        <v>8.4529718782749917E-4</v>
      </c>
    </row>
    <row r="64" spans="2:8">
      <c r="B64" s="9">
        <f t="shared" si="2"/>
        <v>101</v>
      </c>
      <c r="C64" s="11">
        <f t="shared" si="0"/>
        <v>0.33346100000000001</v>
      </c>
      <c r="D64" s="11">
        <f t="shared" si="1"/>
        <v>0.66653899999999999</v>
      </c>
      <c r="E64" s="11">
        <f t="shared" si="3"/>
        <v>1.0630948867166609E-2</v>
      </c>
      <c r="F64" s="11"/>
      <c r="G64" s="11"/>
      <c r="H64" s="15">
        <f t="shared" si="4"/>
        <v>5.4446867788252734E-4</v>
      </c>
    </row>
    <row r="65" spans="2:8">
      <c r="B65" s="9">
        <f t="shared" si="2"/>
        <v>102</v>
      </c>
      <c r="C65" s="11">
        <f t="shared" si="0"/>
        <v>0.35032999999999997</v>
      </c>
      <c r="D65" s="11">
        <f t="shared" si="1"/>
        <v>0.64966999999999997</v>
      </c>
      <c r="E65" s="11">
        <f t="shared" si="3"/>
        <v>7.085942026972364E-3</v>
      </c>
      <c r="F65" s="11"/>
      <c r="G65" s="11"/>
      <c r="H65" s="15">
        <f t="shared" si="4"/>
        <v>3.4236755479919042E-4</v>
      </c>
    </row>
    <row r="66" spans="2:8">
      <c r="B66" s="9">
        <f t="shared" si="2"/>
        <v>103</v>
      </c>
      <c r="C66" s="11">
        <f t="shared" si="0"/>
        <v>0.36854199999999998</v>
      </c>
      <c r="D66" s="11">
        <f t="shared" si="1"/>
        <v>0.63145800000000007</v>
      </c>
      <c r="E66" s="11">
        <f t="shared" si="3"/>
        <v>4.6035239566631359E-3</v>
      </c>
      <c r="F66" s="11"/>
      <c r="G66" s="11"/>
      <c r="H66" s="15">
        <f t="shared" si="4"/>
        <v>2.098357823833868E-4</v>
      </c>
    </row>
    <row r="67" spans="2:8">
      <c r="B67" s="9">
        <f t="shared" si="2"/>
        <v>104</v>
      </c>
      <c r="C67" s="11">
        <f t="shared" si="0"/>
        <v>0.38785500000000001</v>
      </c>
      <c r="D67" s="11">
        <f t="shared" si="1"/>
        <v>0.61214499999999994</v>
      </c>
      <c r="E67" s="11">
        <f t="shared" si="3"/>
        <v>2.9069320306265908E-3</v>
      </c>
      <c r="F67" s="11"/>
      <c r="G67" s="11"/>
      <c r="H67" s="15">
        <f t="shared" si="4"/>
        <v>1.250023428983478E-4</v>
      </c>
    </row>
    <row r="68" spans="2:8">
      <c r="B68" s="9">
        <f t="shared" si="2"/>
        <v>105</v>
      </c>
      <c r="C68" s="11">
        <f t="shared" si="0"/>
        <v>0.40722399999999997</v>
      </c>
      <c r="D68" s="11">
        <f t="shared" si="1"/>
        <v>0.59277599999999997</v>
      </c>
      <c r="E68" s="11">
        <f t="shared" si="3"/>
        <v>1.7794639078879142E-3</v>
      </c>
      <c r="F68" s="11"/>
      <c r="G68" s="11"/>
      <c r="H68" s="15">
        <f t="shared" si="4"/>
        <v>7.2188263390102908E-5</v>
      </c>
    </row>
    <row r="69" spans="2:8">
      <c r="B69" s="9">
        <f t="shared" si="2"/>
        <v>106</v>
      </c>
      <c r="C69" s="11">
        <f t="shared" si="0"/>
        <v>0.42559900000000001</v>
      </c>
      <c r="D69" s="11">
        <f t="shared" si="1"/>
        <v>0.57440099999999994</v>
      </c>
      <c r="E69" s="11">
        <f t="shared" si="3"/>
        <v>1.0548234974621662E-3</v>
      </c>
      <c r="F69" s="11"/>
      <c r="G69" s="11"/>
      <c r="H69" s="15">
        <f t="shared" si="4"/>
        <v>4.036931133899213E-5</v>
      </c>
    </row>
    <row r="70" spans="2:8">
      <c r="B70" s="9">
        <f t="shared" si="2"/>
        <v>107</v>
      </c>
      <c r="C70" s="11">
        <f t="shared" si="0"/>
        <v>0.44193500000000002</v>
      </c>
      <c r="D70" s="11">
        <f t="shared" si="1"/>
        <v>0.55806500000000003</v>
      </c>
      <c r="E70" s="11">
        <f t="shared" si="3"/>
        <v>6.0589167176576563E-4</v>
      </c>
      <c r="F70" s="11"/>
      <c r="G70" s="11"/>
      <c r="H70" s="15">
        <f t="shared" si="4"/>
        <v>2.1875634719272089E-5</v>
      </c>
    </row>
    <row r="71" spans="2:8">
      <c r="B71" s="9">
        <f t="shared" si="2"/>
        <v>108</v>
      </c>
      <c r="C71" s="11">
        <f t="shared" si="0"/>
        <v>0.45755299999999999</v>
      </c>
      <c r="D71" s="11">
        <f t="shared" si="1"/>
        <v>0.54244700000000001</v>
      </c>
      <c r="E71" s="11">
        <f t="shared" si="3"/>
        <v>3.38126935803962E-4</v>
      </c>
      <c r="F71" s="11"/>
      <c r="G71" s="11"/>
      <c r="H71" s="15">
        <f t="shared" si="4"/>
        <v>1.1517005744915641E-5</v>
      </c>
    </row>
    <row r="72" spans="2:8">
      <c r="B72" s="9">
        <f t="shared" si="2"/>
        <v>109</v>
      </c>
      <c r="C72" s="11">
        <f t="shared" si="0"/>
        <v>0.47315000000000002</v>
      </c>
      <c r="D72" s="11">
        <f t="shared" si="1"/>
        <v>0.52685000000000004</v>
      </c>
      <c r="E72" s="11">
        <f t="shared" si="3"/>
        <v>1.8341594194605179E-4</v>
      </c>
      <c r="F72" s="11"/>
      <c r="G72" s="11"/>
      <c r="H72" s="15">
        <f t="shared" si="4"/>
        <v>5.8937407691625024E-6</v>
      </c>
    </row>
    <row r="73" spans="2:8">
      <c r="B73" s="9">
        <f t="shared" si="2"/>
        <v>110</v>
      </c>
      <c r="C73" s="11">
        <f t="shared" si="0"/>
        <v>0.48674499999999998</v>
      </c>
      <c r="D73" s="11">
        <f t="shared" si="1"/>
        <v>0.51325500000000002</v>
      </c>
      <c r="E73" s="11">
        <f t="shared" si="3"/>
        <v>9.6632689014277388E-5</v>
      </c>
      <c r="F73" s="11"/>
      <c r="G73" s="11"/>
      <c r="H73" s="15">
        <f t="shared" si="4"/>
        <v>2.929355966257797E-6</v>
      </c>
    </row>
    <row r="74" spans="2:8">
      <c r="B74" s="9">
        <f t="shared" si="2"/>
        <v>111</v>
      </c>
      <c r="C74" s="11">
        <f t="shared" si="0"/>
        <v>0.49635600000000002</v>
      </c>
      <c r="D74" s="11">
        <f t="shared" si="1"/>
        <v>0.50364399999999998</v>
      </c>
      <c r="E74" s="11">
        <f t="shared" si="3"/>
        <v>4.9597210800022945E-5</v>
      </c>
      <c r="F74" s="11"/>
      <c r="G74" s="11"/>
      <c r="H74" s="15">
        <f t="shared" si="4"/>
        <v>1.4184024494921182E-6</v>
      </c>
    </row>
    <row r="75" spans="2:8">
      <c r="B75" s="9">
        <f t="shared" si="2"/>
        <v>112</v>
      </c>
      <c r="C75" s="11">
        <f t="shared" si="0"/>
        <v>0.5</v>
      </c>
      <c r="D75" s="11">
        <f t="shared" si="1"/>
        <v>0.5</v>
      </c>
      <c r="E75" s="11">
        <f t="shared" si="3"/>
        <v>2.4979337636166756E-5</v>
      </c>
      <c r="F75" s="11"/>
      <c r="G75" s="11"/>
      <c r="H75" s="15">
        <f t="shared" si="4"/>
        <v>6.7393385214340416E-7</v>
      </c>
    </row>
    <row r="76" spans="2:8">
      <c r="B76" s="9">
        <f t="shared" si="2"/>
        <v>113</v>
      </c>
      <c r="C76" s="11">
        <f t="shared" si="0"/>
        <v>0.5</v>
      </c>
      <c r="D76" s="11">
        <f t="shared" si="1"/>
        <v>0.5</v>
      </c>
      <c r="E76" s="11">
        <f t="shared" si="3"/>
        <v>1.2489668818083378E-5</v>
      </c>
      <c r="F76" s="11"/>
      <c r="G76" s="11"/>
      <c r="H76" s="15">
        <f t="shared" si="4"/>
        <v>3.1789332648273773E-7</v>
      </c>
    </row>
    <row r="77" spans="2:8">
      <c r="B77" s="9">
        <f t="shared" si="2"/>
        <v>114</v>
      </c>
      <c r="C77" s="11">
        <f t="shared" si="0"/>
        <v>0.5</v>
      </c>
      <c r="D77" s="11">
        <f t="shared" si="1"/>
        <v>0.5</v>
      </c>
      <c r="E77" s="11">
        <f t="shared" si="3"/>
        <v>6.244834409041689E-6</v>
      </c>
      <c r="F77" s="11"/>
      <c r="G77" s="11"/>
      <c r="H77" s="15">
        <f t="shared" si="4"/>
        <v>1.4994968230317824E-7</v>
      </c>
    </row>
    <row r="78" spans="2:8">
      <c r="B78" s="9">
        <f t="shared" si="2"/>
        <v>115</v>
      </c>
      <c r="C78" s="11">
        <f t="shared" ref="C78:C137" si="5">IF(B78="","",VLOOKUP(B78,QxTable,2))</f>
        <v>0.5</v>
      </c>
      <c r="D78" s="11">
        <f t="shared" ref="D78:D137" si="6">IF(B78="","",1-C78)</f>
        <v>0.5</v>
      </c>
      <c r="E78" s="11">
        <f t="shared" si="3"/>
        <v>3.1224172045208445E-6</v>
      </c>
      <c r="F78" s="11"/>
      <c r="G78" s="11"/>
      <c r="H78" s="15">
        <f t="shared" si="4"/>
        <v>7.0730982218480291E-8</v>
      </c>
    </row>
    <row r="79" spans="2:8">
      <c r="B79" s="9">
        <f t="shared" ref="B79:B137" si="7">IF(B78&gt;=120,"",B78+1)</f>
        <v>116</v>
      </c>
      <c r="C79" s="11">
        <f t="shared" si="5"/>
        <v>0.5</v>
      </c>
      <c r="D79" s="11">
        <f t="shared" si="6"/>
        <v>0.5</v>
      </c>
      <c r="E79" s="11">
        <f t="shared" ref="E79:E137" si="8">IF(B79="","",E78*D78)</f>
        <v>1.5612086022604222E-6</v>
      </c>
      <c r="F79" s="11"/>
      <c r="G79" s="11"/>
      <c r="H79" s="15">
        <f t="shared" ref="H79:H137" si="9">IF(B79="","",$E79*(1+$H$5)^($B$13-B79))</f>
        <v>3.3363670857773723E-8</v>
      </c>
    </row>
    <row r="80" spans="2:8">
      <c r="B80" s="9">
        <f t="shared" si="7"/>
        <v>117</v>
      </c>
      <c r="C80" s="11">
        <f t="shared" si="5"/>
        <v>0.5</v>
      </c>
      <c r="D80" s="11">
        <f t="shared" si="6"/>
        <v>0.5</v>
      </c>
      <c r="E80" s="11">
        <f t="shared" si="8"/>
        <v>7.8060430113021112E-7</v>
      </c>
      <c r="F80" s="11"/>
      <c r="G80" s="11"/>
      <c r="H80" s="15">
        <f t="shared" si="9"/>
        <v>1.5737580593289488E-8</v>
      </c>
    </row>
    <row r="81" spans="2:8">
      <c r="B81" s="9">
        <f t="shared" si="7"/>
        <v>118</v>
      </c>
      <c r="C81" s="11">
        <f t="shared" si="5"/>
        <v>0.5</v>
      </c>
      <c r="D81" s="11">
        <f t="shared" si="6"/>
        <v>0.5</v>
      </c>
      <c r="E81" s="11">
        <f t="shared" si="8"/>
        <v>3.9030215056510556E-7</v>
      </c>
      <c r="F81" s="11"/>
      <c r="G81" s="11"/>
      <c r="H81" s="15">
        <f t="shared" si="9"/>
        <v>7.4233870723063619E-9</v>
      </c>
    </row>
    <row r="82" spans="2:8">
      <c r="B82" s="9">
        <f t="shared" si="7"/>
        <v>119</v>
      </c>
      <c r="C82" s="11">
        <f t="shared" si="5"/>
        <v>0.5</v>
      </c>
      <c r="D82" s="11">
        <f t="shared" si="6"/>
        <v>0.5</v>
      </c>
      <c r="E82" s="11">
        <f t="shared" si="8"/>
        <v>1.9515107528255278E-7</v>
      </c>
      <c r="F82" s="11"/>
      <c r="G82" s="11"/>
      <c r="H82" s="15">
        <f t="shared" si="9"/>
        <v>3.5015976756162083E-9</v>
      </c>
    </row>
    <row r="83" spans="2:8">
      <c r="B83" s="9">
        <f t="shared" si="7"/>
        <v>120</v>
      </c>
      <c r="C83" s="11">
        <f t="shared" si="5"/>
        <v>1</v>
      </c>
      <c r="D83" s="11">
        <f t="shared" si="6"/>
        <v>0</v>
      </c>
      <c r="E83" s="11">
        <f t="shared" si="8"/>
        <v>9.757553764127639E-8</v>
      </c>
      <c r="F83" s="11"/>
      <c r="G83" s="11"/>
      <c r="H83" s="15">
        <f t="shared" si="9"/>
        <v>1.6516970168000983E-9</v>
      </c>
    </row>
    <row r="84" spans="2:8">
      <c r="B84" s="9" t="str">
        <f t="shared" si="7"/>
        <v/>
      </c>
      <c r="C84" s="11" t="str">
        <f t="shared" si="5"/>
        <v/>
      </c>
      <c r="D84" s="11" t="str">
        <f t="shared" si="6"/>
        <v/>
      </c>
      <c r="E84" s="11" t="str">
        <f t="shared" si="8"/>
        <v/>
      </c>
      <c r="F84" s="11"/>
      <c r="G84" s="11"/>
      <c r="H84" s="15" t="str">
        <f t="shared" si="9"/>
        <v/>
      </c>
    </row>
    <row r="85" spans="2:8">
      <c r="B85" s="9" t="str">
        <f t="shared" si="7"/>
        <v/>
      </c>
      <c r="C85" s="11" t="str">
        <f t="shared" si="5"/>
        <v/>
      </c>
      <c r="D85" s="11" t="str">
        <f t="shared" si="6"/>
        <v/>
      </c>
      <c r="E85" s="11" t="str">
        <f t="shared" si="8"/>
        <v/>
      </c>
      <c r="F85" s="11"/>
      <c r="G85" s="11"/>
      <c r="H85" s="15" t="str">
        <f t="shared" si="9"/>
        <v/>
      </c>
    </row>
    <row r="86" spans="2:8">
      <c r="B86" s="9" t="str">
        <f t="shared" si="7"/>
        <v/>
      </c>
      <c r="C86" s="11" t="str">
        <f t="shared" si="5"/>
        <v/>
      </c>
      <c r="D86" s="11" t="str">
        <f t="shared" si="6"/>
        <v/>
      </c>
      <c r="E86" s="11" t="str">
        <f t="shared" si="8"/>
        <v/>
      </c>
      <c r="F86" s="11"/>
      <c r="G86" s="11"/>
      <c r="H86" s="15" t="str">
        <f t="shared" si="9"/>
        <v/>
      </c>
    </row>
    <row r="87" spans="2:8">
      <c r="B87" s="9" t="str">
        <f t="shared" si="7"/>
        <v/>
      </c>
      <c r="C87" s="11" t="str">
        <f t="shared" si="5"/>
        <v/>
      </c>
      <c r="D87" s="11" t="str">
        <f t="shared" si="6"/>
        <v/>
      </c>
      <c r="E87" s="11" t="str">
        <f t="shared" si="8"/>
        <v/>
      </c>
      <c r="F87" s="11"/>
      <c r="G87" s="11"/>
      <c r="H87" s="15" t="str">
        <f t="shared" si="9"/>
        <v/>
      </c>
    </row>
    <row r="88" spans="2:8">
      <c r="B88" s="9" t="str">
        <f t="shared" si="7"/>
        <v/>
      </c>
      <c r="C88" s="11" t="str">
        <f t="shared" si="5"/>
        <v/>
      </c>
      <c r="D88" s="11" t="str">
        <f t="shared" si="6"/>
        <v/>
      </c>
      <c r="E88" s="11" t="str">
        <f t="shared" si="8"/>
        <v/>
      </c>
      <c r="F88" s="11"/>
      <c r="G88" s="11"/>
      <c r="H88" s="15" t="str">
        <f t="shared" si="9"/>
        <v/>
      </c>
    </row>
    <row r="89" spans="2:8">
      <c r="B89" s="9" t="str">
        <f t="shared" si="7"/>
        <v/>
      </c>
      <c r="C89" s="11" t="str">
        <f t="shared" si="5"/>
        <v/>
      </c>
      <c r="D89" s="11" t="str">
        <f t="shared" si="6"/>
        <v/>
      </c>
      <c r="E89" s="11" t="str">
        <f t="shared" si="8"/>
        <v/>
      </c>
      <c r="F89" s="11"/>
      <c r="G89" s="11"/>
      <c r="H89" s="15" t="str">
        <f t="shared" si="9"/>
        <v/>
      </c>
    </row>
    <row r="90" spans="2:8">
      <c r="B90" s="9" t="str">
        <f t="shared" si="7"/>
        <v/>
      </c>
      <c r="C90" s="11" t="str">
        <f t="shared" si="5"/>
        <v/>
      </c>
      <c r="D90" s="11" t="str">
        <f t="shared" si="6"/>
        <v/>
      </c>
      <c r="E90" s="11" t="str">
        <f t="shared" si="8"/>
        <v/>
      </c>
      <c r="F90" s="11"/>
      <c r="G90" s="11"/>
      <c r="H90" s="15" t="str">
        <f t="shared" si="9"/>
        <v/>
      </c>
    </row>
    <row r="91" spans="2:8">
      <c r="B91" s="9" t="str">
        <f t="shared" si="7"/>
        <v/>
      </c>
      <c r="C91" s="11" t="str">
        <f t="shared" si="5"/>
        <v/>
      </c>
      <c r="D91" s="11" t="str">
        <f t="shared" si="6"/>
        <v/>
      </c>
      <c r="E91" s="11" t="str">
        <f t="shared" si="8"/>
        <v/>
      </c>
      <c r="F91" s="11"/>
      <c r="G91" s="11"/>
      <c r="H91" s="15" t="str">
        <f t="shared" si="9"/>
        <v/>
      </c>
    </row>
    <row r="92" spans="2:8">
      <c r="B92" s="9" t="str">
        <f t="shared" si="7"/>
        <v/>
      </c>
      <c r="C92" s="11" t="str">
        <f t="shared" si="5"/>
        <v/>
      </c>
      <c r="D92" s="11" t="str">
        <f t="shared" si="6"/>
        <v/>
      </c>
      <c r="E92" s="11" t="str">
        <f t="shared" si="8"/>
        <v/>
      </c>
      <c r="F92" s="11"/>
      <c r="G92" s="11"/>
      <c r="H92" s="15" t="str">
        <f t="shared" si="9"/>
        <v/>
      </c>
    </row>
    <row r="93" spans="2:8">
      <c r="B93" s="9" t="str">
        <f t="shared" si="7"/>
        <v/>
      </c>
      <c r="C93" s="11" t="str">
        <f t="shared" si="5"/>
        <v/>
      </c>
      <c r="D93" s="11" t="str">
        <f t="shared" si="6"/>
        <v/>
      </c>
      <c r="E93" s="11" t="str">
        <f t="shared" si="8"/>
        <v/>
      </c>
      <c r="F93" s="11"/>
      <c r="G93" s="11"/>
      <c r="H93" s="15" t="str">
        <f t="shared" si="9"/>
        <v/>
      </c>
    </row>
    <row r="94" spans="2:8">
      <c r="B94" s="9" t="str">
        <f t="shared" si="7"/>
        <v/>
      </c>
      <c r="C94" s="11" t="str">
        <f t="shared" si="5"/>
        <v/>
      </c>
      <c r="D94" s="11" t="str">
        <f t="shared" si="6"/>
        <v/>
      </c>
      <c r="E94" s="11" t="str">
        <f t="shared" si="8"/>
        <v/>
      </c>
      <c r="F94" s="11"/>
      <c r="G94" s="11"/>
      <c r="H94" s="15" t="str">
        <f t="shared" si="9"/>
        <v/>
      </c>
    </row>
    <row r="95" spans="2:8">
      <c r="B95" s="9" t="str">
        <f t="shared" si="7"/>
        <v/>
      </c>
      <c r="C95" s="11" t="str">
        <f t="shared" si="5"/>
        <v/>
      </c>
      <c r="D95" s="11" t="str">
        <f t="shared" si="6"/>
        <v/>
      </c>
      <c r="E95" s="11" t="str">
        <f t="shared" si="8"/>
        <v/>
      </c>
      <c r="F95" s="11"/>
      <c r="G95" s="11"/>
      <c r="H95" s="15" t="str">
        <f t="shared" si="9"/>
        <v/>
      </c>
    </row>
    <row r="96" spans="2:8">
      <c r="B96" s="9" t="str">
        <f t="shared" si="7"/>
        <v/>
      </c>
      <c r="C96" s="11" t="str">
        <f t="shared" si="5"/>
        <v/>
      </c>
      <c r="D96" s="11" t="str">
        <f t="shared" si="6"/>
        <v/>
      </c>
      <c r="E96" s="11" t="str">
        <f t="shared" si="8"/>
        <v/>
      </c>
      <c r="F96" s="11"/>
      <c r="G96" s="11"/>
      <c r="H96" s="15" t="str">
        <f t="shared" si="9"/>
        <v/>
      </c>
    </row>
    <row r="97" spans="2:8">
      <c r="B97" s="9" t="str">
        <f t="shared" si="7"/>
        <v/>
      </c>
      <c r="C97" s="11" t="str">
        <f t="shared" si="5"/>
        <v/>
      </c>
      <c r="D97" s="11" t="str">
        <f t="shared" si="6"/>
        <v/>
      </c>
      <c r="E97" s="11" t="str">
        <f t="shared" si="8"/>
        <v/>
      </c>
      <c r="F97" s="11"/>
      <c r="G97" s="11"/>
      <c r="H97" s="15" t="str">
        <f t="shared" si="9"/>
        <v/>
      </c>
    </row>
    <row r="98" spans="2:8">
      <c r="B98" s="9" t="str">
        <f t="shared" si="7"/>
        <v/>
      </c>
      <c r="C98" s="11" t="str">
        <f t="shared" si="5"/>
        <v/>
      </c>
      <c r="D98" s="11" t="str">
        <f t="shared" si="6"/>
        <v/>
      </c>
      <c r="E98" s="11" t="str">
        <f t="shared" si="8"/>
        <v/>
      </c>
      <c r="F98" s="11"/>
      <c r="G98" s="11"/>
      <c r="H98" s="15" t="str">
        <f t="shared" si="9"/>
        <v/>
      </c>
    </row>
    <row r="99" spans="2:8">
      <c r="B99" s="9" t="str">
        <f t="shared" si="7"/>
        <v/>
      </c>
      <c r="C99" s="11" t="str">
        <f t="shared" si="5"/>
        <v/>
      </c>
      <c r="D99" s="11" t="str">
        <f t="shared" si="6"/>
        <v/>
      </c>
      <c r="E99" s="11" t="str">
        <f t="shared" si="8"/>
        <v/>
      </c>
      <c r="F99" s="11"/>
      <c r="G99" s="11"/>
      <c r="H99" s="15" t="str">
        <f t="shared" si="9"/>
        <v/>
      </c>
    </row>
    <row r="100" spans="2:8">
      <c r="B100" s="9" t="str">
        <f t="shared" si="7"/>
        <v/>
      </c>
      <c r="C100" s="11" t="str">
        <f t="shared" si="5"/>
        <v/>
      </c>
      <c r="D100" s="11" t="str">
        <f t="shared" si="6"/>
        <v/>
      </c>
      <c r="E100" s="11" t="str">
        <f t="shared" si="8"/>
        <v/>
      </c>
      <c r="F100" s="11"/>
      <c r="G100" s="11"/>
      <c r="H100" s="15" t="str">
        <f t="shared" si="9"/>
        <v/>
      </c>
    </row>
    <row r="101" spans="2:8">
      <c r="B101" s="9" t="str">
        <f t="shared" si="7"/>
        <v/>
      </c>
      <c r="C101" s="11" t="str">
        <f t="shared" si="5"/>
        <v/>
      </c>
      <c r="D101" s="11" t="str">
        <f t="shared" si="6"/>
        <v/>
      </c>
      <c r="E101" s="11" t="str">
        <f t="shared" si="8"/>
        <v/>
      </c>
      <c r="F101" s="11"/>
      <c r="G101" s="11"/>
      <c r="H101" s="15" t="str">
        <f t="shared" si="9"/>
        <v/>
      </c>
    </row>
    <row r="102" spans="2:8">
      <c r="B102" s="9" t="str">
        <f t="shared" si="7"/>
        <v/>
      </c>
      <c r="C102" s="11" t="str">
        <f t="shared" si="5"/>
        <v/>
      </c>
      <c r="D102" s="11" t="str">
        <f t="shared" si="6"/>
        <v/>
      </c>
      <c r="E102" s="11" t="str">
        <f t="shared" si="8"/>
        <v/>
      </c>
      <c r="F102" s="11"/>
      <c r="G102" s="11"/>
      <c r="H102" s="15" t="str">
        <f t="shared" si="9"/>
        <v/>
      </c>
    </row>
    <row r="103" spans="2:8">
      <c r="B103" s="9" t="str">
        <f t="shared" si="7"/>
        <v/>
      </c>
      <c r="C103" s="11" t="str">
        <f t="shared" si="5"/>
        <v/>
      </c>
      <c r="D103" s="11" t="str">
        <f t="shared" si="6"/>
        <v/>
      </c>
      <c r="E103" s="11" t="str">
        <f t="shared" si="8"/>
        <v/>
      </c>
      <c r="F103" s="11"/>
      <c r="G103" s="11"/>
      <c r="H103" s="15" t="str">
        <f t="shared" si="9"/>
        <v/>
      </c>
    </row>
    <row r="104" spans="2:8">
      <c r="B104" s="9" t="str">
        <f t="shared" si="7"/>
        <v/>
      </c>
      <c r="C104" s="11" t="str">
        <f t="shared" si="5"/>
        <v/>
      </c>
      <c r="D104" s="11" t="str">
        <f t="shared" si="6"/>
        <v/>
      </c>
      <c r="E104" s="11" t="str">
        <f t="shared" si="8"/>
        <v/>
      </c>
      <c r="F104" s="11"/>
      <c r="G104" s="11"/>
      <c r="H104" s="15" t="str">
        <f t="shared" si="9"/>
        <v/>
      </c>
    </row>
    <row r="105" spans="2:8">
      <c r="B105" s="9" t="str">
        <f t="shared" si="7"/>
        <v/>
      </c>
      <c r="C105" s="11" t="str">
        <f t="shared" si="5"/>
        <v/>
      </c>
      <c r="D105" s="11" t="str">
        <f t="shared" si="6"/>
        <v/>
      </c>
      <c r="E105" s="11" t="str">
        <f t="shared" si="8"/>
        <v/>
      </c>
      <c r="F105" s="11"/>
      <c r="G105" s="11"/>
      <c r="H105" s="15" t="str">
        <f t="shared" si="9"/>
        <v/>
      </c>
    </row>
    <row r="106" spans="2:8">
      <c r="B106" s="9" t="str">
        <f t="shared" si="7"/>
        <v/>
      </c>
      <c r="C106" s="11" t="str">
        <f t="shared" si="5"/>
        <v/>
      </c>
      <c r="D106" s="11" t="str">
        <f t="shared" si="6"/>
        <v/>
      </c>
      <c r="E106" s="11" t="str">
        <f t="shared" si="8"/>
        <v/>
      </c>
      <c r="F106" s="11"/>
      <c r="G106" s="11"/>
      <c r="H106" s="15" t="str">
        <f t="shared" si="9"/>
        <v/>
      </c>
    </row>
    <row r="107" spans="2:8">
      <c r="B107" s="9" t="str">
        <f t="shared" si="7"/>
        <v/>
      </c>
      <c r="C107" s="11" t="str">
        <f t="shared" si="5"/>
        <v/>
      </c>
      <c r="D107" s="11" t="str">
        <f t="shared" si="6"/>
        <v/>
      </c>
      <c r="E107" s="11" t="str">
        <f t="shared" si="8"/>
        <v/>
      </c>
      <c r="F107" s="11"/>
      <c r="G107" s="11"/>
      <c r="H107" s="15" t="str">
        <f t="shared" si="9"/>
        <v/>
      </c>
    </row>
    <row r="108" spans="2:8">
      <c r="B108" s="9" t="str">
        <f t="shared" si="7"/>
        <v/>
      </c>
      <c r="C108" s="11" t="str">
        <f t="shared" si="5"/>
        <v/>
      </c>
      <c r="D108" s="11" t="str">
        <f t="shared" si="6"/>
        <v/>
      </c>
      <c r="E108" s="11" t="str">
        <f t="shared" si="8"/>
        <v/>
      </c>
      <c r="F108" s="11"/>
      <c r="G108" s="11"/>
      <c r="H108" s="15" t="str">
        <f t="shared" si="9"/>
        <v/>
      </c>
    </row>
    <row r="109" spans="2:8">
      <c r="B109" s="9" t="str">
        <f t="shared" si="7"/>
        <v/>
      </c>
      <c r="C109" s="11" t="str">
        <f t="shared" si="5"/>
        <v/>
      </c>
      <c r="D109" s="11" t="str">
        <f t="shared" si="6"/>
        <v/>
      </c>
      <c r="E109" s="11" t="str">
        <f t="shared" si="8"/>
        <v/>
      </c>
      <c r="F109" s="11"/>
      <c r="G109" s="11"/>
      <c r="H109" s="15" t="str">
        <f t="shared" si="9"/>
        <v/>
      </c>
    </row>
    <row r="110" spans="2:8">
      <c r="B110" s="9" t="str">
        <f t="shared" si="7"/>
        <v/>
      </c>
      <c r="C110" s="11" t="str">
        <f t="shared" si="5"/>
        <v/>
      </c>
      <c r="D110" s="11" t="str">
        <f t="shared" si="6"/>
        <v/>
      </c>
      <c r="E110" s="11" t="str">
        <f t="shared" si="8"/>
        <v/>
      </c>
      <c r="F110" s="11"/>
      <c r="G110" s="11"/>
      <c r="H110" s="15" t="str">
        <f t="shared" si="9"/>
        <v/>
      </c>
    </row>
    <row r="111" spans="2:8">
      <c r="B111" s="9" t="str">
        <f t="shared" si="7"/>
        <v/>
      </c>
      <c r="C111" s="11" t="str">
        <f t="shared" si="5"/>
        <v/>
      </c>
      <c r="D111" s="11" t="str">
        <f t="shared" si="6"/>
        <v/>
      </c>
      <c r="E111" s="11" t="str">
        <f t="shared" si="8"/>
        <v/>
      </c>
      <c r="F111" s="11"/>
      <c r="G111" s="11"/>
      <c r="H111" s="15" t="str">
        <f t="shared" si="9"/>
        <v/>
      </c>
    </row>
    <row r="112" spans="2:8">
      <c r="B112" s="9" t="str">
        <f t="shared" si="7"/>
        <v/>
      </c>
      <c r="C112" s="11" t="str">
        <f t="shared" si="5"/>
        <v/>
      </c>
      <c r="D112" s="11" t="str">
        <f t="shared" si="6"/>
        <v/>
      </c>
      <c r="E112" s="11" t="str">
        <f t="shared" si="8"/>
        <v/>
      </c>
      <c r="F112" s="11"/>
      <c r="G112" s="11"/>
      <c r="H112" s="15" t="str">
        <f t="shared" si="9"/>
        <v/>
      </c>
    </row>
    <row r="113" spans="2:8">
      <c r="B113" s="9" t="str">
        <f t="shared" si="7"/>
        <v/>
      </c>
      <c r="C113" s="11" t="str">
        <f t="shared" si="5"/>
        <v/>
      </c>
      <c r="D113" s="11" t="str">
        <f t="shared" si="6"/>
        <v/>
      </c>
      <c r="E113" s="11" t="str">
        <f t="shared" si="8"/>
        <v/>
      </c>
      <c r="F113" s="11"/>
      <c r="G113" s="11"/>
      <c r="H113" s="15" t="str">
        <f t="shared" si="9"/>
        <v/>
      </c>
    </row>
    <row r="114" spans="2:8">
      <c r="B114" s="9" t="str">
        <f t="shared" si="7"/>
        <v/>
      </c>
      <c r="C114" s="11" t="str">
        <f t="shared" si="5"/>
        <v/>
      </c>
      <c r="D114" s="11" t="str">
        <f t="shared" si="6"/>
        <v/>
      </c>
      <c r="E114" s="11" t="str">
        <f t="shared" si="8"/>
        <v/>
      </c>
      <c r="F114" s="11"/>
      <c r="G114" s="11"/>
      <c r="H114" s="15" t="str">
        <f t="shared" si="9"/>
        <v/>
      </c>
    </row>
    <row r="115" spans="2:8">
      <c r="B115" s="9" t="str">
        <f t="shared" si="7"/>
        <v/>
      </c>
      <c r="C115" s="11" t="str">
        <f t="shared" si="5"/>
        <v/>
      </c>
      <c r="D115" s="11" t="str">
        <f t="shared" si="6"/>
        <v/>
      </c>
      <c r="E115" s="11" t="str">
        <f t="shared" si="8"/>
        <v/>
      </c>
      <c r="F115" s="11"/>
      <c r="G115" s="11"/>
      <c r="H115" s="15" t="str">
        <f t="shared" si="9"/>
        <v/>
      </c>
    </row>
    <row r="116" spans="2:8">
      <c r="B116" s="9" t="str">
        <f t="shared" si="7"/>
        <v/>
      </c>
      <c r="C116" s="11" t="str">
        <f t="shared" si="5"/>
        <v/>
      </c>
      <c r="D116" s="11" t="str">
        <f t="shared" si="6"/>
        <v/>
      </c>
      <c r="E116" s="11" t="str">
        <f t="shared" si="8"/>
        <v/>
      </c>
      <c r="F116" s="11"/>
      <c r="G116" s="11"/>
      <c r="H116" s="15" t="str">
        <f t="shared" si="9"/>
        <v/>
      </c>
    </row>
    <row r="117" spans="2:8">
      <c r="B117" s="9" t="str">
        <f t="shared" si="7"/>
        <v/>
      </c>
      <c r="C117" s="11" t="str">
        <f t="shared" si="5"/>
        <v/>
      </c>
      <c r="D117" s="11" t="str">
        <f t="shared" si="6"/>
        <v/>
      </c>
      <c r="E117" s="11" t="str">
        <f t="shared" si="8"/>
        <v/>
      </c>
      <c r="F117" s="11"/>
      <c r="G117" s="11"/>
      <c r="H117" s="15" t="str">
        <f t="shared" si="9"/>
        <v/>
      </c>
    </row>
    <row r="118" spans="2:8">
      <c r="B118" s="9" t="str">
        <f t="shared" si="7"/>
        <v/>
      </c>
      <c r="C118" s="11" t="str">
        <f t="shared" si="5"/>
        <v/>
      </c>
      <c r="D118" s="11" t="str">
        <f t="shared" si="6"/>
        <v/>
      </c>
      <c r="E118" s="11" t="str">
        <f t="shared" si="8"/>
        <v/>
      </c>
      <c r="F118" s="11"/>
      <c r="G118" s="11"/>
      <c r="H118" s="15" t="str">
        <f t="shared" si="9"/>
        <v/>
      </c>
    </row>
    <row r="119" spans="2:8">
      <c r="B119" s="9" t="str">
        <f t="shared" si="7"/>
        <v/>
      </c>
      <c r="C119" s="11" t="str">
        <f t="shared" si="5"/>
        <v/>
      </c>
      <c r="D119" s="11" t="str">
        <f t="shared" si="6"/>
        <v/>
      </c>
      <c r="E119" s="11" t="str">
        <f t="shared" si="8"/>
        <v/>
      </c>
      <c r="F119" s="11"/>
      <c r="G119" s="11"/>
      <c r="H119" s="15" t="str">
        <f t="shared" si="9"/>
        <v/>
      </c>
    </row>
    <row r="120" spans="2:8">
      <c r="B120" s="9" t="str">
        <f t="shared" si="7"/>
        <v/>
      </c>
      <c r="C120" s="11" t="str">
        <f t="shared" si="5"/>
        <v/>
      </c>
      <c r="D120" s="11" t="str">
        <f t="shared" si="6"/>
        <v/>
      </c>
      <c r="E120" s="11" t="str">
        <f t="shared" si="8"/>
        <v/>
      </c>
      <c r="F120" s="11"/>
      <c r="G120" s="11"/>
      <c r="H120" s="15" t="str">
        <f t="shared" si="9"/>
        <v/>
      </c>
    </row>
    <row r="121" spans="2:8">
      <c r="B121" s="9" t="str">
        <f t="shared" si="7"/>
        <v/>
      </c>
      <c r="C121" s="11" t="str">
        <f t="shared" si="5"/>
        <v/>
      </c>
      <c r="D121" s="11" t="str">
        <f t="shared" si="6"/>
        <v/>
      </c>
      <c r="E121" s="11" t="str">
        <f t="shared" si="8"/>
        <v/>
      </c>
      <c r="F121" s="11"/>
      <c r="G121" s="11"/>
      <c r="H121" s="15" t="str">
        <f t="shared" si="9"/>
        <v/>
      </c>
    </row>
    <row r="122" spans="2:8">
      <c r="B122" s="9" t="str">
        <f t="shared" si="7"/>
        <v/>
      </c>
      <c r="C122" s="11" t="str">
        <f t="shared" si="5"/>
        <v/>
      </c>
      <c r="D122" s="11" t="str">
        <f t="shared" si="6"/>
        <v/>
      </c>
      <c r="E122" s="11" t="str">
        <f t="shared" si="8"/>
        <v/>
      </c>
      <c r="F122" s="11"/>
      <c r="G122" s="11"/>
      <c r="H122" s="15" t="str">
        <f t="shared" si="9"/>
        <v/>
      </c>
    </row>
    <row r="123" spans="2:8">
      <c r="B123" s="9" t="str">
        <f t="shared" si="7"/>
        <v/>
      </c>
      <c r="C123" s="11" t="str">
        <f t="shared" si="5"/>
        <v/>
      </c>
      <c r="D123" s="11" t="str">
        <f t="shared" si="6"/>
        <v/>
      </c>
      <c r="E123" s="11" t="str">
        <f t="shared" si="8"/>
        <v/>
      </c>
      <c r="F123" s="11"/>
      <c r="G123" s="11"/>
      <c r="H123" s="15" t="str">
        <f t="shared" si="9"/>
        <v/>
      </c>
    </row>
    <row r="124" spans="2:8">
      <c r="B124" s="9" t="str">
        <f t="shared" si="7"/>
        <v/>
      </c>
      <c r="C124" s="11" t="str">
        <f t="shared" si="5"/>
        <v/>
      </c>
      <c r="D124" s="11" t="str">
        <f t="shared" si="6"/>
        <v/>
      </c>
      <c r="E124" s="11" t="str">
        <f t="shared" si="8"/>
        <v/>
      </c>
      <c r="F124" s="11"/>
      <c r="G124" s="11"/>
      <c r="H124" s="15" t="str">
        <f t="shared" si="9"/>
        <v/>
      </c>
    </row>
    <row r="125" spans="2:8">
      <c r="B125" s="9" t="str">
        <f t="shared" si="7"/>
        <v/>
      </c>
      <c r="C125" s="11" t="str">
        <f t="shared" si="5"/>
        <v/>
      </c>
      <c r="D125" s="11" t="str">
        <f t="shared" si="6"/>
        <v/>
      </c>
      <c r="E125" s="11" t="str">
        <f t="shared" si="8"/>
        <v/>
      </c>
      <c r="F125" s="11"/>
      <c r="G125" s="11"/>
      <c r="H125" s="15" t="str">
        <f t="shared" si="9"/>
        <v/>
      </c>
    </row>
    <row r="126" spans="2:8">
      <c r="B126" s="9" t="str">
        <f t="shared" si="7"/>
        <v/>
      </c>
      <c r="C126" s="11" t="str">
        <f t="shared" si="5"/>
        <v/>
      </c>
      <c r="D126" s="11" t="str">
        <f t="shared" si="6"/>
        <v/>
      </c>
      <c r="E126" s="11" t="str">
        <f t="shared" si="8"/>
        <v/>
      </c>
      <c r="F126" s="11"/>
      <c r="G126" s="11"/>
      <c r="H126" s="15" t="str">
        <f t="shared" si="9"/>
        <v/>
      </c>
    </row>
    <row r="127" spans="2:8">
      <c r="B127" s="9" t="str">
        <f t="shared" si="7"/>
        <v/>
      </c>
      <c r="C127" s="11" t="str">
        <f t="shared" si="5"/>
        <v/>
      </c>
      <c r="D127" s="11" t="str">
        <f t="shared" si="6"/>
        <v/>
      </c>
      <c r="E127" s="11" t="str">
        <f t="shared" si="8"/>
        <v/>
      </c>
      <c r="F127" s="11"/>
      <c r="G127" s="11"/>
      <c r="H127" s="15" t="str">
        <f t="shared" si="9"/>
        <v/>
      </c>
    </row>
    <row r="128" spans="2:8">
      <c r="B128" s="9" t="str">
        <f t="shared" si="7"/>
        <v/>
      </c>
      <c r="C128" s="11" t="str">
        <f t="shared" si="5"/>
        <v/>
      </c>
      <c r="D128" s="11" t="str">
        <f t="shared" si="6"/>
        <v/>
      </c>
      <c r="E128" s="11" t="str">
        <f t="shared" si="8"/>
        <v/>
      </c>
      <c r="F128" s="11"/>
      <c r="G128" s="11"/>
      <c r="H128" s="15" t="str">
        <f t="shared" si="9"/>
        <v/>
      </c>
    </row>
    <row r="129" spans="2:8">
      <c r="B129" s="9" t="str">
        <f t="shared" si="7"/>
        <v/>
      </c>
      <c r="C129" s="11" t="str">
        <f t="shared" si="5"/>
        <v/>
      </c>
      <c r="D129" s="11" t="str">
        <f t="shared" si="6"/>
        <v/>
      </c>
      <c r="E129" s="11" t="str">
        <f t="shared" si="8"/>
        <v/>
      </c>
      <c r="F129" s="11"/>
      <c r="G129" s="11"/>
      <c r="H129" s="15" t="str">
        <f t="shared" si="9"/>
        <v/>
      </c>
    </row>
    <row r="130" spans="2:8">
      <c r="B130" s="9" t="str">
        <f t="shared" si="7"/>
        <v/>
      </c>
      <c r="C130" s="11" t="str">
        <f t="shared" si="5"/>
        <v/>
      </c>
      <c r="D130" s="11" t="str">
        <f t="shared" si="6"/>
        <v/>
      </c>
      <c r="E130" s="11" t="str">
        <f t="shared" si="8"/>
        <v/>
      </c>
      <c r="F130" s="11"/>
      <c r="G130" s="11"/>
      <c r="H130" s="15" t="str">
        <f t="shared" si="9"/>
        <v/>
      </c>
    </row>
    <row r="131" spans="2:8">
      <c r="B131" s="9" t="str">
        <f t="shared" si="7"/>
        <v/>
      </c>
      <c r="C131" s="11" t="str">
        <f t="shared" si="5"/>
        <v/>
      </c>
      <c r="D131" s="11" t="str">
        <f t="shared" si="6"/>
        <v/>
      </c>
      <c r="E131" s="11" t="str">
        <f t="shared" si="8"/>
        <v/>
      </c>
      <c r="F131" s="11"/>
      <c r="G131" s="11"/>
      <c r="H131" s="15" t="str">
        <f t="shared" si="9"/>
        <v/>
      </c>
    </row>
    <row r="132" spans="2:8">
      <c r="B132" s="9" t="str">
        <f t="shared" si="7"/>
        <v/>
      </c>
      <c r="C132" s="11" t="str">
        <f t="shared" si="5"/>
        <v/>
      </c>
      <c r="D132" s="11" t="str">
        <f t="shared" si="6"/>
        <v/>
      </c>
      <c r="E132" s="11" t="str">
        <f t="shared" si="8"/>
        <v/>
      </c>
      <c r="F132" s="11"/>
      <c r="G132" s="11"/>
      <c r="H132" s="15" t="str">
        <f t="shared" si="9"/>
        <v/>
      </c>
    </row>
    <row r="133" spans="2:8">
      <c r="B133" s="9" t="str">
        <f t="shared" si="7"/>
        <v/>
      </c>
      <c r="C133" s="11" t="str">
        <f t="shared" si="5"/>
        <v/>
      </c>
      <c r="D133" s="11" t="str">
        <f t="shared" si="6"/>
        <v/>
      </c>
      <c r="E133" s="11" t="str">
        <f t="shared" si="8"/>
        <v/>
      </c>
      <c r="F133" s="11"/>
      <c r="G133" s="11"/>
      <c r="H133" s="15" t="str">
        <f t="shared" si="9"/>
        <v/>
      </c>
    </row>
    <row r="134" spans="2:8">
      <c r="B134" s="9" t="str">
        <f t="shared" si="7"/>
        <v/>
      </c>
      <c r="C134" s="11" t="str">
        <f t="shared" si="5"/>
        <v/>
      </c>
      <c r="D134" s="11" t="str">
        <f t="shared" si="6"/>
        <v/>
      </c>
      <c r="E134" s="11" t="str">
        <f t="shared" si="8"/>
        <v/>
      </c>
      <c r="F134" s="11"/>
      <c r="G134" s="11"/>
      <c r="H134" s="15" t="str">
        <f t="shared" si="9"/>
        <v/>
      </c>
    </row>
    <row r="135" spans="2:8">
      <c r="B135" s="9" t="str">
        <f t="shared" si="7"/>
        <v/>
      </c>
      <c r="C135" s="11" t="str">
        <f t="shared" si="5"/>
        <v/>
      </c>
      <c r="D135" s="11" t="str">
        <f t="shared" si="6"/>
        <v/>
      </c>
      <c r="E135" s="11" t="str">
        <f t="shared" si="8"/>
        <v/>
      </c>
      <c r="F135" s="11"/>
      <c r="G135" s="11"/>
      <c r="H135" s="15" t="str">
        <f t="shared" si="9"/>
        <v/>
      </c>
    </row>
    <row r="136" spans="2:8">
      <c r="B136" s="9" t="str">
        <f t="shared" si="7"/>
        <v/>
      </c>
      <c r="C136" s="11" t="str">
        <f t="shared" si="5"/>
        <v/>
      </c>
      <c r="D136" s="11" t="str">
        <f t="shared" si="6"/>
        <v/>
      </c>
      <c r="E136" s="11" t="str">
        <f t="shared" si="8"/>
        <v/>
      </c>
      <c r="F136" s="11"/>
      <c r="G136" s="11"/>
      <c r="H136" s="15" t="str">
        <f t="shared" si="9"/>
        <v/>
      </c>
    </row>
    <row r="137" spans="2:8">
      <c r="B137" s="9" t="str">
        <f t="shared" si="7"/>
        <v/>
      </c>
      <c r="C137" s="11" t="str">
        <f t="shared" si="5"/>
        <v/>
      </c>
      <c r="D137" s="11" t="str">
        <f t="shared" si="6"/>
        <v/>
      </c>
      <c r="E137" s="11" t="str">
        <f t="shared" si="8"/>
        <v/>
      </c>
      <c r="F137" s="11"/>
      <c r="G137" s="11"/>
      <c r="H137" s="15" t="str">
        <f t="shared" si="9"/>
        <v/>
      </c>
    </row>
    <row r="138" spans="2:8">
      <c r="B138" s="9"/>
    </row>
  </sheetData>
  <mergeCells count="2">
    <mergeCell ref="B2:H2"/>
    <mergeCell ref="B11:H11"/>
  </mergeCells>
  <printOptions horizontalCentered="1"/>
  <pageMargins left="0.7" right="0.7" top="0.75" bottom="0.75" header="0.3" footer="0.3"/>
  <pageSetup scale="79" fitToHeight="3" orientation="portrait" r:id="rId1"/>
  <headerFooter>
    <oddFooter>&amp;L&amp;F
&amp;A
&amp;C&amp;P of &amp;N&amp;R&amp;D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759B-0A2E-47DF-8FD0-C66DF7F51EE5}">
  <sheetPr codeName="Sheet12">
    <pageSetUpPr fitToPage="1"/>
  </sheetPr>
  <dimension ref="B2:EC47"/>
  <sheetViews>
    <sheetView zoomScale="90" zoomScaleNormal="90" zoomScaleSheetLayoutView="100" workbookViewId="0">
      <selection activeCell="F18" sqref="F18"/>
    </sheetView>
  </sheetViews>
  <sheetFormatPr defaultColWidth="8.85546875" defaultRowHeight="12.75"/>
  <cols>
    <col min="1" max="1" width="1.28515625" style="1" customWidth="1"/>
    <col min="2" max="2" width="12.7109375" style="1" customWidth="1"/>
    <col min="3" max="3" width="19" style="1" bestFit="1" customWidth="1"/>
    <col min="4" max="5" width="15.28515625" style="1" customWidth="1"/>
    <col min="6" max="6" width="15" style="1" customWidth="1"/>
    <col min="7" max="7" width="13.85546875" style="1" customWidth="1"/>
    <col min="8" max="8" width="14.28515625" style="36" customWidth="1"/>
    <col min="9" max="9" width="10.7109375" style="36" customWidth="1"/>
    <col min="10" max="17" width="12.28515625" style="1" customWidth="1"/>
    <col min="18" max="18" width="25.42578125" style="1" customWidth="1"/>
    <col min="19" max="19" width="13.42578125" style="1" customWidth="1"/>
    <col min="20" max="20" width="19.140625" style="1" customWidth="1"/>
    <col min="21" max="21" width="12.42578125" style="1" customWidth="1"/>
    <col min="22" max="27" width="13.85546875" style="1" customWidth="1"/>
    <col min="28" max="30" width="8.85546875" style="1"/>
    <col min="31" max="31" width="11.28515625" style="1" customWidth="1"/>
    <col min="32" max="32" width="12.5703125" style="1" customWidth="1"/>
    <col min="33" max="33" width="26" style="1" customWidth="1"/>
    <col min="34" max="133" width="8.85546875" style="77"/>
    <col min="134" max="16384" width="8.85546875" style="1"/>
  </cols>
  <sheetData>
    <row r="2" spans="2:133" ht="15.75">
      <c r="B2" s="3" t="s">
        <v>6</v>
      </c>
      <c r="G2" s="4">
        <f ca="1">DATE(YEAR(TODAY()),-11,1)</f>
        <v>43466</v>
      </c>
    </row>
    <row r="3" spans="2:133" ht="13.5" thickBot="1"/>
    <row r="4" spans="2:133" s="76" customFormat="1" ht="142.5" customHeight="1" thickBot="1">
      <c r="B4" s="215" t="s">
        <v>0</v>
      </c>
      <c r="C4" s="215" t="s">
        <v>1</v>
      </c>
      <c r="D4" s="215" t="s">
        <v>7</v>
      </c>
      <c r="E4" s="215" t="s">
        <v>8</v>
      </c>
      <c r="F4" s="215" t="s">
        <v>2</v>
      </c>
      <c r="G4" s="215" t="s">
        <v>3</v>
      </c>
      <c r="H4" s="216" t="s">
        <v>11</v>
      </c>
      <c r="I4" s="216" t="s">
        <v>71</v>
      </c>
      <c r="J4" s="216" t="s">
        <v>76</v>
      </c>
      <c r="K4" s="216" t="s">
        <v>10</v>
      </c>
      <c r="L4" s="216" t="s">
        <v>88</v>
      </c>
      <c r="M4" s="216" t="s">
        <v>63</v>
      </c>
      <c r="N4" s="216" t="s">
        <v>64</v>
      </c>
      <c r="O4" s="216" t="s">
        <v>77</v>
      </c>
      <c r="P4" s="216" t="s">
        <v>65</v>
      </c>
      <c r="Q4" s="216" t="s">
        <v>66</v>
      </c>
      <c r="R4" s="216" t="s">
        <v>62</v>
      </c>
      <c r="S4" s="216" t="s">
        <v>68</v>
      </c>
      <c r="T4" s="216" t="s">
        <v>72</v>
      </c>
      <c r="U4" s="216" t="s">
        <v>75</v>
      </c>
      <c r="V4" s="216" t="s">
        <v>74</v>
      </c>
      <c r="W4" s="216" t="s">
        <v>73</v>
      </c>
      <c r="X4" s="216" t="s">
        <v>91</v>
      </c>
      <c r="Y4" s="216" t="s">
        <v>92</v>
      </c>
      <c r="Z4" s="216" t="s">
        <v>93</v>
      </c>
      <c r="AA4" s="216" t="s">
        <v>94</v>
      </c>
      <c r="AB4" s="216" t="s">
        <v>37</v>
      </c>
      <c r="AC4" s="216" t="s">
        <v>78</v>
      </c>
      <c r="AD4" s="216" t="s">
        <v>79</v>
      </c>
      <c r="AE4" s="216" t="s">
        <v>89</v>
      </c>
      <c r="AF4" s="216" t="s">
        <v>90</v>
      </c>
      <c r="AG4" s="215" t="s">
        <v>1</v>
      </c>
      <c r="AH4" s="77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3"/>
      <c r="BM4" s="213"/>
      <c r="BN4" s="213"/>
      <c r="BO4" s="213"/>
      <c r="BP4" s="213"/>
      <c r="BQ4" s="213"/>
      <c r="BR4" s="213"/>
      <c r="BS4" s="213"/>
      <c r="BT4" s="213"/>
      <c r="BU4" s="213"/>
      <c r="BV4" s="213"/>
      <c r="BW4" s="213"/>
      <c r="BX4" s="213"/>
      <c r="BY4" s="213"/>
      <c r="BZ4" s="213"/>
      <c r="CA4" s="213"/>
      <c r="CB4" s="213"/>
      <c r="CC4" s="213"/>
      <c r="CD4" s="213"/>
      <c r="CE4" s="213"/>
      <c r="CF4" s="213"/>
      <c r="CG4" s="213"/>
      <c r="CH4" s="213"/>
      <c r="CI4" s="213"/>
      <c r="CJ4" s="213"/>
      <c r="CK4" s="213"/>
      <c r="CL4" s="213"/>
      <c r="CM4" s="213"/>
      <c r="CN4" s="213"/>
      <c r="CO4" s="213"/>
      <c r="CP4" s="213"/>
      <c r="CQ4" s="213"/>
      <c r="CR4" s="213"/>
      <c r="CS4" s="213"/>
      <c r="CT4" s="213"/>
      <c r="CU4" s="213"/>
      <c r="CV4" s="213"/>
      <c r="CW4" s="213"/>
      <c r="CX4" s="213"/>
      <c r="CY4" s="213"/>
      <c r="CZ4" s="213"/>
      <c r="DA4" s="213"/>
      <c r="DB4" s="213"/>
      <c r="DC4" s="213"/>
      <c r="DD4" s="213"/>
      <c r="DE4" s="213"/>
      <c r="DF4" s="213"/>
      <c r="DG4" s="213"/>
      <c r="DH4" s="213"/>
      <c r="DI4" s="213"/>
      <c r="DJ4" s="213"/>
      <c r="DK4" s="213"/>
      <c r="DL4" s="213"/>
      <c r="DM4" s="213"/>
      <c r="DN4" s="213"/>
      <c r="DO4" s="213"/>
      <c r="DP4" s="213"/>
      <c r="DQ4" s="213"/>
      <c r="DR4" s="213"/>
      <c r="DS4" s="213"/>
      <c r="DT4" s="213"/>
      <c r="DU4" s="213"/>
      <c r="DV4" s="213"/>
      <c r="DW4" s="213"/>
      <c r="DX4" s="213"/>
      <c r="DY4" s="213"/>
      <c r="DZ4" s="213"/>
      <c r="EA4" s="213"/>
      <c r="EB4" s="213"/>
      <c r="EC4" s="213"/>
    </row>
    <row r="5" spans="2:133" ht="15">
      <c r="B5" s="6">
        <v>50001</v>
      </c>
      <c r="C5" s="69" t="str">
        <f>Record!O5</f>
        <v>Roxanne Klendshoj</v>
      </c>
      <c r="D5" s="7">
        <v>110000</v>
      </c>
      <c r="E5" s="7">
        <f>ROUND(D5/1.09,-3)</f>
        <v>101000</v>
      </c>
      <c r="F5" s="8">
        <f ca="1">DATE(YEAR($G$2)-47,3,5)</f>
        <v>26363</v>
      </c>
      <c r="G5" s="8">
        <f ca="1">DATE(YEAR($G$2)-27,3,2)</f>
        <v>33665</v>
      </c>
      <c r="H5" s="74">
        <f ca="1">IF(OR(MONTH(T5)=1, MONTH(T5)=7), T5,
IF(MONTH(T5)&lt;7, DATE(YEAR(T5),7,1), DATE(YEAR(T5)+1,1,1)))</f>
        <v>34151</v>
      </c>
      <c r="I5" s="75">
        <f t="shared" ref="I5" ca="1" si="0">MAX(EOMONTH(V5-1,0)+1,(Y5))</f>
        <v>50131</v>
      </c>
      <c r="J5" s="37">
        <f t="shared" ref="J5:J14" ca="1" si="1">YEAR($G$2)-YEAR(F5)-IF(DATE(YEAR($G$2),MONTH(F5),DAY(F5))&gt;$G$2,1,0)</f>
        <v>46</v>
      </c>
      <c r="K5" s="178">
        <f ca="1">($G$2-G5)/365.25</f>
        <v>26.833675564681723</v>
      </c>
      <c r="L5" s="176">
        <f t="shared" ref="L5:L14" ca="1" si="2">ROUND(0.02*D5*R5,0)</f>
        <v>56100</v>
      </c>
      <c r="M5" s="176">
        <f t="shared" ref="M5:M14" ca="1" si="3">100%-3%*MAX(0,AF5-J5)</f>
        <v>0.43000000000000005</v>
      </c>
      <c r="N5" s="176">
        <f t="shared" ref="N5:N14" ca="1" si="4">L5*M5</f>
        <v>24123.000000000004</v>
      </c>
      <c r="O5" s="37">
        <f ca="1">Annuity!$H$9</f>
        <v>84838.893739348146</v>
      </c>
      <c r="P5" s="37">
        <f t="shared" ref="P5:P14" si="5">D5*10</f>
        <v>1100000</v>
      </c>
      <c r="Q5" s="200">
        <f ca="1">O5/P5</f>
        <v>7.7126267035771037E-2</v>
      </c>
      <c r="R5" s="179">
        <f ca="1">(ROUND($G$2-$H5,0)/365.25)-0.0031</f>
        <v>25.499980082135522</v>
      </c>
      <c r="S5" s="65" t="s">
        <v>5</v>
      </c>
      <c r="T5" s="73">
        <f ca="1">EOMONTH(U5-1,0)+1</f>
        <v>34060</v>
      </c>
      <c r="U5" s="73">
        <f t="shared" ref="U5:U14" ca="1" si="6">EDATE($G5,12)</f>
        <v>34030</v>
      </c>
      <c r="V5" s="73">
        <f t="shared" ref="V5:V14" ca="1" si="7">MAX(EDATE(F5,12*65), EDATE(F5, 12*5))</f>
        <v>50104</v>
      </c>
      <c r="W5" s="73">
        <f ca="1">EOMONTH(V5-1,0)+1</f>
        <v>50131</v>
      </c>
      <c r="X5" s="73">
        <f t="shared" ref="X5" ca="1" si="8">IF(OR(MONTH(T5)=1, MONTH(T5)=7), T5,
IF(MONTH(T5)&lt;7, DATE(YEAR(T5),7,1), DATE(YEAR(T5)+1,1,1)))</f>
        <v>34151</v>
      </c>
      <c r="Y5" s="73">
        <f ca="1">MAX(EOMONTH(V5-1,0)+1,(X5))</f>
        <v>50131</v>
      </c>
      <c r="Z5" s="73">
        <f t="shared" ref="Z5" ca="1" si="9">EDATE(X5,60)</f>
        <v>35977</v>
      </c>
      <c r="AA5" s="73">
        <f t="shared" ref="AA5" ca="1" si="10">EOMONTH(Z5-1,0)+1</f>
        <v>35977</v>
      </c>
      <c r="AB5" s="1">
        <f t="shared" ref="AB5:AB14" ca="1" si="11">YEAR($G$2)-YEAR(H5)-IF($G$2&lt;DATE(YEAR($G$2), MONTH(H5), DAY(H5)),1,0)</f>
        <v>25</v>
      </c>
      <c r="AC5" s="1">
        <f t="shared" ref="AC5:AC14" ca="1" si="12">MOD(MONTH($G$2)-MONTH(H5)-IF(DAY($G$2)&lt;DAY(H5),1,0),12)</f>
        <v>6</v>
      </c>
      <c r="AD5" s="84">
        <f t="shared" ref="AD5:AD14" ca="1" si="13">DAY($G$2)-DAY(H5)+ IF(DAY($G$2)&lt;DAY(H5), $G$2-EDATE($G$2, -1), 0)</f>
        <v>0</v>
      </c>
      <c r="AE5" s="73">
        <f t="shared" ref="AE5:AE6" ca="1" si="14">EOMONTH($F5-1,0)+1</f>
        <v>26390</v>
      </c>
      <c r="AF5" s="1">
        <f t="shared" ref="AF5:AF14" ca="1" si="15">ROUNDDOWN((YEAR(I5)-YEAR(AE5))+(MONTH(I5)-MONTH(AE5))/12,0)</f>
        <v>65</v>
      </c>
      <c r="AG5" s="69" t="str">
        <f>TRIM(RIGHT(Record!C5, LEN(Record!C5)-SEARCH(",",Record!C5))&amp; " " &amp;LEFT(Record!C5,SEARCH(",",Record!C5)-1))</f>
        <v>Roxanne Klendshoj</v>
      </c>
    </row>
    <row r="6" spans="2:133" ht="15">
      <c r="B6" s="6">
        <f>B5+1</f>
        <v>50002</v>
      </c>
      <c r="C6" s="69" t="str">
        <f>Record!O6</f>
        <v>Jeanne Woolley</v>
      </c>
      <c r="D6" s="7">
        <v>99000</v>
      </c>
      <c r="E6" s="7">
        <f t="shared" ref="E6:E14" si="16">ROUND(D6/1.09,-3)</f>
        <v>91000</v>
      </c>
      <c r="F6" s="8">
        <f ca="1">DATE(YEAR($G$2)-65,3,2)</f>
        <v>19785</v>
      </c>
      <c r="G6" s="8">
        <f ca="1">DATE(YEAR($G$2)-3,9,3)</f>
        <v>42616</v>
      </c>
      <c r="H6" s="74">
        <f t="shared" ref="H6:H14" ca="1" si="17">IF(OR(MONTH(T6)=1, MONTH(T6)=7), T6,
IF(MONTH(T6)&lt;7, DATE(YEAR(T6),7,1), DATE(YEAR(T6)+1,1,1)))</f>
        <v>43101</v>
      </c>
      <c r="I6" s="75">
        <f ca="1">MAX(EOMONTH(V6-1,0)+1,(Y6))</f>
        <v>44927</v>
      </c>
      <c r="J6" s="37">
        <f t="shared" ca="1" si="1"/>
        <v>64</v>
      </c>
      <c r="K6" s="178">
        <f t="shared" ref="K6:K14" ca="1" si="18">($G$2-G6)/365.25</f>
        <v>2.3271731690622861</v>
      </c>
      <c r="L6" s="176">
        <f t="shared" ca="1" si="2"/>
        <v>1980</v>
      </c>
      <c r="M6" s="176">
        <f t="shared" ca="1" si="3"/>
        <v>0.88</v>
      </c>
      <c r="N6" s="176">
        <f t="shared" ca="1" si="4"/>
        <v>1742.4</v>
      </c>
      <c r="O6" s="37">
        <f ca="1">Annuity!$H$9</f>
        <v>84838.893739348146</v>
      </c>
      <c r="P6" s="37">
        <f t="shared" si="5"/>
        <v>990000</v>
      </c>
      <c r="Q6" s="200">
        <f t="shared" ref="Q6:Q14" ca="1" si="19">O6/P6</f>
        <v>8.5695852261967825E-2</v>
      </c>
      <c r="R6" s="179">
        <f ca="1">(ROUND($G$2-$H6,0)/365.25)+0.0007</f>
        <v>1.0000155373032169</v>
      </c>
      <c r="S6" s="65" t="s">
        <v>5</v>
      </c>
      <c r="T6" s="73">
        <f ca="1">EOMONTH(U6-1,0)+1</f>
        <v>43009</v>
      </c>
      <c r="U6" s="73">
        <f t="shared" ca="1" si="6"/>
        <v>42981</v>
      </c>
      <c r="V6" s="73">
        <f t="shared" ca="1" si="7"/>
        <v>43526</v>
      </c>
      <c r="W6" s="73">
        <f ca="1">EOMONTH(V6-1,0)+1</f>
        <v>43556</v>
      </c>
      <c r="X6" s="73">
        <f ca="1">IF(OR(MONTH(T6)=1, MONTH(T6)=7), T6,
IF(MONTH(T6)&lt;7, DATE(YEAR(T6),7,1), DATE(YEAR(T6)+1,1,1)))</f>
        <v>43101</v>
      </c>
      <c r="Y6" s="73">
        <f ca="1">MAX(EOMONTH(AA6-1,0)+1,(X6))</f>
        <v>44927</v>
      </c>
      <c r="Z6" s="73">
        <f ca="1">EDATE(X6,60)</f>
        <v>44927</v>
      </c>
      <c r="AA6" s="73">
        <f ca="1">EOMONTH(Z6-1,0)+1</f>
        <v>44927</v>
      </c>
      <c r="AB6" s="1">
        <f t="shared" ca="1" si="11"/>
        <v>1</v>
      </c>
      <c r="AC6" s="1">
        <f t="shared" ca="1" si="12"/>
        <v>0</v>
      </c>
      <c r="AD6" s="84">
        <f t="shared" ca="1" si="13"/>
        <v>0</v>
      </c>
      <c r="AE6" s="73">
        <f t="shared" ca="1" si="14"/>
        <v>19815</v>
      </c>
      <c r="AF6" s="1">
        <f t="shared" ca="1" si="15"/>
        <v>68</v>
      </c>
      <c r="AG6" s="69" t="str">
        <f>TRIM(RIGHT(Record!C6, LEN(Record!C6)-SEARCH(",",Record!C6))&amp; " " &amp;LEFT(Record!C6,SEARCH(",",Record!C6)-1))</f>
        <v>Jeanne M Woolley</v>
      </c>
    </row>
    <row r="7" spans="2:133" ht="15">
      <c r="B7" s="6">
        <f>B6+1</f>
        <v>50003</v>
      </c>
      <c r="C7" s="69" t="str">
        <f>Record!O7</f>
        <v>Jerome Bartho</v>
      </c>
      <c r="D7" s="7">
        <v>98000</v>
      </c>
      <c r="E7" s="7">
        <f t="shared" si="16"/>
        <v>90000</v>
      </c>
      <c r="F7" s="8">
        <f ca="1">DATE(YEAR($G$2)-63,5,9)</f>
        <v>20584</v>
      </c>
      <c r="G7" s="8">
        <f ca="1">DATE(YEAR($G$2)-15,1,3)</f>
        <v>37989</v>
      </c>
      <c r="H7" s="74">
        <f t="shared" ca="1" si="17"/>
        <v>38534</v>
      </c>
      <c r="I7" s="75">
        <f t="shared" ref="I7:I14" ca="1" si="20">MAX(EOMONTH(V7-1,0)+1,(Y7))</f>
        <v>44348</v>
      </c>
      <c r="J7" s="37">
        <f t="shared" ca="1" si="1"/>
        <v>62</v>
      </c>
      <c r="K7" s="178">
        <f ca="1">($G$2-G7)/365.25</f>
        <v>14.99520876112252</v>
      </c>
      <c r="L7" s="176">
        <f t="shared" ca="1" si="2"/>
        <v>26460</v>
      </c>
      <c r="M7" s="176">
        <f t="shared" ca="1" si="3"/>
        <v>0.91</v>
      </c>
      <c r="N7" s="176">
        <f t="shared" ca="1" si="4"/>
        <v>24078.600000000002</v>
      </c>
      <c r="O7" s="37">
        <f ca="1">Annuity!$H$9</f>
        <v>84838.893739348146</v>
      </c>
      <c r="P7" s="37">
        <f t="shared" si="5"/>
        <v>980000</v>
      </c>
      <c r="Q7" s="200">
        <f t="shared" ca="1" si="19"/>
        <v>8.6570299734028716E-2</v>
      </c>
      <c r="R7" s="179">
        <f ca="1">(ROUND($G$2-$H7,0)/365.25)-0.0031</f>
        <v>13.499980082135524</v>
      </c>
      <c r="S7" s="65" t="s">
        <v>5</v>
      </c>
      <c r="T7" s="73">
        <f t="shared" ref="T7:T14" ca="1" si="21">EOMONTH(U7-1,0)+1</f>
        <v>38384</v>
      </c>
      <c r="U7" s="73">
        <f t="shared" ca="1" si="6"/>
        <v>38355</v>
      </c>
      <c r="V7" s="73">
        <f t="shared" ca="1" si="7"/>
        <v>44325</v>
      </c>
      <c r="W7" s="73">
        <f t="shared" ref="W7:W13" ca="1" si="22">EOMONTH(V7-1,0)+1</f>
        <v>44348</v>
      </c>
      <c r="X7" s="73">
        <f t="shared" ref="X7:X14" ca="1" si="23">IF(OR(MONTH(T7)=1, MONTH(T7)=7), T7,
IF(MONTH(T7)&lt;7, DATE(YEAR(T7),7,1), DATE(YEAR(T7)+1,1,1)))</f>
        <v>38534</v>
      </c>
      <c r="Y7" s="73">
        <f t="shared" ref="Y7:Y14" ca="1" si="24">MAX(EOMONTH(V7-1,0)+1,(X7))</f>
        <v>44348</v>
      </c>
      <c r="Z7" s="73">
        <f t="shared" ref="Z7:Z14" ca="1" si="25">EDATE(X7,60)</f>
        <v>40360</v>
      </c>
      <c r="AA7" s="73">
        <f t="shared" ref="AA7:AA14" ca="1" si="26">EOMONTH(Z7-1,0)+1</f>
        <v>40360</v>
      </c>
      <c r="AB7" s="1">
        <f t="shared" ca="1" si="11"/>
        <v>13</v>
      </c>
      <c r="AC7" s="1">
        <f t="shared" ca="1" si="12"/>
        <v>6</v>
      </c>
      <c r="AD7" s="84">
        <f t="shared" ca="1" si="13"/>
        <v>0</v>
      </c>
      <c r="AE7" s="73">
        <f ca="1">EOMONTH($F7-1,0)+1</f>
        <v>20607</v>
      </c>
      <c r="AF7" s="1">
        <f t="shared" ca="1" si="15"/>
        <v>65</v>
      </c>
      <c r="AG7" s="69" t="str">
        <f>TRIM(RIGHT(Record!C7, LEN(Record!C7)-SEARCH(",",Record!C7))&amp; " " &amp;LEFT(Record!C7,SEARCH(",",Record!C7)-1))</f>
        <v>Jerome Fion Bartho</v>
      </c>
    </row>
    <row r="8" spans="2:133" ht="15">
      <c r="B8" s="6">
        <f t="shared" ref="B8:B13" si="27">B7+1</f>
        <v>50004</v>
      </c>
      <c r="C8" s="69" t="str">
        <f>Record!O8</f>
        <v>Scott Benson</v>
      </c>
      <c r="D8" s="7">
        <v>97000</v>
      </c>
      <c r="E8" s="7">
        <f t="shared" si="16"/>
        <v>89000</v>
      </c>
      <c r="F8" s="8">
        <f ca="1">DATE(YEAR($G$2)-64,9,9)</f>
        <v>20341</v>
      </c>
      <c r="G8" s="8">
        <f ca="1">DATE(YEAR($G$2)-8,10,9)</f>
        <v>40825</v>
      </c>
      <c r="H8" s="74">
        <f t="shared" ca="1" si="17"/>
        <v>41275</v>
      </c>
      <c r="I8" s="75">
        <f t="shared" ca="1" si="20"/>
        <v>44105</v>
      </c>
      <c r="J8" s="37">
        <f t="shared" ca="1" si="1"/>
        <v>63</v>
      </c>
      <c r="K8" s="178">
        <f t="shared" ca="1" si="18"/>
        <v>7.2306639288158792</v>
      </c>
      <c r="L8" s="176">
        <f t="shared" ca="1" si="2"/>
        <v>11631</v>
      </c>
      <c r="M8" s="176">
        <f t="shared" ca="1" si="3"/>
        <v>0.94</v>
      </c>
      <c r="N8" s="176">
        <f t="shared" ca="1" si="4"/>
        <v>10933.14</v>
      </c>
      <c r="O8" s="37">
        <f ca="1">Annuity!$H$9</f>
        <v>84838.893739348146</v>
      </c>
      <c r="P8" s="37">
        <f t="shared" si="5"/>
        <v>970000</v>
      </c>
      <c r="Q8" s="200">
        <f t="shared" ca="1" si="19"/>
        <v>8.746277705087438E-2</v>
      </c>
      <c r="R8" s="179">
        <f ca="1">(ROUND($G$2-$H8,0)/365.25)-0.0031</f>
        <v>5.9955310746064336</v>
      </c>
      <c r="S8" s="65" t="s">
        <v>5</v>
      </c>
      <c r="T8" s="73">
        <f t="shared" ca="1" si="21"/>
        <v>41214</v>
      </c>
      <c r="U8" s="73">
        <f t="shared" ca="1" si="6"/>
        <v>41191</v>
      </c>
      <c r="V8" s="73">
        <f t="shared" ca="1" si="7"/>
        <v>44083</v>
      </c>
      <c r="W8" s="73">
        <f t="shared" ca="1" si="22"/>
        <v>44105</v>
      </c>
      <c r="X8" s="73">
        <f t="shared" ca="1" si="23"/>
        <v>41275</v>
      </c>
      <c r="Y8" s="73">
        <f t="shared" ca="1" si="24"/>
        <v>44105</v>
      </c>
      <c r="Z8" s="73">
        <f t="shared" ca="1" si="25"/>
        <v>43101</v>
      </c>
      <c r="AA8" s="73">
        <f t="shared" ca="1" si="26"/>
        <v>43101</v>
      </c>
      <c r="AB8" s="1">
        <f t="shared" ca="1" si="11"/>
        <v>6</v>
      </c>
      <c r="AC8" s="1">
        <f t="shared" ca="1" si="12"/>
        <v>0</v>
      </c>
      <c r="AD8" s="84">
        <f t="shared" ca="1" si="13"/>
        <v>0</v>
      </c>
      <c r="AE8" s="73">
        <f t="shared" ref="AE8:AE14" ca="1" si="28">EOMONTH($F8-1,0)+1</f>
        <v>20363</v>
      </c>
      <c r="AF8" s="1">
        <f t="shared" ca="1" si="15"/>
        <v>65</v>
      </c>
      <c r="AG8" s="69" t="str">
        <f>TRIM(RIGHT(Record!C8, LEN(Record!C8)-SEARCH(",",Record!C8))&amp; " " &amp;LEFT(Record!C8,SEARCH(",",Record!C8)-1))</f>
        <v>Scott G Benson</v>
      </c>
    </row>
    <row r="9" spans="2:133" ht="15">
      <c r="B9" s="6">
        <f t="shared" si="27"/>
        <v>50005</v>
      </c>
      <c r="C9" s="69" t="str">
        <f>Record!O9</f>
        <v>Diane Aho</v>
      </c>
      <c r="D9" s="7">
        <v>96000</v>
      </c>
      <c r="E9" s="7">
        <f t="shared" si="16"/>
        <v>88000</v>
      </c>
      <c r="F9" s="8">
        <f ca="1">DATE(YEAR($G$2)-47,6,8)</f>
        <v>26458</v>
      </c>
      <c r="G9" s="8">
        <f ca="1">DATE(YEAR($G$2)-7,3,5)</f>
        <v>40973</v>
      </c>
      <c r="H9" s="74">
        <f t="shared" ca="1" si="17"/>
        <v>41456</v>
      </c>
      <c r="I9" s="75">
        <f t="shared" ca="1" si="20"/>
        <v>50222</v>
      </c>
      <c r="J9" s="37">
        <f t="shared" ca="1" si="1"/>
        <v>46</v>
      </c>
      <c r="K9" s="178">
        <f t="shared" ca="1" si="18"/>
        <v>6.8254620123203287</v>
      </c>
      <c r="L9" s="176">
        <f t="shared" ca="1" si="2"/>
        <v>10560</v>
      </c>
      <c r="M9" s="176">
        <f t="shared" ca="1" si="3"/>
        <v>0.43000000000000005</v>
      </c>
      <c r="N9" s="176">
        <f t="shared" ca="1" si="4"/>
        <v>4540.8</v>
      </c>
      <c r="O9" s="37">
        <f ca="1">Annuity!$H$9</f>
        <v>84838.893739348146</v>
      </c>
      <c r="P9" s="37">
        <f t="shared" si="5"/>
        <v>960000</v>
      </c>
      <c r="Q9" s="200">
        <f t="shared" ca="1" si="19"/>
        <v>8.8373847645154324E-2</v>
      </c>
      <c r="R9" s="179">
        <f t="shared" ref="R9:R14" ca="1" si="29">(ROUND($G$2-$H9,0)/365.25)-0.0031</f>
        <v>5.499980082135524</v>
      </c>
      <c r="S9" s="65" t="s">
        <v>5</v>
      </c>
      <c r="T9" s="73">
        <f t="shared" ca="1" si="21"/>
        <v>41365</v>
      </c>
      <c r="U9" s="73">
        <f t="shared" ca="1" si="6"/>
        <v>41338</v>
      </c>
      <c r="V9" s="73">
        <f t="shared" ca="1" si="7"/>
        <v>50199</v>
      </c>
      <c r="W9" s="73">
        <f t="shared" ca="1" si="22"/>
        <v>50222</v>
      </c>
      <c r="X9" s="73">
        <f t="shared" ca="1" si="23"/>
        <v>41456</v>
      </c>
      <c r="Y9" s="73">
        <f t="shared" ca="1" si="24"/>
        <v>50222</v>
      </c>
      <c r="Z9" s="73">
        <f t="shared" ca="1" si="25"/>
        <v>43282</v>
      </c>
      <c r="AA9" s="73">
        <f t="shared" ca="1" si="26"/>
        <v>43282</v>
      </c>
      <c r="AB9" s="1">
        <f t="shared" ca="1" si="11"/>
        <v>5</v>
      </c>
      <c r="AC9" s="1">
        <f t="shared" ca="1" si="12"/>
        <v>6</v>
      </c>
      <c r="AD9" s="84">
        <f t="shared" ca="1" si="13"/>
        <v>0</v>
      </c>
      <c r="AE9" s="73">
        <f t="shared" ca="1" si="28"/>
        <v>26481</v>
      </c>
      <c r="AF9" s="1">
        <f t="shared" ca="1" si="15"/>
        <v>65</v>
      </c>
      <c r="AG9" s="69" t="str">
        <f>TRIM(RIGHT(Record!C9, LEN(Record!C9)-SEARCH(",",Record!C9))&amp; " " &amp;LEFT(Record!C9,SEARCH(",",Record!C9)-1))</f>
        <v>Diane Aho</v>
      </c>
    </row>
    <row r="10" spans="2:133" ht="15">
      <c r="B10" s="6">
        <f t="shared" si="27"/>
        <v>50006</v>
      </c>
      <c r="C10" s="69" t="str">
        <f>Record!O10</f>
        <v>DeeAnn Larson</v>
      </c>
      <c r="D10" s="7">
        <v>95000</v>
      </c>
      <c r="E10" s="7">
        <f t="shared" si="16"/>
        <v>87000</v>
      </c>
      <c r="F10" s="8">
        <f ca="1">DATE(YEAR($G$2)-56,3,2)</f>
        <v>23072</v>
      </c>
      <c r="G10" s="8">
        <f ca="1">DATE(YEAR($G$2)-20,1,3)</f>
        <v>36163</v>
      </c>
      <c r="H10" s="74">
        <f t="shared" ca="1" si="17"/>
        <v>36708</v>
      </c>
      <c r="I10" s="75">
        <f t="shared" ca="1" si="20"/>
        <v>46844</v>
      </c>
      <c r="J10" s="37">
        <f t="shared" ca="1" si="1"/>
        <v>55</v>
      </c>
      <c r="K10" s="178">
        <f t="shared" ca="1" si="18"/>
        <v>19.994524298425734</v>
      </c>
      <c r="L10" s="176">
        <f t="shared" ca="1" si="2"/>
        <v>35149</v>
      </c>
      <c r="M10" s="176">
        <f t="shared" ca="1" si="3"/>
        <v>0.7</v>
      </c>
      <c r="N10" s="176">
        <f t="shared" ca="1" si="4"/>
        <v>24604.3</v>
      </c>
      <c r="O10" s="37">
        <f ca="1">Annuity!$H$9</f>
        <v>84838.893739348146</v>
      </c>
      <c r="P10" s="37">
        <f t="shared" si="5"/>
        <v>950000</v>
      </c>
      <c r="Q10" s="200">
        <f t="shared" ca="1" si="19"/>
        <v>8.9304098672998045E-2</v>
      </c>
      <c r="R10" s="179">
        <f t="shared" ca="1" si="29"/>
        <v>18.49929561943874</v>
      </c>
      <c r="S10" s="65" t="s">
        <v>5</v>
      </c>
      <c r="T10" s="73">
        <f t="shared" ca="1" si="21"/>
        <v>36557</v>
      </c>
      <c r="U10" s="73">
        <f t="shared" ca="1" si="6"/>
        <v>36528</v>
      </c>
      <c r="V10" s="73">
        <f t="shared" ca="1" si="7"/>
        <v>46814</v>
      </c>
      <c r="W10" s="73">
        <f t="shared" ca="1" si="22"/>
        <v>46844</v>
      </c>
      <c r="X10" s="73">
        <f t="shared" ca="1" si="23"/>
        <v>36708</v>
      </c>
      <c r="Y10" s="73">
        <f t="shared" ca="1" si="24"/>
        <v>46844</v>
      </c>
      <c r="Z10" s="73">
        <f t="shared" ca="1" si="25"/>
        <v>38534</v>
      </c>
      <c r="AA10" s="73">
        <f t="shared" ca="1" si="26"/>
        <v>38534</v>
      </c>
      <c r="AB10" s="1">
        <f t="shared" ca="1" si="11"/>
        <v>18</v>
      </c>
      <c r="AC10" s="1">
        <f t="shared" ca="1" si="12"/>
        <v>6</v>
      </c>
      <c r="AD10" s="84">
        <f t="shared" ca="1" si="13"/>
        <v>0</v>
      </c>
      <c r="AE10" s="73">
        <f t="shared" ca="1" si="28"/>
        <v>23102</v>
      </c>
      <c r="AF10" s="1">
        <f t="shared" ca="1" si="15"/>
        <v>65</v>
      </c>
      <c r="AG10" s="69" t="str">
        <f>TRIM(RIGHT(Record!C10, LEN(Record!C10)-SEARCH(",",Record!C10))&amp; " " &amp;LEFT(Record!C10,SEARCH(",",Record!C10)-1))</f>
        <v>DeeAnn Smith Larson</v>
      </c>
    </row>
    <row r="11" spans="2:133" ht="15">
      <c r="B11" s="6">
        <f t="shared" si="27"/>
        <v>50007</v>
      </c>
      <c r="C11" s="69" t="str">
        <f>Record!O11</f>
        <v>Susann Nelson</v>
      </c>
      <c r="D11" s="7">
        <v>100000</v>
      </c>
      <c r="E11" s="7">
        <f t="shared" si="16"/>
        <v>92000</v>
      </c>
      <c r="F11" s="8">
        <f ca="1">DATE(YEAR($G$2)-65,12,12)</f>
        <v>20070</v>
      </c>
      <c r="G11" s="8">
        <f ca="1">DATE(YEAR($G$2)-30,8,23)</f>
        <v>32743</v>
      </c>
      <c r="H11" s="74">
        <f t="shared" ca="1" si="17"/>
        <v>33239</v>
      </c>
      <c r="I11" s="75">
        <f t="shared" ca="1" si="20"/>
        <v>43831</v>
      </c>
      <c r="J11" s="37">
        <f t="shared" ca="1" si="1"/>
        <v>64</v>
      </c>
      <c r="K11" s="178">
        <f t="shared" ca="1" si="18"/>
        <v>29.357973990417523</v>
      </c>
      <c r="L11" s="176">
        <f t="shared" ca="1" si="2"/>
        <v>55994</v>
      </c>
      <c r="M11" s="176">
        <f t="shared" ca="1" si="3"/>
        <v>0.97</v>
      </c>
      <c r="N11" s="176">
        <f t="shared" ca="1" si="4"/>
        <v>54314.18</v>
      </c>
      <c r="O11" s="37">
        <f ca="1">Annuity!$H$9</f>
        <v>84838.893739348146</v>
      </c>
      <c r="P11" s="37">
        <f t="shared" si="5"/>
        <v>1000000</v>
      </c>
      <c r="Q11" s="200">
        <f t="shared" ca="1" si="19"/>
        <v>8.4838893739348151E-2</v>
      </c>
      <c r="R11" s="179">
        <f t="shared" ca="1" si="29"/>
        <v>27.9969</v>
      </c>
      <c r="S11" s="65" t="s">
        <v>5</v>
      </c>
      <c r="T11" s="73">
        <f t="shared" ca="1" si="21"/>
        <v>33117</v>
      </c>
      <c r="U11" s="73">
        <f t="shared" ca="1" si="6"/>
        <v>33108</v>
      </c>
      <c r="V11" s="73">
        <f t="shared" ca="1" si="7"/>
        <v>43811</v>
      </c>
      <c r="W11" s="73">
        <f t="shared" ca="1" si="22"/>
        <v>43831</v>
      </c>
      <c r="X11" s="73">
        <f t="shared" ca="1" si="23"/>
        <v>33239</v>
      </c>
      <c r="Y11" s="73">
        <f t="shared" ca="1" si="24"/>
        <v>43831</v>
      </c>
      <c r="Z11" s="73">
        <f t="shared" ca="1" si="25"/>
        <v>35065</v>
      </c>
      <c r="AA11" s="73">
        <f t="shared" ca="1" si="26"/>
        <v>35065</v>
      </c>
      <c r="AB11" s="1">
        <f t="shared" ca="1" si="11"/>
        <v>28</v>
      </c>
      <c r="AC11" s="1">
        <f t="shared" ca="1" si="12"/>
        <v>0</v>
      </c>
      <c r="AD11" s="84">
        <f t="shared" ca="1" si="13"/>
        <v>0</v>
      </c>
      <c r="AE11" s="73">
        <f t="shared" ca="1" si="28"/>
        <v>20090</v>
      </c>
      <c r="AF11" s="1">
        <f t="shared" ca="1" si="15"/>
        <v>65</v>
      </c>
      <c r="AG11" s="69" t="str">
        <f>TRIM(RIGHT(Record!C11, LEN(Record!C11)-SEARCH(",",Record!C11))&amp; " " &amp;LEFT(Record!C11,SEARCH(",",Record!C11)-1))</f>
        <v>Susann Nelson</v>
      </c>
    </row>
    <row r="12" spans="2:133" ht="15">
      <c r="B12" s="6">
        <f t="shared" si="27"/>
        <v>50008</v>
      </c>
      <c r="C12" s="69" t="str">
        <f>Record!O12</f>
        <v>Tracy Asche</v>
      </c>
      <c r="D12" s="7">
        <v>93000</v>
      </c>
      <c r="E12" s="7">
        <f t="shared" si="16"/>
        <v>85000</v>
      </c>
      <c r="F12" s="8">
        <f ca="1">DATE(YEAR($G$2)-61,11,2)</f>
        <v>21491</v>
      </c>
      <c r="G12" s="8">
        <f ca="1">DATE(YEAR($G$2)-2,12,9)</f>
        <v>43078</v>
      </c>
      <c r="H12" s="74">
        <f t="shared" ca="1" si="17"/>
        <v>43466</v>
      </c>
      <c r="I12" s="75">
        <f t="shared" ca="1" si="20"/>
        <v>45261</v>
      </c>
      <c r="J12" s="37">
        <f t="shared" ca="1" si="1"/>
        <v>60</v>
      </c>
      <c r="K12" s="178">
        <f t="shared" ca="1" si="18"/>
        <v>1.0622861054072552</v>
      </c>
      <c r="L12" s="176">
        <f t="shared" ca="1" si="2"/>
        <v>-6</v>
      </c>
      <c r="M12" s="176">
        <f t="shared" ca="1" si="3"/>
        <v>0.85</v>
      </c>
      <c r="N12" s="176">
        <f t="shared" ca="1" si="4"/>
        <v>-5.0999999999999996</v>
      </c>
      <c r="O12" s="37">
        <f ca="1">Annuity!$H$9</f>
        <v>84838.893739348146</v>
      </c>
      <c r="P12" s="37">
        <f t="shared" si="5"/>
        <v>930000</v>
      </c>
      <c r="Q12" s="200">
        <f t="shared" ca="1" si="19"/>
        <v>9.1224616924030263E-2</v>
      </c>
      <c r="R12" s="179">
        <f t="shared" ca="1" si="29"/>
        <v>-3.0999999999999999E-3</v>
      </c>
      <c r="S12" s="65" t="s">
        <v>5</v>
      </c>
      <c r="T12" s="73">
        <f t="shared" ca="1" si="21"/>
        <v>43466</v>
      </c>
      <c r="U12" s="73">
        <f t="shared" ca="1" si="6"/>
        <v>43443</v>
      </c>
      <c r="V12" s="73">
        <f t="shared" ca="1" si="7"/>
        <v>45232</v>
      </c>
      <c r="W12" s="73">
        <f t="shared" ca="1" si="22"/>
        <v>45261</v>
      </c>
      <c r="X12" s="73">
        <f t="shared" ca="1" si="23"/>
        <v>43466</v>
      </c>
      <c r="Y12" s="73">
        <f t="shared" ca="1" si="24"/>
        <v>45261</v>
      </c>
      <c r="Z12" s="73">
        <f t="shared" ca="1" si="25"/>
        <v>45292</v>
      </c>
      <c r="AA12" s="73">
        <f t="shared" ca="1" si="26"/>
        <v>45292</v>
      </c>
      <c r="AB12" s="1">
        <f t="shared" ca="1" si="11"/>
        <v>0</v>
      </c>
      <c r="AC12" s="1">
        <f t="shared" ca="1" si="12"/>
        <v>0</v>
      </c>
      <c r="AD12" s="84">
        <f t="shared" ca="1" si="13"/>
        <v>0</v>
      </c>
      <c r="AE12" s="73">
        <f t="shared" ca="1" si="28"/>
        <v>21520</v>
      </c>
      <c r="AF12" s="1">
        <f t="shared" ca="1" si="15"/>
        <v>65</v>
      </c>
      <c r="AG12" s="69" t="str">
        <f>TRIM(RIGHT(Record!C12, LEN(Record!C12)-SEARCH(",",Record!C12))&amp; " " &amp;LEFT(Record!C12,SEARCH(",",Record!C12)-1))</f>
        <v>Tracy A Asche</v>
      </c>
    </row>
    <row r="13" spans="2:133" ht="15">
      <c r="B13" s="6">
        <f t="shared" si="27"/>
        <v>50009</v>
      </c>
      <c r="C13" s="69" t="str">
        <f>Record!O13</f>
        <v>Robert Carlson</v>
      </c>
      <c r="D13" s="7">
        <v>92000</v>
      </c>
      <c r="E13" s="7">
        <f t="shared" si="16"/>
        <v>84000</v>
      </c>
      <c r="F13" s="8">
        <f ca="1">DATE(YEAR($G$2)-63,8,27)</f>
        <v>20694</v>
      </c>
      <c r="G13" s="8">
        <f ca="1">DATE(YEAR($G$2)-19,8,29)</f>
        <v>36767</v>
      </c>
      <c r="H13" s="74">
        <f t="shared" ca="1" si="17"/>
        <v>37257</v>
      </c>
      <c r="I13" s="75">
        <f t="shared" ca="1" si="20"/>
        <v>44440</v>
      </c>
      <c r="J13" s="37">
        <f t="shared" ca="1" si="1"/>
        <v>62</v>
      </c>
      <c r="K13" s="178">
        <f t="shared" ca="1" si="18"/>
        <v>18.340862422997947</v>
      </c>
      <c r="L13" s="176">
        <f t="shared" ca="1" si="2"/>
        <v>31273</v>
      </c>
      <c r="M13" s="176">
        <f t="shared" ca="1" si="3"/>
        <v>0.91</v>
      </c>
      <c r="N13" s="176">
        <f t="shared" ca="1" si="4"/>
        <v>28458.43</v>
      </c>
      <c r="O13" s="37">
        <f ca="1">Annuity!$H$9</f>
        <v>84838.893739348146</v>
      </c>
      <c r="P13" s="37">
        <f t="shared" si="5"/>
        <v>920000</v>
      </c>
      <c r="Q13" s="200">
        <f t="shared" ca="1" si="19"/>
        <v>9.2216188847117547E-2</v>
      </c>
      <c r="R13" s="179">
        <f t="shared" ca="1" si="29"/>
        <v>16.996215537303218</v>
      </c>
      <c r="S13" s="65" t="s">
        <v>5</v>
      </c>
      <c r="T13" s="73">
        <f t="shared" ca="1" si="21"/>
        <v>37135</v>
      </c>
      <c r="U13" s="73">
        <f t="shared" ca="1" si="6"/>
        <v>37132</v>
      </c>
      <c r="V13" s="73">
        <f t="shared" ca="1" si="7"/>
        <v>44435</v>
      </c>
      <c r="W13" s="73">
        <f t="shared" ca="1" si="22"/>
        <v>44440</v>
      </c>
      <c r="X13" s="73">
        <f t="shared" ca="1" si="23"/>
        <v>37257</v>
      </c>
      <c r="Y13" s="73">
        <f t="shared" ca="1" si="24"/>
        <v>44440</v>
      </c>
      <c r="Z13" s="73">
        <f t="shared" ca="1" si="25"/>
        <v>39083</v>
      </c>
      <c r="AA13" s="73">
        <f t="shared" ca="1" si="26"/>
        <v>39083</v>
      </c>
      <c r="AB13" s="1">
        <f t="shared" ca="1" si="11"/>
        <v>17</v>
      </c>
      <c r="AC13" s="1">
        <f t="shared" ca="1" si="12"/>
        <v>0</v>
      </c>
      <c r="AD13" s="84">
        <f t="shared" ca="1" si="13"/>
        <v>0</v>
      </c>
      <c r="AE13" s="73">
        <f t="shared" ca="1" si="28"/>
        <v>20699</v>
      </c>
      <c r="AF13" s="1">
        <f t="shared" ca="1" si="15"/>
        <v>65</v>
      </c>
      <c r="AG13" s="69" t="str">
        <f>TRIM(RIGHT(Record!C13, LEN(Record!C13)-SEARCH(",",Record!C13))&amp; " " &amp;LEFT(Record!C13,SEARCH(",",Record!C13)-1))</f>
        <v>Robert Lee Carlson</v>
      </c>
    </row>
    <row r="14" spans="2:133" ht="15">
      <c r="B14" s="6">
        <f>B13+1</f>
        <v>50010</v>
      </c>
      <c r="C14" s="69" t="str">
        <f>Record!O14</f>
        <v>Richard Donovan</v>
      </c>
      <c r="D14" s="7">
        <v>91000</v>
      </c>
      <c r="E14" s="7">
        <f t="shared" si="16"/>
        <v>83000</v>
      </c>
      <c r="F14" s="8">
        <f ca="1">DATE(YEAR($G$2)-57,9,12)</f>
        <v>22901</v>
      </c>
      <c r="G14" s="8">
        <f ca="1">DATE(YEAR($G$2)-30,2,7)</f>
        <v>32546</v>
      </c>
      <c r="H14" s="74">
        <f t="shared" ca="1" si="17"/>
        <v>33055</v>
      </c>
      <c r="I14" s="75">
        <f t="shared" ca="1" si="20"/>
        <v>46661</v>
      </c>
      <c r="J14" s="37">
        <f t="shared" ca="1" si="1"/>
        <v>56</v>
      </c>
      <c r="K14" s="178">
        <f t="shared" ca="1" si="18"/>
        <v>29.897330595482547</v>
      </c>
      <c r="L14" s="176">
        <f t="shared" ca="1" si="2"/>
        <v>51871</v>
      </c>
      <c r="M14" s="176">
        <f t="shared" ca="1" si="3"/>
        <v>0.73</v>
      </c>
      <c r="N14" s="176">
        <f t="shared" ca="1" si="4"/>
        <v>37865.83</v>
      </c>
      <c r="O14" s="37">
        <f ca="1">Annuity!$H$9</f>
        <v>84838.893739348146</v>
      </c>
      <c r="P14" s="37">
        <f t="shared" si="5"/>
        <v>910000</v>
      </c>
      <c r="Q14" s="200">
        <f t="shared" ca="1" si="19"/>
        <v>9.3229553559723233E-2</v>
      </c>
      <c r="R14" s="179">
        <f t="shared" ca="1" si="29"/>
        <v>28.500664544832308</v>
      </c>
      <c r="S14" s="65" t="s">
        <v>5</v>
      </c>
      <c r="T14" s="73">
        <f t="shared" ca="1" si="21"/>
        <v>32933</v>
      </c>
      <c r="U14" s="73">
        <f t="shared" ca="1" si="6"/>
        <v>32911</v>
      </c>
      <c r="V14" s="73">
        <f t="shared" ca="1" si="7"/>
        <v>46642</v>
      </c>
      <c r="W14" s="73">
        <f ca="1">EOMONTH(V14-1,0)+1</f>
        <v>46661</v>
      </c>
      <c r="X14" s="73">
        <f t="shared" ca="1" si="23"/>
        <v>33055</v>
      </c>
      <c r="Y14" s="73">
        <f t="shared" ca="1" si="24"/>
        <v>46661</v>
      </c>
      <c r="Z14" s="73">
        <f t="shared" ca="1" si="25"/>
        <v>34881</v>
      </c>
      <c r="AA14" s="73">
        <f t="shared" ca="1" si="26"/>
        <v>34881</v>
      </c>
      <c r="AB14" s="1">
        <f t="shared" ca="1" si="11"/>
        <v>28</v>
      </c>
      <c r="AC14" s="1">
        <f t="shared" ca="1" si="12"/>
        <v>6</v>
      </c>
      <c r="AD14" s="84">
        <f t="shared" ca="1" si="13"/>
        <v>0</v>
      </c>
      <c r="AE14" s="73">
        <f t="shared" ca="1" si="28"/>
        <v>22920</v>
      </c>
      <c r="AF14" s="1">
        <f t="shared" ca="1" si="15"/>
        <v>65</v>
      </c>
      <c r="AG14" s="69" t="str">
        <f>TRIM(RIGHT(Record!C14, LEN(Record!C14)-SEARCH(",",Record!C14))&amp; " " &amp;LEFT(Record!C14,SEARCH(",",Record!C14)-1))</f>
        <v>Richard Donovan</v>
      </c>
    </row>
    <row r="15" spans="2:133" s="78" customFormat="1">
      <c r="B15" s="214">
        <v>1</v>
      </c>
      <c r="C15" s="214">
        <v>2</v>
      </c>
      <c r="D15" s="214">
        <v>3</v>
      </c>
      <c r="E15" s="214">
        <v>4</v>
      </c>
      <c r="F15" s="214">
        <v>5</v>
      </c>
      <c r="G15" s="214">
        <v>6</v>
      </c>
      <c r="H15" s="214">
        <v>7</v>
      </c>
      <c r="I15" s="214">
        <v>8</v>
      </c>
      <c r="J15" s="214">
        <v>9</v>
      </c>
      <c r="K15" s="214">
        <v>10</v>
      </c>
      <c r="L15" s="214">
        <v>11</v>
      </c>
      <c r="M15" s="214">
        <v>12</v>
      </c>
      <c r="N15" s="214">
        <v>13</v>
      </c>
      <c r="O15" s="214">
        <v>14</v>
      </c>
      <c r="P15" s="214">
        <v>15</v>
      </c>
      <c r="Q15" s="214">
        <v>16</v>
      </c>
      <c r="R15" s="214">
        <v>17</v>
      </c>
      <c r="S15" s="214">
        <v>18</v>
      </c>
      <c r="T15" s="214">
        <v>19</v>
      </c>
      <c r="U15" s="214">
        <v>20</v>
      </c>
      <c r="V15" s="214">
        <v>21</v>
      </c>
      <c r="W15" s="214">
        <v>22</v>
      </c>
      <c r="X15" s="214">
        <v>23</v>
      </c>
      <c r="Y15" s="214">
        <v>24</v>
      </c>
      <c r="Z15" s="214">
        <v>25</v>
      </c>
      <c r="AA15" s="214">
        <v>26</v>
      </c>
      <c r="AB15" s="214">
        <v>27</v>
      </c>
      <c r="AC15" s="214">
        <v>28</v>
      </c>
      <c r="AD15" s="214">
        <v>29</v>
      </c>
      <c r="AE15" s="214">
        <v>30</v>
      </c>
      <c r="AF15" s="214">
        <v>31</v>
      </c>
      <c r="AG15" s="214">
        <v>32</v>
      </c>
    </row>
    <row r="16" spans="2:133" s="78" customFormat="1"/>
    <row r="17" spans="3:30" s="78" customFormat="1"/>
    <row r="18" spans="3:30" s="78" customFormat="1" ht="15">
      <c r="D18" s="201"/>
    </row>
    <row r="19" spans="3:30" s="78" customFormat="1"/>
    <row r="20" spans="3:30">
      <c r="C20" s="212"/>
      <c r="J20" s="63"/>
      <c r="K20" s="63"/>
      <c r="L20" s="85"/>
      <c r="M20" s="63"/>
      <c r="N20" s="63"/>
      <c r="O20" s="63"/>
      <c r="P20" s="63"/>
      <c r="Q20" s="63"/>
      <c r="R20" s="63"/>
    </row>
    <row r="21" spans="3:30" ht="18.75">
      <c r="D21" s="77"/>
      <c r="J21" s="63"/>
      <c r="K21" s="188"/>
      <c r="L21" s="63"/>
      <c r="M21" s="193"/>
      <c r="N21" s="63"/>
      <c r="O21" s="63"/>
      <c r="P21" s="63"/>
      <c r="Q21" s="63"/>
      <c r="R21" s="180"/>
    </row>
    <row r="22" spans="3:30" ht="18.75">
      <c r="J22" s="63"/>
      <c r="K22" s="189"/>
      <c r="L22" s="146"/>
      <c r="M22" s="193"/>
      <c r="N22" s="190"/>
      <c r="O22" s="63"/>
      <c r="P22" s="63"/>
      <c r="R22" s="63"/>
    </row>
    <row r="23" spans="3:30" s="77" customFormat="1" ht="18.75">
      <c r="H23" s="78"/>
      <c r="I23" s="197"/>
      <c r="J23" s="197"/>
      <c r="K23" s="189"/>
      <c r="L23" s="195"/>
      <c r="M23" s="193"/>
      <c r="N23" s="190"/>
      <c r="O23" s="63"/>
      <c r="P23" s="63"/>
      <c r="R23" s="63"/>
    </row>
    <row r="24" spans="3:30" s="77" customFormat="1" ht="18.75">
      <c r="C24" s="79"/>
      <c r="D24" s="80"/>
      <c r="E24" s="177"/>
      <c r="I24" s="196"/>
      <c r="M24" s="193"/>
      <c r="P24" s="182"/>
      <c r="Q24" s="63"/>
      <c r="R24" s="63"/>
    </row>
    <row r="25" spans="3:30" s="77" customFormat="1" ht="18.75">
      <c r="M25" s="193"/>
      <c r="P25" s="177"/>
    </row>
    <row r="26" spans="3:30" s="77" customFormat="1" ht="18.75">
      <c r="C26" s="79"/>
      <c r="D26" s="81"/>
      <c r="E26" s="79"/>
      <c r="I26" s="196"/>
      <c r="M26" s="193"/>
      <c r="R26" s="184"/>
    </row>
    <row r="27" spans="3:30" s="77" customFormat="1" ht="18.75">
      <c r="L27" s="184"/>
      <c r="M27" s="193"/>
    </row>
    <row r="28" spans="3:30" s="77" customFormat="1" ht="18.75">
      <c r="M28" s="193"/>
    </row>
    <row r="29" spans="3:30" s="77" customFormat="1" ht="18.75">
      <c r="M29" s="193"/>
    </row>
    <row r="30" spans="3:30" ht="18.75">
      <c r="M30" s="193"/>
    </row>
    <row r="31" spans="3:30" ht="18.75">
      <c r="M31" s="193"/>
      <c r="R31" s="77"/>
      <c r="S31" s="77"/>
      <c r="T31" s="78"/>
      <c r="U31" s="78"/>
      <c r="V31" s="63"/>
      <c r="W31" s="189"/>
      <c r="X31" s="189"/>
      <c r="Y31" s="189"/>
      <c r="Z31" s="189"/>
      <c r="AA31" s="189"/>
      <c r="AB31" s="146"/>
      <c r="AC31" s="146"/>
      <c r="AD31" s="190"/>
    </row>
    <row r="32" spans="3:30" ht="18.75">
      <c r="R32" s="77"/>
      <c r="S32" s="77"/>
      <c r="T32" s="185"/>
      <c r="U32" s="78"/>
      <c r="V32" s="188"/>
      <c r="W32" s="190"/>
      <c r="X32" s="190"/>
      <c r="Y32" s="190"/>
      <c r="Z32" s="190"/>
      <c r="AA32" s="190"/>
      <c r="AB32" s="190"/>
      <c r="AC32" s="190"/>
      <c r="AD32" s="190"/>
    </row>
    <row r="33" spans="18:30" ht="18.75">
      <c r="R33" s="82"/>
      <c r="S33" s="83"/>
      <c r="T33" s="78"/>
      <c r="U33" s="183"/>
      <c r="V33" s="188"/>
      <c r="W33" s="189"/>
      <c r="X33" s="189"/>
      <c r="Y33" s="189"/>
      <c r="Z33" s="189"/>
      <c r="AA33" s="189"/>
      <c r="AB33" s="146"/>
      <c r="AC33" s="146"/>
      <c r="AD33" s="190"/>
    </row>
    <row r="34" spans="18:30" ht="18.75">
      <c r="R34" s="77"/>
      <c r="S34" s="77"/>
      <c r="T34" s="186"/>
      <c r="U34" s="78"/>
      <c r="V34" s="188"/>
      <c r="W34" s="189"/>
      <c r="X34" s="189"/>
      <c r="Y34" s="189"/>
      <c r="Z34" s="189"/>
      <c r="AA34" s="189"/>
      <c r="AB34" s="146"/>
      <c r="AC34" s="146"/>
      <c r="AD34" s="190"/>
    </row>
    <row r="35" spans="18:30" ht="18.75">
      <c r="R35" s="77"/>
      <c r="S35" s="77"/>
      <c r="T35" s="78"/>
      <c r="U35" s="78"/>
      <c r="V35" s="188"/>
      <c r="W35" s="189"/>
      <c r="X35" s="189"/>
      <c r="Y35" s="189"/>
      <c r="Z35" s="189"/>
      <c r="AA35" s="189"/>
      <c r="AB35" s="191"/>
      <c r="AC35" s="146"/>
      <c r="AD35" s="190"/>
    </row>
    <row r="36" spans="18:30" ht="18.75">
      <c r="R36" s="77"/>
      <c r="S36" s="77"/>
      <c r="T36" s="78"/>
      <c r="U36" s="78"/>
      <c r="V36" s="188"/>
      <c r="W36" s="189"/>
      <c r="X36" s="189"/>
      <c r="Y36" s="189"/>
      <c r="Z36" s="189"/>
      <c r="AA36" s="189"/>
      <c r="AB36" s="191"/>
      <c r="AC36" s="192"/>
      <c r="AD36" s="190"/>
    </row>
    <row r="37" spans="18:30" ht="18.75">
      <c r="S37" s="186"/>
      <c r="T37" s="36"/>
      <c r="U37" s="36"/>
      <c r="V37" s="188"/>
      <c r="W37" s="189"/>
      <c r="X37" s="189"/>
      <c r="Y37" s="189"/>
      <c r="Z37" s="189"/>
      <c r="AA37" s="189"/>
      <c r="AB37" s="191"/>
      <c r="AC37" s="146"/>
      <c r="AD37" s="190"/>
    </row>
    <row r="38" spans="18:30" ht="18.75">
      <c r="T38" s="36"/>
      <c r="U38" s="36"/>
      <c r="V38" s="188"/>
      <c r="W38" s="189"/>
      <c r="X38" s="189"/>
      <c r="Y38" s="189"/>
      <c r="Z38" s="189"/>
      <c r="AA38" s="189"/>
      <c r="AB38" s="146"/>
      <c r="AC38" s="193"/>
      <c r="AD38" s="194"/>
    </row>
    <row r="39" spans="18:30" ht="18.75">
      <c r="S39" s="186"/>
      <c r="T39" s="36"/>
      <c r="U39" s="36"/>
      <c r="V39" s="188"/>
      <c r="W39" s="189"/>
      <c r="X39" s="189"/>
      <c r="Y39" s="189"/>
      <c r="Z39" s="189"/>
      <c r="AA39" s="189"/>
      <c r="AB39" s="146"/>
      <c r="AC39" s="193"/>
      <c r="AD39" s="189"/>
    </row>
    <row r="40" spans="18:30" ht="18.75">
      <c r="T40" s="36"/>
      <c r="U40" s="36"/>
      <c r="V40" s="188"/>
      <c r="W40" s="189"/>
      <c r="X40" s="189"/>
      <c r="Y40" s="189"/>
      <c r="Z40" s="189"/>
      <c r="AA40" s="189"/>
      <c r="AB40" s="146"/>
      <c r="AC40" s="193"/>
      <c r="AD40" s="189"/>
    </row>
    <row r="41" spans="18:30" ht="18.75">
      <c r="T41" s="187"/>
      <c r="U41" s="36"/>
      <c r="V41" s="188"/>
      <c r="W41" s="189"/>
      <c r="X41" s="189"/>
      <c r="Y41" s="189"/>
      <c r="Z41" s="189"/>
      <c r="AA41" s="189"/>
      <c r="AB41" s="146"/>
      <c r="AC41" s="193"/>
      <c r="AD41" s="189"/>
    </row>
    <row r="42" spans="18:30">
      <c r="T42" s="36"/>
      <c r="U42" s="36"/>
      <c r="V42" s="188"/>
      <c r="W42" s="188"/>
      <c r="X42" s="188"/>
      <c r="Y42" s="188"/>
      <c r="Z42" s="188"/>
      <c r="AA42" s="188"/>
      <c r="AB42" s="188"/>
      <c r="AC42" s="188"/>
      <c r="AD42" s="188"/>
    </row>
    <row r="43" spans="18:30">
      <c r="T43" s="36"/>
      <c r="U43" s="36"/>
      <c r="V43" s="188"/>
      <c r="W43" s="188"/>
      <c r="X43" s="188"/>
      <c r="Y43" s="188"/>
      <c r="Z43" s="188"/>
      <c r="AA43" s="188"/>
      <c r="AB43" s="188"/>
      <c r="AC43" s="188"/>
      <c r="AD43" s="188"/>
    </row>
    <row r="44" spans="18:30">
      <c r="T44" s="36"/>
      <c r="U44" s="36"/>
      <c r="V44" s="188"/>
      <c r="W44" s="188"/>
      <c r="X44" s="188"/>
      <c r="Y44" s="188"/>
      <c r="Z44" s="188"/>
      <c r="AA44" s="188"/>
      <c r="AB44" s="188"/>
      <c r="AC44" s="188"/>
      <c r="AD44" s="188"/>
    </row>
    <row r="45" spans="18:30">
      <c r="T45" s="36"/>
      <c r="U45" s="36"/>
      <c r="V45" s="188"/>
      <c r="W45" s="188"/>
      <c r="X45" s="188"/>
      <c r="Y45" s="188"/>
      <c r="Z45" s="188"/>
      <c r="AA45" s="188"/>
      <c r="AB45" s="188"/>
      <c r="AC45" s="188"/>
      <c r="AD45" s="188"/>
    </row>
    <row r="46" spans="18:30">
      <c r="T46" s="36"/>
      <c r="U46" s="36"/>
      <c r="V46" s="188"/>
      <c r="W46" s="188"/>
      <c r="X46" s="188"/>
      <c r="Y46" s="188"/>
      <c r="Z46" s="188"/>
      <c r="AA46" s="188"/>
      <c r="AB46" s="188"/>
      <c r="AC46" s="188"/>
      <c r="AD46" s="188"/>
    </row>
    <row r="47" spans="18:30">
      <c r="T47" s="36"/>
      <c r="U47" s="36"/>
      <c r="V47" s="188"/>
      <c r="W47" s="188"/>
      <c r="X47" s="188"/>
      <c r="Y47" s="188"/>
      <c r="Z47" s="188"/>
      <c r="AA47" s="188"/>
      <c r="AB47" s="188"/>
      <c r="AC47" s="188"/>
      <c r="AD47" s="188"/>
    </row>
  </sheetData>
  <printOptions horizontalCentered="1"/>
  <pageMargins left="0.7" right="0.7" top="0.75" bottom="0.75" header="0.3" footer="0.3"/>
  <pageSetup scale="20" orientation="portrait" r:id="rId1"/>
  <headerFooter>
    <oddFooter>&amp;L&amp;F
&amp;A&amp;C&amp;P of &amp;N&amp;R&amp;D
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93E3D-512C-4EDB-8B92-749486A8C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Record</vt:lpstr>
      <vt:lpstr>Qx</vt:lpstr>
      <vt:lpstr>Sort DB</vt:lpstr>
      <vt:lpstr>Filter DB</vt:lpstr>
      <vt:lpstr>Filter Advance</vt:lpstr>
      <vt:lpstr>Pivot Table</vt:lpstr>
      <vt:lpstr>Annuity</vt:lpstr>
      <vt:lpstr>Rate</vt:lpstr>
      <vt:lpstr>Statement</vt:lpstr>
      <vt:lpstr>Annuity Table </vt:lpstr>
      <vt:lpstr>Annuity (2)</vt:lpstr>
      <vt:lpstr>X</vt:lpstr>
      <vt:lpstr>'Filter Advance'!Criteria</vt:lpstr>
      <vt:lpstr>Annuity!Print_Titles</vt:lpstr>
      <vt:lpstr>'Annuity (2)'!Print_Titles</vt:lpstr>
      <vt:lpstr>record_table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</dc:creator>
  <cp:lastModifiedBy>SMA</cp:lastModifiedBy>
  <cp:lastPrinted>2020-05-04T04:46:37Z</cp:lastPrinted>
  <dcterms:created xsi:type="dcterms:W3CDTF">2020-04-29T03:42:24Z</dcterms:created>
  <dcterms:modified xsi:type="dcterms:W3CDTF">2020-05-04T04:50:16Z</dcterms:modified>
</cp:coreProperties>
</file>