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arah\Dropbox\My PC (DESKTOP-C24LDSS)\Desktop\Excel\WEEK 5\"/>
    </mc:Choice>
  </mc:AlternateContent>
  <xr:revisionPtr revIDLastSave="0" documentId="13_ncr:1_{95E29FC8-5EB6-4415-A337-FA21D587BFA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Attendees" sheetId="4" r:id="rId1"/>
    <sheet name="Lookup Lists" sheetId="6" r:id="rId2"/>
  </sheets>
  <definedNames>
    <definedName name="Caterer">#REF!</definedName>
    <definedName name="caterer_costs">#REF!</definedName>
    <definedName name="Catering">#REF!</definedName>
    <definedName name="Guests">#REF!</definedName>
    <definedName name="prices">#REF!</definedName>
    <definedName name="Profit">#REF!</definedName>
    <definedName name="Seating">Attendees!$R$7:$R$368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Attendees!#REF!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Venue">#REF!</definedName>
    <definedName name="venue_costs">#REF!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4" l="1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U24" i="4"/>
  <c r="V20" i="4" l="1"/>
  <c r="V22" i="4"/>
  <c r="V19" i="4"/>
  <c r="V14" i="4"/>
  <c r="V15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U29" i="4" l="1"/>
  <c r="U30" i="4"/>
  <c r="U31" i="4"/>
  <c r="U32" i="4"/>
  <c r="U33" i="4"/>
  <c r="U34" i="4"/>
  <c r="U35" i="4"/>
  <c r="U26" i="4"/>
  <c r="V16" i="4"/>
  <c r="U25" i="4" l="1"/>
  <c r="V21" i="4"/>
</calcChain>
</file>

<file path=xl/sharedStrings.xml><?xml version="1.0" encoding="utf-8"?>
<sst xmlns="http://schemas.openxmlformats.org/spreadsheetml/2006/main" count="2333" uniqueCount="920">
  <si>
    <t>First Name</t>
  </si>
  <si>
    <t>Last Name</t>
  </si>
  <si>
    <t>Organisation</t>
  </si>
  <si>
    <t>Country</t>
  </si>
  <si>
    <t>Niloofar</t>
  </si>
  <si>
    <t>Kiaee</t>
  </si>
  <si>
    <t>Respira Networks</t>
  </si>
  <si>
    <t>IR</t>
  </si>
  <si>
    <t>Markus</t>
  </si>
  <si>
    <t>Florian</t>
  </si>
  <si>
    <t>DENIL</t>
  </si>
  <si>
    <t>AT</t>
  </si>
  <si>
    <t>Javed</t>
  </si>
  <si>
    <t>Vohra</t>
  </si>
  <si>
    <t>Collings University</t>
  </si>
  <si>
    <t>GB</t>
  </si>
  <si>
    <t>Akinori</t>
  </si>
  <si>
    <t>Maemura</t>
  </si>
  <si>
    <t>ICANT</t>
  </si>
  <si>
    <t>JP</t>
  </si>
  <si>
    <t>Michela</t>
  </si>
  <si>
    <t>Galante</t>
  </si>
  <si>
    <t>Ripple Com</t>
  </si>
  <si>
    <t>Mykola</t>
  </si>
  <si>
    <t>Onyshchenko</t>
  </si>
  <si>
    <t>WWT</t>
  </si>
  <si>
    <t>UA</t>
  </si>
  <si>
    <t>Darshay</t>
  </si>
  <si>
    <t>Pathak</t>
  </si>
  <si>
    <t>Duet</t>
  </si>
  <si>
    <t>BH</t>
  </si>
  <si>
    <t>Kevin</t>
  </si>
  <si>
    <t>Pack</t>
  </si>
  <si>
    <t>AHA Networks</t>
  </si>
  <si>
    <t>US</t>
  </si>
  <si>
    <t>Sergey</t>
  </si>
  <si>
    <t>Myasoedov</t>
  </si>
  <si>
    <t>Pink Cloud Networks</t>
  </si>
  <si>
    <t>CZ</t>
  </si>
  <si>
    <t>Kolarik</t>
  </si>
  <si>
    <t>Michal</t>
  </si>
  <si>
    <t>Oglev</t>
  </si>
  <si>
    <t>SK</t>
  </si>
  <si>
    <t>Christoph</t>
  </si>
  <si>
    <t>Dietzel</t>
  </si>
  <si>
    <t>xLAN Internet Exchange</t>
  </si>
  <si>
    <t>DE</t>
  </si>
  <si>
    <t>Timo</t>
  </si>
  <si>
    <t>Hopponen</t>
  </si>
  <si>
    <t>Zim Sales</t>
  </si>
  <si>
    <t>FI</t>
  </si>
  <si>
    <t>Radu</t>
  </si>
  <si>
    <t>Ghidiceanu</t>
  </si>
  <si>
    <t>Wiz Labs</t>
  </si>
  <si>
    <t>RO</t>
  </si>
  <si>
    <t>Randy</t>
  </si>
  <si>
    <t>Whitney</t>
  </si>
  <si>
    <t>Franziska</t>
  </si>
  <si>
    <t>Loefflat</t>
  </si>
  <si>
    <t>NL</t>
  </si>
  <si>
    <t>Ella</t>
  </si>
  <si>
    <t>Titova</t>
  </si>
  <si>
    <t>ASET PLC</t>
  </si>
  <si>
    <t>AM</t>
  </si>
  <si>
    <t>Hadi</t>
  </si>
  <si>
    <t>Davari Dolatabadi</t>
  </si>
  <si>
    <t>Epsilon Tech</t>
  </si>
  <si>
    <t>Thomas</t>
  </si>
  <si>
    <t>Bibb</t>
  </si>
  <si>
    <t>ByteSize</t>
  </si>
  <si>
    <t>David</t>
  </si>
  <si>
    <t>West</t>
  </si>
  <si>
    <t>Gevorg</t>
  </si>
  <si>
    <t>Yengibaryan</t>
  </si>
  <si>
    <t>Parmis Technologies</t>
  </si>
  <si>
    <t>Nurani</t>
  </si>
  <si>
    <t>Nimpuno</t>
  </si>
  <si>
    <t>Axell Group</t>
  </si>
  <si>
    <t>SE</t>
  </si>
  <si>
    <t>Moe</t>
  </si>
  <si>
    <t>Kadri</t>
  </si>
  <si>
    <t>Knut A.</t>
  </si>
  <si>
    <t>Syed</t>
  </si>
  <si>
    <t>Shaw Construction</t>
  </si>
  <si>
    <t>NO</t>
  </si>
  <si>
    <t>Farzad</t>
  </si>
  <si>
    <t>Ebrahimi</t>
  </si>
  <si>
    <t>Chafic</t>
  </si>
  <si>
    <t>Chaya</t>
  </si>
  <si>
    <t>Razvan</t>
  </si>
  <si>
    <t>Oprea</t>
  </si>
  <si>
    <t>Edwin</t>
  </si>
  <si>
    <t>Punt</t>
  </si>
  <si>
    <t>TatSan</t>
  </si>
  <si>
    <t>Brian</t>
  </si>
  <si>
    <t>Nisbet</t>
  </si>
  <si>
    <t>HeatProof</t>
  </si>
  <si>
    <t>IE</t>
  </si>
  <si>
    <t>Alejandro</t>
  </si>
  <si>
    <t>Guzman</t>
  </si>
  <si>
    <t>LACNE</t>
  </si>
  <si>
    <t>Serhii</t>
  </si>
  <si>
    <t>Khomenko</t>
  </si>
  <si>
    <t>Erwin</t>
  </si>
  <si>
    <t>Ising</t>
  </si>
  <si>
    <t>Pilco Streambank</t>
  </si>
  <si>
    <t>Vasileios</t>
  </si>
  <si>
    <t>Giotsas</t>
  </si>
  <si>
    <t>Colot</t>
  </si>
  <si>
    <t>GR</t>
  </si>
  <si>
    <t>Zubair Bin Abdul Kadar</t>
  </si>
  <si>
    <t>Shaik</t>
  </si>
  <si>
    <t>Wouter</t>
  </si>
  <si>
    <t>Van Renterghem</t>
  </si>
  <si>
    <t>PicSure</t>
  </si>
  <si>
    <t>Bijal</t>
  </si>
  <si>
    <t>Sanghani</t>
  </si>
  <si>
    <t>Euro-M</t>
  </si>
  <si>
    <t>Nuno Manuel</t>
  </si>
  <si>
    <t>Garcia Dos Santos</t>
  </si>
  <si>
    <t>Ebony Telecoms</t>
  </si>
  <si>
    <t>PT</t>
  </si>
  <si>
    <t>Salam</t>
  </si>
  <si>
    <t>Yamout</t>
  </si>
  <si>
    <t>LB</t>
  </si>
  <si>
    <t>Stephen</t>
  </si>
  <si>
    <t>DAlmeida</t>
  </si>
  <si>
    <t>SeyedAlireza</t>
  </si>
  <si>
    <t>Vaziri</t>
  </si>
  <si>
    <t>Intelligence Systems</t>
  </si>
  <si>
    <t>Hanna</t>
  </si>
  <si>
    <t>Myronenko</t>
  </si>
  <si>
    <t>Ihor</t>
  </si>
  <si>
    <t>Baranovskyi</t>
  </si>
  <si>
    <t>Zconnect, Inc</t>
  </si>
  <si>
    <t>Paul</t>
  </si>
  <si>
    <t>Thornton</t>
  </si>
  <si>
    <t>NetaAssist</t>
  </si>
  <si>
    <t>Andrae</t>
  </si>
  <si>
    <t>Marx</t>
  </si>
  <si>
    <t>Badar</t>
  </si>
  <si>
    <t>Al Mamari</t>
  </si>
  <si>
    <t>UON</t>
  </si>
  <si>
    <t>OM</t>
  </si>
  <si>
    <t>Dmitry</t>
  </si>
  <si>
    <t>Burkov</t>
  </si>
  <si>
    <t>RU</t>
  </si>
  <si>
    <t>Marco</t>
  </si>
  <si>
    <t>Brandstaetter</t>
  </si>
  <si>
    <t>CTX</t>
  </si>
  <si>
    <t>Rob</t>
  </si>
  <si>
    <t>Evans</t>
  </si>
  <si>
    <t>Sandor</t>
  </si>
  <si>
    <t>Fulop</t>
  </si>
  <si>
    <t>Chirah Technologies</t>
  </si>
  <si>
    <t>AE</t>
  </si>
  <si>
    <t>Hans Petter</t>
  </si>
  <si>
    <t>Holen</t>
  </si>
  <si>
    <t>Ares</t>
  </si>
  <si>
    <t>Andrea</t>
  </si>
  <si>
    <t>Cima</t>
  </si>
  <si>
    <t>Zaineh</t>
  </si>
  <si>
    <t>Daghles</t>
  </si>
  <si>
    <t>JO</t>
  </si>
  <si>
    <t>Brad</t>
  </si>
  <si>
    <t>Gorman</t>
  </si>
  <si>
    <t>Verisize</t>
  </si>
  <si>
    <t>Daniel</t>
  </si>
  <si>
    <t>Karrenberg</t>
  </si>
  <si>
    <t>Chumak</t>
  </si>
  <si>
    <t>Saleem</t>
  </si>
  <si>
    <t>Alblooshi</t>
  </si>
  <si>
    <t>Seyed Ahmad</t>
  </si>
  <si>
    <t>Mousavi</t>
  </si>
  <si>
    <t>Wilson</t>
  </si>
  <si>
    <t>AU</t>
  </si>
  <si>
    <t>Madhvi</t>
  </si>
  <si>
    <t>Gokool</t>
  </si>
  <si>
    <t>MU</t>
  </si>
  <si>
    <t>Gregory</t>
  </si>
  <si>
    <t>Mounier</t>
  </si>
  <si>
    <t>StepAhead</t>
  </si>
  <si>
    <t>Oleksandra</t>
  </si>
  <si>
    <t>Askochenska</t>
  </si>
  <si>
    <t>Jan</t>
  </si>
  <si>
    <t>Zorz</t>
  </si>
  <si>
    <t>SI</t>
  </si>
  <si>
    <t>Andrei</t>
  </si>
  <si>
    <t>Kushnireuski</t>
  </si>
  <si>
    <t>Amir</t>
  </si>
  <si>
    <t>Nazari Mehrabi</t>
  </si>
  <si>
    <t>West Telco</t>
  </si>
  <si>
    <t>MY</t>
  </si>
  <si>
    <t>Espen</t>
  </si>
  <si>
    <t>Sammerud</t>
  </si>
  <si>
    <t>Patrik</t>
  </si>
  <si>
    <t>Fältström</t>
  </si>
  <si>
    <t>Sven</t>
  </si>
  <si>
    <t>versluis</t>
  </si>
  <si>
    <t>Kanji</t>
  </si>
  <si>
    <t>Bhodia</t>
  </si>
  <si>
    <t>Ernest</t>
  </si>
  <si>
    <t>Byaruhanga</t>
  </si>
  <si>
    <t>UG</t>
  </si>
  <si>
    <t>Pedro</t>
  </si>
  <si>
    <t>Fonseca</t>
  </si>
  <si>
    <t>Damien</t>
  </si>
  <si>
    <t>Shaw</t>
  </si>
  <si>
    <t>Alexey</t>
  </si>
  <si>
    <t>Krasnov</t>
  </si>
  <si>
    <t>Jure</t>
  </si>
  <si>
    <t>Knez</t>
  </si>
  <si>
    <t>Bor</t>
  </si>
  <si>
    <t>Sumrada</t>
  </si>
  <si>
    <t>Anand</t>
  </si>
  <si>
    <t>Buddhdev</t>
  </si>
  <si>
    <t>Roman</t>
  </si>
  <si>
    <t>Kuchin</t>
  </si>
  <si>
    <t>EE</t>
  </si>
  <si>
    <t>Laurens</t>
  </si>
  <si>
    <t>Hoogendoorn</t>
  </si>
  <si>
    <t>William</t>
  </si>
  <si>
    <t>Sylvester</t>
  </si>
  <si>
    <t>Mihail</t>
  </si>
  <si>
    <t>Dumitrache</t>
  </si>
  <si>
    <t>Mohammad reza</t>
  </si>
  <si>
    <t>Abdi</t>
  </si>
  <si>
    <t>Iryna</t>
  </si>
  <si>
    <t>Babych</t>
  </si>
  <si>
    <t>Yurii</t>
  </si>
  <si>
    <t>Demenin</t>
  </si>
  <si>
    <t>Ionut</t>
  </si>
  <si>
    <t>Sandu</t>
  </si>
  <si>
    <t>IPI Bucharest</t>
  </si>
  <si>
    <t>Zaid</t>
  </si>
  <si>
    <t>Hammoudi</t>
  </si>
  <si>
    <t>TQ Processes</t>
  </si>
  <si>
    <t>Ulf</t>
  </si>
  <si>
    <t>Kieber</t>
  </si>
  <si>
    <t>CH</t>
  </si>
  <si>
    <t>Christopher</t>
  </si>
  <si>
    <t>Amin</t>
  </si>
  <si>
    <t>Olga</t>
  </si>
  <si>
    <t>Mamontova</t>
  </si>
  <si>
    <t>Alex</t>
  </si>
  <si>
    <t>Semenyaka</t>
  </si>
  <si>
    <t>Avetik</t>
  </si>
  <si>
    <t>Yessayan</t>
  </si>
  <si>
    <t>Cristian-Harisis</t>
  </si>
  <si>
    <t>Sevcenco</t>
  </si>
  <si>
    <t>Iyas</t>
  </si>
  <si>
    <t>Nazzal</t>
  </si>
  <si>
    <t>PS</t>
  </si>
  <si>
    <t>Inge</t>
  </si>
  <si>
    <t>Hommes</t>
  </si>
  <si>
    <t>Sean</t>
  </si>
  <si>
    <t>Stuart</t>
  </si>
  <si>
    <t>Halil</t>
  </si>
  <si>
    <t>Kama</t>
  </si>
  <si>
    <t>Steps IT Training</t>
  </si>
  <si>
    <t>Lukasz</t>
  </si>
  <si>
    <t>Janczura</t>
  </si>
  <si>
    <t>PL</t>
  </si>
  <si>
    <t>Christian</t>
  </si>
  <si>
    <t>Scheele</t>
  </si>
  <si>
    <t>Data Pro Sys</t>
  </si>
  <si>
    <t>Nataliia</t>
  </si>
  <si>
    <t>Kharchenko</t>
  </si>
  <si>
    <t>Noora</t>
  </si>
  <si>
    <t>Balouma</t>
  </si>
  <si>
    <t>Barry</t>
  </si>
  <si>
    <t>O'Donovan</t>
  </si>
  <si>
    <t>Jordi</t>
  </si>
  <si>
    <t>Palet Martinez</t>
  </si>
  <si>
    <t>ES</t>
  </si>
  <si>
    <t>Bassam</t>
  </si>
  <si>
    <t>Alderwish</t>
  </si>
  <si>
    <t>SA</t>
  </si>
  <si>
    <t>Kjell</t>
  </si>
  <si>
    <t>Leknes</t>
  </si>
  <si>
    <t>Luca</t>
  </si>
  <si>
    <t>Sani</t>
  </si>
  <si>
    <t>IT</t>
  </si>
  <si>
    <t>Chris</t>
  </si>
  <si>
    <t>Buckridge</t>
  </si>
  <si>
    <t>Sofya</t>
  </si>
  <si>
    <t>Sushkina</t>
  </si>
  <si>
    <t>Adrian</t>
  </si>
  <si>
    <t>Rapa</t>
  </si>
  <si>
    <t>Roy</t>
  </si>
  <si>
    <t>Arends</t>
  </si>
  <si>
    <t>Denesh</t>
  </si>
  <si>
    <t>Bhabuta</t>
  </si>
  <si>
    <t>Stefan</t>
  </si>
  <si>
    <t>Jakob</t>
  </si>
  <si>
    <t>Mojbal</t>
  </si>
  <si>
    <t>Raphael</t>
  </si>
  <si>
    <t>Rosenberg</t>
  </si>
  <si>
    <t>Ben</t>
  </si>
  <si>
    <t>Nicklin</t>
  </si>
  <si>
    <t>Mirza Junaid</t>
  </si>
  <si>
    <t>Baig</t>
  </si>
  <si>
    <t>KW</t>
  </si>
  <si>
    <t>Raymond</t>
  </si>
  <si>
    <t>Jetten</t>
  </si>
  <si>
    <t>Cyber Data Processing</t>
  </si>
  <si>
    <t>Patrick</t>
  </si>
  <si>
    <t>Swoboda</t>
  </si>
  <si>
    <t>Qinisar</t>
  </si>
  <si>
    <t>Hervé</t>
  </si>
  <si>
    <t>Clement</t>
  </si>
  <si>
    <t>FR</t>
  </si>
  <si>
    <t>Sandeep</t>
  </si>
  <si>
    <t>Nair</t>
  </si>
  <si>
    <t>Hogewoning</t>
  </si>
  <si>
    <t>Elise</t>
  </si>
  <si>
    <t>Vennegues</t>
  </si>
  <si>
    <t>Aaron</t>
  </si>
  <si>
    <t>Hughes</t>
  </si>
  <si>
    <t>Owen</t>
  </si>
  <si>
    <t>DeLong</t>
  </si>
  <si>
    <t>Nick</t>
  </si>
  <si>
    <t>Hyrka</t>
  </si>
  <si>
    <t>Sebastian</t>
  </si>
  <si>
    <t>Castro</t>
  </si>
  <si>
    <t>NZ</t>
  </si>
  <si>
    <t>Hamed</t>
  </si>
  <si>
    <t>Rezaeian</t>
  </si>
  <si>
    <t>Tristan</t>
  </si>
  <si>
    <t>Suerink</t>
  </si>
  <si>
    <t>Amanda</t>
  </si>
  <si>
    <t>Gowland</t>
  </si>
  <si>
    <t>Menno</t>
  </si>
  <si>
    <t>Schepers</t>
  </si>
  <si>
    <t>Alexandra</t>
  </si>
  <si>
    <t>Vos</t>
  </si>
  <si>
    <t>Srikanth</t>
  </si>
  <si>
    <t>Manne</t>
  </si>
  <si>
    <t>Orlin</t>
  </si>
  <si>
    <t>Tenchev</t>
  </si>
  <si>
    <t>BG</t>
  </si>
  <si>
    <t>Fergal</t>
  </si>
  <si>
    <t>Cunningham</t>
  </si>
  <si>
    <t>Kaufmann</t>
  </si>
  <si>
    <t>Oliver</t>
  </si>
  <si>
    <t>Payne</t>
  </si>
  <si>
    <t>Samer</t>
  </si>
  <si>
    <t>Abdel-Hafez</t>
  </si>
  <si>
    <t>Smahena</t>
  </si>
  <si>
    <t>Amakran</t>
  </si>
  <si>
    <t>Martin</t>
  </si>
  <si>
    <t>Semrad</t>
  </si>
  <si>
    <t>Riddle</t>
  </si>
  <si>
    <t>Kyle</t>
  </si>
  <si>
    <t>Spencer</t>
  </si>
  <si>
    <t>Kostiantyn</t>
  </si>
  <si>
    <t>Lisovyi</t>
  </si>
  <si>
    <t>Andrew</t>
  </si>
  <si>
    <t>Baskett</t>
  </si>
  <si>
    <t>John</t>
  </si>
  <si>
    <t>Hill</t>
  </si>
  <si>
    <t>Heng</t>
  </si>
  <si>
    <t>Lu</t>
  </si>
  <si>
    <t>HK</t>
  </si>
  <si>
    <t>Jonathan</t>
  </si>
  <si>
    <t>Freeman</t>
  </si>
  <si>
    <t>Nat</t>
  </si>
  <si>
    <t>Morris</t>
  </si>
  <si>
    <t>Saad</t>
  </si>
  <si>
    <t>Abdalla</t>
  </si>
  <si>
    <t>Alireza</t>
  </si>
  <si>
    <t>Ghafarallahi</t>
  </si>
  <si>
    <t>Michael</t>
  </si>
  <si>
    <t>Perzi</t>
  </si>
  <si>
    <t>Arjan</t>
  </si>
  <si>
    <t>van der Veen</t>
  </si>
  <si>
    <t>Martina</t>
  </si>
  <si>
    <t>de Mas</t>
  </si>
  <si>
    <t>Ondřej</t>
  </si>
  <si>
    <t>Caletka</t>
  </si>
  <si>
    <t>Adam</t>
  </si>
  <si>
    <t>Castle</t>
  </si>
  <si>
    <t>Lubos</t>
  </si>
  <si>
    <t>Kaspar</t>
  </si>
  <si>
    <t>Steve</t>
  </si>
  <si>
    <t>Balon</t>
  </si>
  <si>
    <t>BE</t>
  </si>
  <si>
    <t>Jac</t>
  </si>
  <si>
    <t>Kloots</t>
  </si>
  <si>
    <t>Richard</t>
  </si>
  <si>
    <t>Leaning</t>
  </si>
  <si>
    <t>Miquel</t>
  </si>
  <si>
    <t>van Smoorenburg</t>
  </si>
  <si>
    <t>Petrasch</t>
  </si>
  <si>
    <t>Kazimieras</t>
  </si>
  <si>
    <t>Cernauskis</t>
  </si>
  <si>
    <t>LT</t>
  </si>
  <si>
    <t>Sander</t>
  </si>
  <si>
    <t>Steffann</t>
  </si>
  <si>
    <t>Sami</t>
  </si>
  <si>
    <t>Saadaoui</t>
  </si>
  <si>
    <t>Inna</t>
  </si>
  <si>
    <t>Zaikina</t>
  </si>
  <si>
    <t>Jamal</t>
  </si>
  <si>
    <t>Kilani</t>
  </si>
  <si>
    <t>Saroyan</t>
  </si>
  <si>
    <t>Anthony</t>
  </si>
  <si>
    <t>Pearson</t>
  </si>
  <si>
    <t>Hannaneh</t>
  </si>
  <si>
    <t>Hajiseyedjavadi</t>
  </si>
  <si>
    <t>Kieran</t>
  </si>
  <si>
    <t>Davies</t>
  </si>
  <si>
    <t>Gabe</t>
  </si>
  <si>
    <t>Fried</t>
  </si>
  <si>
    <t>Fiona</t>
  </si>
  <si>
    <t>Asonga</t>
  </si>
  <si>
    <t>KE</t>
  </si>
  <si>
    <t>Janos</t>
  </si>
  <si>
    <t>Zsako</t>
  </si>
  <si>
    <t>HU</t>
  </si>
  <si>
    <t>Ho</t>
  </si>
  <si>
    <t>EYN</t>
  </si>
  <si>
    <t>Sandra</t>
  </si>
  <si>
    <t>Gijzen</t>
  </si>
  <si>
    <t>Remco</t>
  </si>
  <si>
    <t>van Mook</t>
  </si>
  <si>
    <t>Frearson</t>
  </si>
  <si>
    <t>Florence</t>
  </si>
  <si>
    <t>Lavroff</t>
  </si>
  <si>
    <t>Fzig Fibre</t>
  </si>
  <si>
    <t>Catalin</t>
  </si>
  <si>
    <t>Leanca</t>
  </si>
  <si>
    <t>Ole</t>
  </si>
  <si>
    <t>Jacobsen</t>
  </si>
  <si>
    <t>Mir Reza</t>
  </si>
  <si>
    <t>Raissi</t>
  </si>
  <si>
    <t>Benno</t>
  </si>
  <si>
    <t>Overeinder</t>
  </si>
  <si>
    <t>Gergana</t>
  </si>
  <si>
    <t>Petrova</t>
  </si>
  <si>
    <t>Reza</t>
  </si>
  <si>
    <t>Nozari</t>
  </si>
  <si>
    <t>Gerich</t>
  </si>
  <si>
    <t>Juri</t>
  </si>
  <si>
    <t>Bogdanov</t>
  </si>
  <si>
    <t>Julf</t>
  </si>
  <si>
    <t>Helsingius</t>
  </si>
  <si>
    <t>Shahin</t>
  </si>
  <si>
    <t>Gharghi</t>
  </si>
  <si>
    <t>Florin Cosmin</t>
  </si>
  <si>
    <t>Petre</t>
  </si>
  <si>
    <t>Hopkins</t>
  </si>
  <si>
    <t>Greg</t>
  </si>
  <si>
    <t>Hankins</t>
  </si>
  <si>
    <t>Petr</t>
  </si>
  <si>
    <t>Špaček</t>
  </si>
  <si>
    <t>Sascha</t>
  </si>
  <si>
    <t>Lopez</t>
  </si>
  <si>
    <t>Ahmed</t>
  </si>
  <si>
    <t>Aleroud</t>
  </si>
  <si>
    <t>Andrei Eric</t>
  </si>
  <si>
    <t>Băleanu</t>
  </si>
  <si>
    <t>Gert</t>
  </si>
  <si>
    <t>Döring</t>
  </si>
  <si>
    <t>Jose</t>
  </si>
  <si>
    <t>Leitao</t>
  </si>
  <si>
    <t>Shehab</t>
  </si>
  <si>
    <t>Hilario</t>
  </si>
  <si>
    <t>Tim</t>
  </si>
  <si>
    <t>Bruijnzeels</t>
  </si>
  <si>
    <t>Artem</t>
  </si>
  <si>
    <t>Arnautov</t>
  </si>
  <si>
    <t>Ali</t>
  </si>
  <si>
    <t>Hallal</t>
  </si>
  <si>
    <t>Ramet</t>
  </si>
  <si>
    <t>Khalili</t>
  </si>
  <si>
    <t>Hisham</t>
  </si>
  <si>
    <t>Ibrahim</t>
  </si>
  <si>
    <t>Petra</t>
  </si>
  <si>
    <t>Wensing</t>
  </si>
  <si>
    <t>Nigel</t>
  </si>
  <si>
    <t>Titley</t>
  </si>
  <si>
    <t>Nasr</t>
  </si>
  <si>
    <t>William Lee</t>
  </si>
  <si>
    <t>Howard</t>
  </si>
  <si>
    <t>Sabine</t>
  </si>
  <si>
    <t>Mader</t>
  </si>
  <si>
    <t>Shavarsh</t>
  </si>
  <si>
    <t>Ispiryan</t>
  </si>
  <si>
    <t>Adnan</t>
  </si>
  <si>
    <t>Kahloul</t>
  </si>
  <si>
    <t>Maryna</t>
  </si>
  <si>
    <t>Radchenko</t>
  </si>
  <si>
    <t>Ron</t>
  </si>
  <si>
    <t>da Silva</t>
  </si>
  <si>
    <t>Karolína</t>
  </si>
  <si>
    <t>Hlobilová</t>
  </si>
  <si>
    <t>Nils</t>
  </si>
  <si>
    <t>Beyrle</t>
  </si>
  <si>
    <t>Sjoerd</t>
  </si>
  <si>
    <t>Oostdijck</t>
  </si>
  <si>
    <t>Peter</t>
  </si>
  <si>
    <t>Hombach</t>
  </si>
  <si>
    <t>Wolfgang</t>
  </si>
  <si>
    <t>Zenker</t>
  </si>
  <si>
    <t>Dendy</t>
  </si>
  <si>
    <t>Naser</t>
  </si>
  <si>
    <t>Mahdi</t>
  </si>
  <si>
    <t>Lohff</t>
  </si>
  <si>
    <t>de la Haye</t>
  </si>
  <si>
    <t>Suzan</t>
  </si>
  <si>
    <t>AlKhadra</t>
  </si>
  <si>
    <t>Habib</t>
  </si>
  <si>
    <t>Al Balushi</t>
  </si>
  <si>
    <t>Kaveh</t>
  </si>
  <si>
    <t>Ranjbar</t>
  </si>
  <si>
    <t>Saloumeh</t>
  </si>
  <si>
    <t>Ghasemi</t>
  </si>
  <si>
    <t>Wilhelm</t>
  </si>
  <si>
    <t>Boeddinghaus</t>
  </si>
  <si>
    <t>Abdel-moniem</t>
  </si>
  <si>
    <t>Rezk</t>
  </si>
  <si>
    <t>AlShal</t>
  </si>
  <si>
    <t>Benedikt</t>
  </si>
  <si>
    <t>Stockebrand</t>
  </si>
  <si>
    <t>Lubor</t>
  </si>
  <si>
    <t>Jurena</t>
  </si>
  <si>
    <t>Rosenstein</t>
  </si>
  <si>
    <t>Marius</t>
  </si>
  <si>
    <t>Gruen</t>
  </si>
  <si>
    <t>Falk</t>
  </si>
  <si>
    <t>von Bornstaedt</t>
  </si>
  <si>
    <t>Musallam</t>
  </si>
  <si>
    <t>Alfarsi</t>
  </si>
  <si>
    <t>Amy</t>
  </si>
  <si>
    <t>Potter</t>
  </si>
  <si>
    <t>Boban</t>
  </si>
  <si>
    <t>Krsic</t>
  </si>
  <si>
    <t>Dalius</t>
  </si>
  <si>
    <t>Gikaras</t>
  </si>
  <si>
    <t>Afshin</t>
  </si>
  <si>
    <t>Vaezi</t>
  </si>
  <si>
    <t>Shahab</t>
  </si>
  <si>
    <t>Vahabzadeh</t>
  </si>
  <si>
    <t>Andrzej</t>
  </si>
  <si>
    <t>Pietkiewicz</t>
  </si>
  <si>
    <t>Juan</t>
  </si>
  <si>
    <t>Brenes</t>
  </si>
  <si>
    <t>Hadif</t>
  </si>
  <si>
    <t>AlMheiri</t>
  </si>
  <si>
    <t>Anna</t>
  </si>
  <si>
    <t>Chernii</t>
  </si>
  <si>
    <t>Jie</t>
  </si>
  <si>
    <t>Li</t>
  </si>
  <si>
    <t>Ronan</t>
  </si>
  <si>
    <t>Mullally</t>
  </si>
  <si>
    <t>Sohaib</t>
  </si>
  <si>
    <t>Ingrid</t>
  </si>
  <si>
    <t>Wijte</t>
  </si>
  <si>
    <t>Pete</t>
  </si>
  <si>
    <t>Hall</t>
  </si>
  <si>
    <t>Colin</t>
  </si>
  <si>
    <t>Petrie</t>
  </si>
  <si>
    <t>Sahel</t>
  </si>
  <si>
    <t>Jabri</t>
  </si>
  <si>
    <t>SY</t>
  </si>
  <si>
    <t>Ana Rita</t>
  </si>
  <si>
    <t>Cavadas</t>
  </si>
  <si>
    <t>Michael David</t>
  </si>
  <si>
    <t>Hazas</t>
  </si>
  <si>
    <t>Ignas</t>
  </si>
  <si>
    <t>Bagdonas</t>
  </si>
  <si>
    <t>Babak</t>
  </si>
  <si>
    <t>Farrokhi</t>
  </si>
  <si>
    <t>Tarek</t>
  </si>
  <si>
    <t>Fouad</t>
  </si>
  <si>
    <t>Trammell</t>
  </si>
  <si>
    <t>Andersen</t>
  </si>
  <si>
    <t>CA</t>
  </si>
  <si>
    <t>Louis</t>
  </si>
  <si>
    <t>Poinsignon</t>
  </si>
  <si>
    <t>Matěj</t>
  </si>
  <si>
    <t>Grégr</t>
  </si>
  <si>
    <t>Fatima</t>
  </si>
  <si>
    <t>AlDaghar</t>
  </si>
  <si>
    <t>Will</t>
  </si>
  <si>
    <t>Hargrave</t>
  </si>
  <si>
    <t>Kenji</t>
  </si>
  <si>
    <t>Shioda</t>
  </si>
  <si>
    <t>Farhad</t>
  </si>
  <si>
    <t>Farjadmanesh</t>
  </si>
  <si>
    <t>Mehmet</t>
  </si>
  <si>
    <t>Tik</t>
  </si>
  <si>
    <t>Jelte</t>
  </si>
  <si>
    <t>Jansen</t>
  </si>
  <si>
    <t>Maria Isabel</t>
  </si>
  <si>
    <t>Gandía</t>
  </si>
  <si>
    <t>Leen</t>
  </si>
  <si>
    <t>Hanoun</t>
  </si>
  <si>
    <t>Rendek</t>
  </si>
  <si>
    <t>Ivana</t>
  </si>
  <si>
    <t>Tomic</t>
  </si>
  <si>
    <t>Adrian-Victor</t>
  </si>
  <si>
    <t>Vevera</t>
  </si>
  <si>
    <t>Hessler</t>
  </si>
  <si>
    <t>Bras</t>
  </si>
  <si>
    <t>Harendt</t>
  </si>
  <si>
    <t>Sandoche</t>
  </si>
  <si>
    <t>Balakrichenan</t>
  </si>
  <si>
    <t>Mohammad</t>
  </si>
  <si>
    <t>Khatibi</t>
  </si>
  <si>
    <t>Tremmel</t>
  </si>
  <si>
    <t>Uta</t>
  </si>
  <si>
    <t>Meier-Hahn</t>
  </si>
  <si>
    <t>Julia</t>
  </si>
  <si>
    <t>Gimaletdinova</t>
  </si>
  <si>
    <t>Milad</t>
  </si>
  <si>
    <t>Afshari</t>
  </si>
  <si>
    <t>Prem</t>
  </si>
  <si>
    <t>Gurbani</t>
  </si>
  <si>
    <t>Feras</t>
  </si>
  <si>
    <t>Bakkour</t>
  </si>
  <si>
    <t>Hoogsteder</t>
  </si>
  <si>
    <t>Salih</t>
  </si>
  <si>
    <t>Armstrong</t>
  </si>
  <si>
    <t>Mohammad Ali</t>
  </si>
  <si>
    <t>Yousefizadeh</t>
  </si>
  <si>
    <t>Gabriel</t>
  </si>
  <si>
    <t>Ajabahian</t>
  </si>
  <si>
    <t>Tobias</t>
  </si>
  <si>
    <t>Kuettner</t>
  </si>
  <si>
    <t>Evgeniya</t>
  </si>
  <si>
    <t>Linkova</t>
  </si>
  <si>
    <t>Sara Giovanna</t>
  </si>
  <si>
    <t>Solmone</t>
  </si>
  <si>
    <t>Hilbrink</t>
  </si>
  <si>
    <t>Piotr</t>
  </si>
  <si>
    <t>Strzyżewski</t>
  </si>
  <si>
    <t>Filippe</t>
  </si>
  <si>
    <t>Duke</t>
  </si>
  <si>
    <t>Pillay</t>
  </si>
  <si>
    <t>Elif</t>
  </si>
  <si>
    <t>Sert</t>
  </si>
  <si>
    <t>TR</t>
  </si>
  <si>
    <t>Geoffrey</t>
  </si>
  <si>
    <t>Huston</t>
  </si>
  <si>
    <t>Wais</t>
  </si>
  <si>
    <t>Rashid</t>
  </si>
  <si>
    <t>IQ</t>
  </si>
  <si>
    <t>Anders</t>
  </si>
  <si>
    <t>Bjurnemark</t>
  </si>
  <si>
    <t>Alawadhi</t>
  </si>
  <si>
    <t>Arnold</t>
  </si>
  <si>
    <t>Nipper</t>
  </si>
  <si>
    <t>Maria</t>
  </si>
  <si>
    <t>Häll</t>
  </si>
  <si>
    <t>Steven</t>
  </si>
  <si>
    <t>Leander</t>
  </si>
  <si>
    <t>DK</t>
  </si>
  <si>
    <t>Jad</t>
  </si>
  <si>
    <t>El Cham</t>
  </si>
  <si>
    <t>Maya</t>
  </si>
  <si>
    <t>Kodeih</t>
  </si>
  <si>
    <t>Anton</t>
  </si>
  <si>
    <t>Samoilenko</t>
  </si>
  <si>
    <t>Miles</t>
  </si>
  <si>
    <t>McCredie</t>
  </si>
  <si>
    <t>Mahmoud</t>
  </si>
  <si>
    <t>Halimeh</t>
  </si>
  <si>
    <t>Prasoon</t>
  </si>
  <si>
    <t>Gopinath</t>
  </si>
  <si>
    <t>Farnoush</t>
  </si>
  <si>
    <t>Zilvinas</t>
  </si>
  <si>
    <t>Krapavickas</t>
  </si>
  <si>
    <t>Schmidt</t>
  </si>
  <si>
    <t>João Luis</t>
  </si>
  <si>
    <t>Silva Damas</t>
  </si>
  <si>
    <t>Munir</t>
  </si>
  <si>
    <t>Badr</t>
  </si>
  <si>
    <t>Mihai</t>
  </si>
  <si>
    <t>Barbulescu</t>
  </si>
  <si>
    <t>Steinhaeuser</t>
  </si>
  <si>
    <t>Cziva</t>
  </si>
  <si>
    <t>Mohamed</t>
  </si>
  <si>
    <t>Salah</t>
  </si>
  <si>
    <t>SD</t>
  </si>
  <si>
    <t>Fredrik</t>
  </si>
  <si>
    <t>Korsbäck</t>
  </si>
  <si>
    <t>Rask</t>
  </si>
  <si>
    <t>Evgenii</t>
  </si>
  <si>
    <t>Mamontov</t>
  </si>
  <si>
    <t>Malcolm</t>
  </si>
  <si>
    <t>Hutty</t>
  </si>
  <si>
    <t>Sepehr</t>
  </si>
  <si>
    <t>Ashoori</t>
  </si>
  <si>
    <t>Ivan</t>
  </si>
  <si>
    <t>Sanz</t>
  </si>
  <si>
    <t>Adonaylo</t>
  </si>
  <si>
    <t>AR</t>
  </si>
  <si>
    <t>Jack</t>
  </si>
  <si>
    <t>Harnez</t>
  </si>
  <si>
    <t>Gery</t>
  </si>
  <si>
    <t>Van Emelen</t>
  </si>
  <si>
    <t>Salman</t>
  </si>
  <si>
    <t>Becker</t>
  </si>
  <si>
    <t>Klaas</t>
  </si>
  <si>
    <t>Tammling</t>
  </si>
  <si>
    <t>Mirjam</t>
  </si>
  <si>
    <t>Kühne</t>
  </si>
  <si>
    <t>Momeni</t>
  </si>
  <si>
    <t>Mohamad</t>
  </si>
  <si>
    <t>Choaib</t>
  </si>
  <si>
    <t>Dennis</t>
  </si>
  <si>
    <t>Paolo</t>
  </si>
  <si>
    <t>Moroni</t>
  </si>
  <si>
    <t>Hamid</t>
  </si>
  <si>
    <t>Nabizadeh Alamdari</t>
  </si>
  <si>
    <t>Massimo</t>
  </si>
  <si>
    <t>Candela</t>
  </si>
  <si>
    <t>Ali Taghavi</t>
  </si>
  <si>
    <t>King</t>
  </si>
  <si>
    <t>Athina</t>
  </si>
  <si>
    <t>Fragkouli</t>
  </si>
  <si>
    <t>Simon</t>
  </si>
  <si>
    <t>Muyal</t>
  </si>
  <si>
    <t>Adel</t>
  </si>
  <si>
    <t>Shahini</t>
  </si>
  <si>
    <t>Serge</t>
  </si>
  <si>
    <t>Radovcic</t>
  </si>
  <si>
    <t>Kyryliuk</t>
  </si>
  <si>
    <t>Leif</t>
  </si>
  <si>
    <t>Sawyer</t>
  </si>
  <si>
    <t>Bernd</t>
  </si>
  <si>
    <t>Spiess</t>
  </si>
  <si>
    <t>Vahan</t>
  </si>
  <si>
    <t>Hovsepyan</t>
  </si>
  <si>
    <t>Mohammed</t>
  </si>
  <si>
    <t>Al-Jaghbeer</t>
  </si>
  <si>
    <t>Kseniya</t>
  </si>
  <si>
    <t>Sokol</t>
  </si>
  <si>
    <t>Joao</t>
  </si>
  <si>
    <t>Silveira</t>
  </si>
  <si>
    <t>Luai</t>
  </si>
  <si>
    <t>Hasnawi</t>
  </si>
  <si>
    <t>Curran</t>
  </si>
  <si>
    <t>Yuliy</t>
  </si>
  <si>
    <t>Nushev</t>
  </si>
  <si>
    <t>Rumy</t>
  </si>
  <si>
    <t>Kanis</t>
  </si>
  <si>
    <t>Xavier</t>
  </si>
  <si>
    <t>Le Bris</t>
  </si>
  <si>
    <t>Rodriguez</t>
  </si>
  <si>
    <t>Marcos</t>
  </si>
  <si>
    <t>Sanz Grosson</t>
  </si>
  <si>
    <t>Axel</t>
  </si>
  <si>
    <t>Pawlik</t>
  </si>
  <si>
    <t>Antony</t>
  </si>
  <si>
    <t>Gollan</t>
  </si>
  <si>
    <t>Timothy</t>
  </si>
  <si>
    <t>Agustín</t>
  </si>
  <si>
    <t>Formoso</t>
  </si>
  <si>
    <t>UY</t>
  </si>
  <si>
    <t>Romeo</t>
  </si>
  <si>
    <t>Zwart</t>
  </si>
  <si>
    <t>Jeremie</t>
  </si>
  <si>
    <t>Delassus</t>
  </si>
  <si>
    <t>Hostacny</t>
  </si>
  <si>
    <t>Alun</t>
  </si>
  <si>
    <t>Frank</t>
  </si>
  <si>
    <t>Blankman</t>
  </si>
  <si>
    <t>Client ID</t>
  </si>
  <si>
    <t>Lookup Lists</t>
  </si>
  <si>
    <t>Country Codes</t>
  </si>
  <si>
    <t>Status</t>
  </si>
  <si>
    <t>C</t>
  </si>
  <si>
    <t>A</t>
  </si>
  <si>
    <t>B</t>
  </si>
  <si>
    <t>Start Date</t>
  </si>
  <si>
    <t>Events</t>
  </si>
  <si>
    <t>New*</t>
  </si>
  <si>
    <t>Events Attended</t>
  </si>
  <si>
    <t>Bronze</t>
  </si>
  <si>
    <t>Silver</t>
  </si>
  <si>
    <t>Gold</t>
  </si>
  <si>
    <t>Platinum</t>
  </si>
  <si>
    <t>Number</t>
  </si>
  <si>
    <t>Started After:</t>
  </si>
  <si>
    <t>D</t>
  </si>
  <si>
    <t>E</t>
  </si>
  <si>
    <t>F</t>
  </si>
  <si>
    <t>G</t>
  </si>
  <si>
    <t>Gift?</t>
  </si>
  <si>
    <t>Country Code</t>
  </si>
  <si>
    <t>Organisation Code</t>
  </si>
  <si>
    <t>Organisation Name</t>
  </si>
  <si>
    <t>A1193</t>
  </si>
  <si>
    <t>A1357</t>
  </si>
  <si>
    <t>A1517</t>
  </si>
  <si>
    <t>A1675</t>
  </si>
  <si>
    <t>B1327</t>
  </si>
  <si>
    <t>C1674</t>
  </si>
  <si>
    <t>C1640</t>
  </si>
  <si>
    <t>C1227</t>
  </si>
  <si>
    <t>C1821</t>
  </si>
  <si>
    <t>C1822</t>
  </si>
  <si>
    <t>D1374</t>
  </si>
  <si>
    <t>D1346</t>
  </si>
  <si>
    <t>D1686</t>
  </si>
  <si>
    <t>E1416</t>
  </si>
  <si>
    <t>E1794</t>
  </si>
  <si>
    <t>E1987</t>
  </si>
  <si>
    <t>E1691</t>
  </si>
  <si>
    <t>F1631</t>
  </si>
  <si>
    <t>H1224</t>
  </si>
  <si>
    <t>I1825</t>
  </si>
  <si>
    <t>I1586</t>
  </si>
  <si>
    <t>I1201</t>
  </si>
  <si>
    <t>L1105</t>
  </si>
  <si>
    <t>M1109</t>
  </si>
  <si>
    <t>N1159</t>
  </si>
  <si>
    <t>O1384</t>
  </si>
  <si>
    <t>P1088</t>
  </si>
  <si>
    <t>P1683</t>
  </si>
  <si>
    <t>P1836</t>
  </si>
  <si>
    <t>P1779</t>
  </si>
  <si>
    <t>Q1608</t>
  </si>
  <si>
    <t>R1735</t>
  </si>
  <si>
    <t>R1392</t>
  </si>
  <si>
    <t>S1643</t>
  </si>
  <si>
    <t>S1675</t>
  </si>
  <si>
    <t>S1436</t>
  </si>
  <si>
    <t>T1058</t>
  </si>
  <si>
    <t>T1538</t>
  </si>
  <si>
    <t>U1669</t>
  </si>
  <si>
    <t>V1744</t>
  </si>
  <si>
    <t>W1758</t>
  </si>
  <si>
    <t>W1513</t>
  </si>
  <si>
    <t>W1369</t>
  </si>
  <si>
    <t>x1304</t>
  </si>
  <si>
    <t>Z1567</t>
  </si>
  <si>
    <t>Z1522</t>
  </si>
  <si>
    <t>Org Code</t>
  </si>
  <si>
    <t>United Arab Emirates</t>
  </si>
  <si>
    <t>Armenia</t>
  </si>
  <si>
    <t>Argentina</t>
  </si>
  <si>
    <t>Austria</t>
  </si>
  <si>
    <t>Australia</t>
  </si>
  <si>
    <t>Belgium</t>
  </si>
  <si>
    <t>Bulgaria</t>
  </si>
  <si>
    <t>Bahrain</t>
  </si>
  <si>
    <t>Canada</t>
  </si>
  <si>
    <t>Switzerland</t>
  </si>
  <si>
    <t>Czech Republic</t>
  </si>
  <si>
    <t>Germany</t>
  </si>
  <si>
    <t>Denmark</t>
  </si>
  <si>
    <t>Estonia</t>
  </si>
  <si>
    <t>Spain</t>
  </si>
  <si>
    <t>Finland</t>
  </si>
  <si>
    <t>France</t>
  </si>
  <si>
    <t>United Kingdom</t>
  </si>
  <si>
    <t>Greece</t>
  </si>
  <si>
    <t>Hong Kong</t>
  </si>
  <si>
    <t>Hungary</t>
  </si>
  <si>
    <t>Ireland</t>
  </si>
  <si>
    <t>Iraq</t>
  </si>
  <si>
    <t>Iran</t>
  </si>
  <si>
    <t>Italy</t>
  </si>
  <si>
    <t>Jordan</t>
  </si>
  <si>
    <t>Japan</t>
  </si>
  <si>
    <t>Kenya</t>
  </si>
  <si>
    <t>Kuwait</t>
  </si>
  <si>
    <t>Lebanon</t>
  </si>
  <si>
    <t>Lithuania</t>
  </si>
  <si>
    <t>Mauritius</t>
  </si>
  <si>
    <t>Malaysia</t>
  </si>
  <si>
    <t>Netherlands</t>
  </si>
  <si>
    <t>Norway</t>
  </si>
  <si>
    <t>New Zealand</t>
  </si>
  <si>
    <t>Oman</t>
  </si>
  <si>
    <t>Poland</t>
  </si>
  <si>
    <t>Palestinian Territories</t>
  </si>
  <si>
    <t>Portugal</t>
  </si>
  <si>
    <t>Romania</t>
  </si>
  <si>
    <t>Russia</t>
  </si>
  <si>
    <t>Saudi Arabia</t>
  </si>
  <si>
    <t>Sudan</t>
  </si>
  <si>
    <t>Sweden</t>
  </si>
  <si>
    <t>Slovenia</t>
  </si>
  <si>
    <t>Slovakia</t>
  </si>
  <si>
    <t>Syria</t>
  </si>
  <si>
    <t>Turkey</t>
  </si>
  <si>
    <t>Ukraine</t>
  </si>
  <si>
    <t>Uganda</t>
  </si>
  <si>
    <t>United States</t>
  </si>
  <si>
    <t>Uruguay</t>
  </si>
  <si>
    <t>From UK or US</t>
  </si>
  <si>
    <t>Event Attendee List</t>
  </si>
  <si>
    <t>Start Year</t>
  </si>
  <si>
    <t>Meal</t>
  </si>
  <si>
    <t>Vegan</t>
  </si>
  <si>
    <t>Special</t>
  </si>
  <si>
    <t>Regular</t>
  </si>
  <si>
    <t>Vegetarian</t>
  </si>
  <si>
    <t>Seating</t>
  </si>
  <si>
    <t>Days</t>
  </si>
  <si>
    <t>Costs</t>
  </si>
  <si>
    <t>Price</t>
  </si>
  <si>
    <t>After Discount</t>
  </si>
  <si>
    <t>Total Price</t>
  </si>
  <si>
    <t>After Discounts</t>
  </si>
  <si>
    <t>Price/Day</t>
  </si>
  <si>
    <t>1 Day</t>
  </si>
  <si>
    <t>More than 1 day</t>
  </si>
  <si>
    <t>Discount</t>
  </si>
  <si>
    <t>10+</t>
  </si>
  <si>
    <t>5 to 9</t>
  </si>
  <si>
    <t/>
  </si>
  <si>
    <t xml:space="preserve"> Gifts</t>
  </si>
  <si>
    <t>Attendees from</t>
  </si>
  <si>
    <t>Seating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</si>
</sst>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9" x14ac:knownFonts="1"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sz val="11"/>
      <color theme="0"/>
      <name val="Tw Cen MT"/>
      <family val="2"/>
      <scheme val="minor"/>
    </font>
    <font>
      <sz val="28"/>
      <color theme="0"/>
      <name val="Tw Cen MT"/>
      <family val="2"/>
      <scheme val="major"/>
    </font>
    <font>
      <b/>
      <sz val="12"/>
      <color theme="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name val="Tw Cen MT"/>
      <family val="2"/>
      <scheme val="minor"/>
    </font>
    <font>
      <sz val="12"/>
      <name val="Tw Cen MT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5" borderId="0" applyNumberFormat="0" applyBorder="0" applyAlignment="0" applyProtection="0"/>
  </cellStyleXfs>
  <cellXfs count="51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4" fillId="2" borderId="0" xfId="2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3" fillId="4" borderId="0" xfId="1" applyFont="1" applyFill="1" applyAlignment="1">
      <alignment horizontal="left" vertical="center"/>
    </xf>
    <xf numFmtId="0" fontId="4" fillId="2" borderId="0" xfId="2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2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left" vertical="center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4" fillId="2" borderId="0" xfId="2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4" fillId="2" borderId="0" xfId="2" applyNumberFormat="1" applyFont="1" applyBorder="1" applyAlignment="1">
      <alignment horizontal="left" vertical="center"/>
    </xf>
    <xf numFmtId="0" fontId="0" fillId="0" borderId="2" xfId="0" applyBorder="1" applyAlignment="1"/>
    <xf numFmtId="0" fontId="0" fillId="0" borderId="9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165" fontId="0" fillId="0" borderId="2" xfId="0" applyNumberFormat="1" applyBorder="1"/>
    <xf numFmtId="9" fontId="0" fillId="0" borderId="4" xfId="0" applyNumberFormat="1" applyBorder="1"/>
    <xf numFmtId="0" fontId="0" fillId="0" borderId="8" xfId="0" applyNumberFormat="1" applyBorder="1"/>
    <xf numFmtId="165" fontId="0" fillId="0" borderId="8" xfId="0" applyNumberFormat="1" applyBorder="1"/>
    <xf numFmtId="0" fontId="0" fillId="0" borderId="0" xfId="0" applyNumberFormat="1" applyAlignment="1">
      <alignment horizontal="center"/>
    </xf>
    <xf numFmtId="0" fontId="7" fillId="6" borderId="0" xfId="0" applyFont="1" applyFill="1"/>
    <xf numFmtId="0" fontId="8" fillId="6" borderId="0" xfId="2" applyFont="1" applyFill="1" applyBorder="1" applyAlignment="1">
      <alignment horizontal="left" vertical="center"/>
    </xf>
    <xf numFmtId="0" fontId="6" fillId="5" borderId="3" xfId="3" applyBorder="1" applyAlignment="1">
      <alignment horizontal="center"/>
    </xf>
    <xf numFmtId="0" fontId="6" fillId="5" borderId="5" xfId="3" applyBorder="1" applyAlignment="1">
      <alignment horizontal="center"/>
    </xf>
    <xf numFmtId="0" fontId="6" fillId="5" borderId="7" xfId="3" applyBorder="1" applyAlignment="1">
      <alignment horizontal="center"/>
    </xf>
  </cellXfs>
  <cellStyles count="4">
    <cellStyle name="20% - Ênfase1" xfId="3" builtinId="30"/>
    <cellStyle name="Ênfase1" xfId="2" builtinId="29"/>
    <cellStyle name="Normal" xfId="0" builtinId="0"/>
    <cellStyle name="Título" xfId="1" builtinId="15"/>
  </cellStyles>
  <dxfs count="31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7" tint="0.79998168889431442"/>
        </patternFill>
      </fill>
      <border diagonalUp="0" diagonalDown="0">
        <left/>
        <right/>
      </border>
    </dxf>
    <dxf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font>
        <sz val="8"/>
        <color theme="7" tint="-0.24994659260841701"/>
      </font>
      <border diagonalUp="0" diagonalDown="0">
        <left/>
        <right/>
        <top/>
        <bottom style="thin">
          <color theme="7"/>
        </bottom>
        <vertical/>
        <horizontal/>
      </border>
    </dxf>
    <dxf>
      <font>
        <sz val="8"/>
        <color theme="7" tint="-0.24994659260841701"/>
      </font>
    </dxf>
  </dxfs>
  <tableStyles count="1" defaultTableStyle="TableStyleMedium2" defaultPivotStyle="PivotStyleLight16">
    <tableStyle name="Table Style 1" pivot="0" count="4" xr9:uid="{00000000-0011-0000-FFFF-FFFF00000000}">
      <tableStyleElement type="wholeTable" dxfId="30"/>
      <tableStyleElement type="headerRow" dxfId="29"/>
      <tableStyleElement type="totalRow" dxfId="28"/>
      <tableStyleElement type="first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</xdr:colOff>
      <xdr:row>0</xdr:row>
      <xdr:rowOff>1</xdr:rowOff>
    </xdr:from>
    <xdr:to>
      <xdr:col>17</xdr:col>
      <xdr:colOff>719137</xdr:colOff>
      <xdr:row>0</xdr:row>
      <xdr:rowOff>171451</xdr:rowOff>
    </xdr:to>
    <xdr:grpSp>
      <xdr:nvGrpSpPr>
        <xdr:cNvPr id="1154" name="Group 1153">
          <a:extLst>
            <a:ext uri="{FF2B5EF4-FFF2-40B4-BE49-F238E27FC236}">
              <a16:creationId xmlns:a16="http://schemas.microsoft.com/office/drawing/2014/main" id="{9BE086F5-9027-4543-BA6A-A9CEBA11C56A}"/>
            </a:ext>
          </a:extLst>
        </xdr:cNvPr>
        <xdr:cNvGrpSpPr/>
      </xdr:nvGrpSpPr>
      <xdr:grpSpPr>
        <a:xfrm>
          <a:off x="4233" y="1"/>
          <a:ext cx="15964429" cy="171450"/>
          <a:chOff x="4233" y="0"/>
          <a:chExt cx="10723034" cy="177800"/>
        </a:xfrm>
      </xdr:grpSpPr>
      <xdr:grpSp>
        <xdr:nvGrpSpPr>
          <xdr:cNvPr id="290" name="Title Border" descr="Flourish pattern" title="Title Border">
            <a:extLst>
              <a:ext uri="{FF2B5EF4-FFF2-40B4-BE49-F238E27FC236}">
                <a16:creationId xmlns:a16="http://schemas.microsoft.com/office/drawing/2014/main" id="{356610AD-9830-444A-9A7C-7631F3ADF047}"/>
              </a:ext>
            </a:extLst>
          </xdr:cNvPr>
          <xdr:cNvGrpSpPr/>
        </xdr:nvGrpSpPr>
        <xdr:grpSpPr>
          <a:xfrm>
            <a:off x="4233" y="8467"/>
            <a:ext cx="5363634" cy="169333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291" name="Group 3">
              <a:extLst>
                <a:ext uri="{FF2B5EF4-FFF2-40B4-BE49-F238E27FC236}">
                  <a16:creationId xmlns:a16="http://schemas.microsoft.com/office/drawing/2014/main" id="{96169DD9-731B-4F00-B0A4-A40423223185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322" name="Group 204">
                <a:extLst>
                  <a:ext uri="{FF2B5EF4-FFF2-40B4-BE49-F238E27FC236}">
                    <a16:creationId xmlns:a16="http://schemas.microsoft.com/office/drawing/2014/main" id="{DAF81C09-34FF-4E39-8157-E6F12916C91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379" name="Freeform 5">
                  <a:extLst>
                    <a:ext uri="{FF2B5EF4-FFF2-40B4-BE49-F238E27FC236}">
                      <a16:creationId xmlns:a16="http://schemas.microsoft.com/office/drawing/2014/main" id="{6540044B-DAED-4133-8E6B-F9354C6C1F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0" name="Freeform 6">
                  <a:extLst>
                    <a:ext uri="{FF2B5EF4-FFF2-40B4-BE49-F238E27FC236}">
                      <a16:creationId xmlns:a16="http://schemas.microsoft.com/office/drawing/2014/main" id="{0A570159-B923-4678-9A90-FA1259279D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1" name="Freeform 7">
                  <a:extLst>
                    <a:ext uri="{FF2B5EF4-FFF2-40B4-BE49-F238E27FC236}">
                      <a16:creationId xmlns:a16="http://schemas.microsoft.com/office/drawing/2014/main" id="{EB520351-B34D-4ADC-896A-D22449069E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2" name="Freeform 8">
                  <a:extLst>
                    <a:ext uri="{FF2B5EF4-FFF2-40B4-BE49-F238E27FC236}">
                      <a16:creationId xmlns:a16="http://schemas.microsoft.com/office/drawing/2014/main" id="{9B934D52-352F-4166-8FB3-7CB95C4E37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3" name="Freeform 9">
                  <a:extLst>
                    <a:ext uri="{FF2B5EF4-FFF2-40B4-BE49-F238E27FC236}">
                      <a16:creationId xmlns:a16="http://schemas.microsoft.com/office/drawing/2014/main" id="{CA919D9F-6A01-4FB9-A807-DE924FC7CD3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4" name="Freeform 10">
                  <a:extLst>
                    <a:ext uri="{FF2B5EF4-FFF2-40B4-BE49-F238E27FC236}">
                      <a16:creationId xmlns:a16="http://schemas.microsoft.com/office/drawing/2014/main" id="{1AF038AC-6B2F-4C3E-A411-166C9108AC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5" name="Freeform 11">
                  <a:extLst>
                    <a:ext uri="{FF2B5EF4-FFF2-40B4-BE49-F238E27FC236}">
                      <a16:creationId xmlns:a16="http://schemas.microsoft.com/office/drawing/2014/main" id="{DF2157FE-DE2B-443C-8454-EF0666D4F4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6" name="Freeform 12">
                  <a:extLst>
                    <a:ext uri="{FF2B5EF4-FFF2-40B4-BE49-F238E27FC236}">
                      <a16:creationId xmlns:a16="http://schemas.microsoft.com/office/drawing/2014/main" id="{50F858C8-7FC2-4E0A-AE16-7BF7E8824E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7" name="Freeform 13">
                  <a:extLst>
                    <a:ext uri="{FF2B5EF4-FFF2-40B4-BE49-F238E27FC236}">
                      <a16:creationId xmlns:a16="http://schemas.microsoft.com/office/drawing/2014/main" id="{94D2717E-99BA-46D0-A00C-0642D50E45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8" name="Freeform 14">
                  <a:extLst>
                    <a:ext uri="{FF2B5EF4-FFF2-40B4-BE49-F238E27FC236}">
                      <a16:creationId xmlns:a16="http://schemas.microsoft.com/office/drawing/2014/main" id="{C9E217A0-279C-4BFE-8E51-F0533D2A41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9" name="Freeform 15">
                  <a:extLst>
                    <a:ext uri="{FF2B5EF4-FFF2-40B4-BE49-F238E27FC236}">
                      <a16:creationId xmlns:a16="http://schemas.microsoft.com/office/drawing/2014/main" id="{8095DF4B-8992-4A19-8966-BA0065736E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0" name="Freeform 16">
                  <a:extLst>
                    <a:ext uri="{FF2B5EF4-FFF2-40B4-BE49-F238E27FC236}">
                      <a16:creationId xmlns:a16="http://schemas.microsoft.com/office/drawing/2014/main" id="{0B6699F9-1615-4BED-A2E7-3A0ED4D483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1" name="Freeform 17">
                  <a:extLst>
                    <a:ext uri="{FF2B5EF4-FFF2-40B4-BE49-F238E27FC236}">
                      <a16:creationId xmlns:a16="http://schemas.microsoft.com/office/drawing/2014/main" id="{5AD274DB-3C87-4055-8B45-39EB51CAF9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2" name="Freeform 18">
                  <a:extLst>
                    <a:ext uri="{FF2B5EF4-FFF2-40B4-BE49-F238E27FC236}">
                      <a16:creationId xmlns:a16="http://schemas.microsoft.com/office/drawing/2014/main" id="{6BC6C5C2-3CAA-420D-835E-5B9E1A4A53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3" name="Freeform 19">
                  <a:extLst>
                    <a:ext uri="{FF2B5EF4-FFF2-40B4-BE49-F238E27FC236}">
                      <a16:creationId xmlns:a16="http://schemas.microsoft.com/office/drawing/2014/main" id="{761469E8-6B55-42B9-B949-2EA866D68C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4" name="Freeform 20">
                  <a:extLst>
                    <a:ext uri="{FF2B5EF4-FFF2-40B4-BE49-F238E27FC236}">
                      <a16:creationId xmlns:a16="http://schemas.microsoft.com/office/drawing/2014/main" id="{1B778F30-BA0B-4462-8D0B-CCB7B0B931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5" name="Freeform 21">
                  <a:extLst>
                    <a:ext uri="{FF2B5EF4-FFF2-40B4-BE49-F238E27FC236}">
                      <a16:creationId xmlns:a16="http://schemas.microsoft.com/office/drawing/2014/main" id="{71FE0420-B118-4674-BAC1-3CE9176404D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6" name="Freeform 22">
                  <a:extLst>
                    <a:ext uri="{FF2B5EF4-FFF2-40B4-BE49-F238E27FC236}">
                      <a16:creationId xmlns:a16="http://schemas.microsoft.com/office/drawing/2014/main" id="{6118BC50-98C0-4B48-9A5E-6F0E705D56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7" name="Freeform 23">
                  <a:extLst>
                    <a:ext uri="{FF2B5EF4-FFF2-40B4-BE49-F238E27FC236}">
                      <a16:creationId xmlns:a16="http://schemas.microsoft.com/office/drawing/2014/main" id="{52E2F3A2-452E-452E-B8DF-AF7F14781B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8" name="Freeform 24">
                  <a:extLst>
                    <a:ext uri="{FF2B5EF4-FFF2-40B4-BE49-F238E27FC236}">
                      <a16:creationId xmlns:a16="http://schemas.microsoft.com/office/drawing/2014/main" id="{D8B8D7CA-0BE2-486A-B4F3-12BF682C3C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9" name="Freeform 25">
                  <a:extLst>
                    <a:ext uri="{FF2B5EF4-FFF2-40B4-BE49-F238E27FC236}">
                      <a16:creationId xmlns:a16="http://schemas.microsoft.com/office/drawing/2014/main" id="{952B2A3F-D59A-4879-BBC2-71577E63D4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0" name="Freeform 26">
                  <a:extLst>
                    <a:ext uri="{FF2B5EF4-FFF2-40B4-BE49-F238E27FC236}">
                      <a16:creationId xmlns:a16="http://schemas.microsoft.com/office/drawing/2014/main" id="{51C00B0F-3AD9-43AC-9107-B81104729F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1" name="Freeform 27">
                  <a:extLst>
                    <a:ext uri="{FF2B5EF4-FFF2-40B4-BE49-F238E27FC236}">
                      <a16:creationId xmlns:a16="http://schemas.microsoft.com/office/drawing/2014/main" id="{58565D80-A2BA-46C1-A9FD-0D081B0207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2" name="Freeform 28">
                  <a:extLst>
                    <a:ext uri="{FF2B5EF4-FFF2-40B4-BE49-F238E27FC236}">
                      <a16:creationId xmlns:a16="http://schemas.microsoft.com/office/drawing/2014/main" id="{45495298-988F-4A0A-8EB6-8EB793E5AD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3" name="Freeform 29">
                  <a:extLst>
                    <a:ext uri="{FF2B5EF4-FFF2-40B4-BE49-F238E27FC236}">
                      <a16:creationId xmlns:a16="http://schemas.microsoft.com/office/drawing/2014/main" id="{201DFE96-56BE-4FC0-B1B2-0F6B2B832A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4" name="Freeform 30">
                  <a:extLst>
                    <a:ext uri="{FF2B5EF4-FFF2-40B4-BE49-F238E27FC236}">
                      <a16:creationId xmlns:a16="http://schemas.microsoft.com/office/drawing/2014/main" id="{EA3A8548-5E59-4530-9547-80DB46D877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5" name="Freeform 31">
                  <a:extLst>
                    <a:ext uri="{FF2B5EF4-FFF2-40B4-BE49-F238E27FC236}">
                      <a16:creationId xmlns:a16="http://schemas.microsoft.com/office/drawing/2014/main" id="{40C03D09-735A-497F-B8DE-4C4A02800FC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6" name="Freeform 32">
                  <a:extLst>
                    <a:ext uri="{FF2B5EF4-FFF2-40B4-BE49-F238E27FC236}">
                      <a16:creationId xmlns:a16="http://schemas.microsoft.com/office/drawing/2014/main" id="{4EC5C832-00EE-441E-943A-FCE8C82659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7" name="Freeform 33">
                  <a:extLst>
                    <a:ext uri="{FF2B5EF4-FFF2-40B4-BE49-F238E27FC236}">
                      <a16:creationId xmlns:a16="http://schemas.microsoft.com/office/drawing/2014/main" id="{E8C40189-8D36-4A62-9DA7-2AC3AA016A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8" name="Freeform 34">
                  <a:extLst>
                    <a:ext uri="{FF2B5EF4-FFF2-40B4-BE49-F238E27FC236}">
                      <a16:creationId xmlns:a16="http://schemas.microsoft.com/office/drawing/2014/main" id="{592D38F6-ED5F-46D1-80A5-B3186908C9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9" name="Freeform 35">
                  <a:extLst>
                    <a:ext uri="{FF2B5EF4-FFF2-40B4-BE49-F238E27FC236}">
                      <a16:creationId xmlns:a16="http://schemas.microsoft.com/office/drawing/2014/main" id="{5DAECFA8-7048-43A0-A31D-74E4537E90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0" name="Freeform 36">
                  <a:extLst>
                    <a:ext uri="{FF2B5EF4-FFF2-40B4-BE49-F238E27FC236}">
                      <a16:creationId xmlns:a16="http://schemas.microsoft.com/office/drawing/2014/main" id="{51BF0642-C0A5-40BF-ADB3-AAC8D4C8F1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1" name="Freeform 37">
                  <a:extLst>
                    <a:ext uri="{FF2B5EF4-FFF2-40B4-BE49-F238E27FC236}">
                      <a16:creationId xmlns:a16="http://schemas.microsoft.com/office/drawing/2014/main" id="{415B34F1-C46A-4DFD-A56F-B17E948CC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2" name="Freeform 38">
                  <a:extLst>
                    <a:ext uri="{FF2B5EF4-FFF2-40B4-BE49-F238E27FC236}">
                      <a16:creationId xmlns:a16="http://schemas.microsoft.com/office/drawing/2014/main" id="{5DEA8156-99BB-4F7D-B2FA-8652093457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3" name="Freeform 39">
                  <a:extLst>
                    <a:ext uri="{FF2B5EF4-FFF2-40B4-BE49-F238E27FC236}">
                      <a16:creationId xmlns:a16="http://schemas.microsoft.com/office/drawing/2014/main" id="{898F1743-7627-46DA-97C8-B83CE64055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4" name="Freeform 40">
                  <a:extLst>
                    <a:ext uri="{FF2B5EF4-FFF2-40B4-BE49-F238E27FC236}">
                      <a16:creationId xmlns:a16="http://schemas.microsoft.com/office/drawing/2014/main" id="{8B48E5A6-12CE-4BE4-9A8F-CFE5DCB970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5" name="Freeform 41">
                  <a:extLst>
                    <a:ext uri="{FF2B5EF4-FFF2-40B4-BE49-F238E27FC236}">
                      <a16:creationId xmlns:a16="http://schemas.microsoft.com/office/drawing/2014/main" id="{CCEA5203-2D46-4779-AC01-F06E14F7F7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6" name="Freeform 42">
                  <a:extLst>
                    <a:ext uri="{FF2B5EF4-FFF2-40B4-BE49-F238E27FC236}">
                      <a16:creationId xmlns:a16="http://schemas.microsoft.com/office/drawing/2014/main" id="{0A659FBA-75B6-442B-8A05-C86849B59F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7" name="Freeform 43">
                  <a:extLst>
                    <a:ext uri="{FF2B5EF4-FFF2-40B4-BE49-F238E27FC236}">
                      <a16:creationId xmlns:a16="http://schemas.microsoft.com/office/drawing/2014/main" id="{340EF9CC-2CF7-4AC3-9C1F-5366CBF367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8" name="Freeform 44">
                  <a:extLst>
                    <a:ext uri="{FF2B5EF4-FFF2-40B4-BE49-F238E27FC236}">
                      <a16:creationId xmlns:a16="http://schemas.microsoft.com/office/drawing/2014/main" id="{3CD89E17-16B3-451B-A17A-5EFF27A00A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9" name="Freeform 45">
                  <a:extLst>
                    <a:ext uri="{FF2B5EF4-FFF2-40B4-BE49-F238E27FC236}">
                      <a16:creationId xmlns:a16="http://schemas.microsoft.com/office/drawing/2014/main" id="{86A16100-17FD-49DB-9031-6EEF685BA5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0" name="Freeform 46">
                  <a:extLst>
                    <a:ext uri="{FF2B5EF4-FFF2-40B4-BE49-F238E27FC236}">
                      <a16:creationId xmlns:a16="http://schemas.microsoft.com/office/drawing/2014/main" id="{7F69F1B8-BD85-47F7-AE27-FF44E2ABD7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1" name="Freeform 47">
                  <a:extLst>
                    <a:ext uri="{FF2B5EF4-FFF2-40B4-BE49-F238E27FC236}">
                      <a16:creationId xmlns:a16="http://schemas.microsoft.com/office/drawing/2014/main" id="{4C4F15AB-2FCF-4F09-8700-D5D2C6EC19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2" name="Freeform 48">
                  <a:extLst>
                    <a:ext uri="{FF2B5EF4-FFF2-40B4-BE49-F238E27FC236}">
                      <a16:creationId xmlns:a16="http://schemas.microsoft.com/office/drawing/2014/main" id="{DA6D199D-6C51-4CD1-A817-12CA3D6C4C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3" name="Freeform 49">
                  <a:extLst>
                    <a:ext uri="{FF2B5EF4-FFF2-40B4-BE49-F238E27FC236}">
                      <a16:creationId xmlns:a16="http://schemas.microsoft.com/office/drawing/2014/main" id="{66DAC3A3-1109-4441-9956-9E1EACB186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4" name="Freeform 50">
                  <a:extLst>
                    <a:ext uri="{FF2B5EF4-FFF2-40B4-BE49-F238E27FC236}">
                      <a16:creationId xmlns:a16="http://schemas.microsoft.com/office/drawing/2014/main" id="{2ADC3F1D-06E5-47C2-8D43-8A6E6312C0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5" name="Freeform 51">
                  <a:extLst>
                    <a:ext uri="{FF2B5EF4-FFF2-40B4-BE49-F238E27FC236}">
                      <a16:creationId xmlns:a16="http://schemas.microsoft.com/office/drawing/2014/main" id="{6C78A433-4393-4CC4-BFE9-96A1847229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6" name="Freeform 52">
                  <a:extLst>
                    <a:ext uri="{FF2B5EF4-FFF2-40B4-BE49-F238E27FC236}">
                      <a16:creationId xmlns:a16="http://schemas.microsoft.com/office/drawing/2014/main" id="{FC67445E-0955-4FFA-812C-0C83A8F46E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7" name="Freeform 53">
                  <a:extLst>
                    <a:ext uri="{FF2B5EF4-FFF2-40B4-BE49-F238E27FC236}">
                      <a16:creationId xmlns:a16="http://schemas.microsoft.com/office/drawing/2014/main" id="{CA9A18CD-D105-4026-9417-7AF2DE22E4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8" name="Freeform 54">
                  <a:extLst>
                    <a:ext uri="{FF2B5EF4-FFF2-40B4-BE49-F238E27FC236}">
                      <a16:creationId xmlns:a16="http://schemas.microsoft.com/office/drawing/2014/main" id="{2362B535-B294-4A35-93F0-26864E1A06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9" name="Freeform 55">
                  <a:extLst>
                    <a:ext uri="{FF2B5EF4-FFF2-40B4-BE49-F238E27FC236}">
                      <a16:creationId xmlns:a16="http://schemas.microsoft.com/office/drawing/2014/main" id="{91AA5B9B-8466-4026-9EFC-E400B27919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0" name="Freeform 56">
                  <a:extLst>
                    <a:ext uri="{FF2B5EF4-FFF2-40B4-BE49-F238E27FC236}">
                      <a16:creationId xmlns:a16="http://schemas.microsoft.com/office/drawing/2014/main" id="{32E73C91-1FA1-4D02-BDD8-0C88079D29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1" name="Freeform 57">
                  <a:extLst>
                    <a:ext uri="{FF2B5EF4-FFF2-40B4-BE49-F238E27FC236}">
                      <a16:creationId xmlns:a16="http://schemas.microsoft.com/office/drawing/2014/main" id="{E64952FF-F2B3-49CF-8C76-182A7742EA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2" name="Freeform 58">
                  <a:extLst>
                    <a:ext uri="{FF2B5EF4-FFF2-40B4-BE49-F238E27FC236}">
                      <a16:creationId xmlns:a16="http://schemas.microsoft.com/office/drawing/2014/main" id="{642B2A95-F106-4D14-87A8-5D68352E20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3" name="Freeform 59">
                  <a:extLst>
                    <a:ext uri="{FF2B5EF4-FFF2-40B4-BE49-F238E27FC236}">
                      <a16:creationId xmlns:a16="http://schemas.microsoft.com/office/drawing/2014/main" id="{DEB66C75-60D5-4422-B936-CD26F843842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4" name="Freeform 60">
                  <a:extLst>
                    <a:ext uri="{FF2B5EF4-FFF2-40B4-BE49-F238E27FC236}">
                      <a16:creationId xmlns:a16="http://schemas.microsoft.com/office/drawing/2014/main" id="{D953093B-707A-4A37-B798-3BF7C49914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5" name="Freeform 61">
                  <a:extLst>
                    <a:ext uri="{FF2B5EF4-FFF2-40B4-BE49-F238E27FC236}">
                      <a16:creationId xmlns:a16="http://schemas.microsoft.com/office/drawing/2014/main" id="{EC3AE63E-4DCA-49F5-8742-BDF5F6A191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6" name="Freeform 62">
                  <a:extLst>
                    <a:ext uri="{FF2B5EF4-FFF2-40B4-BE49-F238E27FC236}">
                      <a16:creationId xmlns:a16="http://schemas.microsoft.com/office/drawing/2014/main" id="{EC9EF2F6-4EC9-40AB-B226-DFE7757A85F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7" name="Freeform 63">
                  <a:extLst>
                    <a:ext uri="{FF2B5EF4-FFF2-40B4-BE49-F238E27FC236}">
                      <a16:creationId xmlns:a16="http://schemas.microsoft.com/office/drawing/2014/main" id="{A1AB0DBB-0583-4F6C-8062-4A166D852A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8" name="Freeform 64">
                  <a:extLst>
                    <a:ext uri="{FF2B5EF4-FFF2-40B4-BE49-F238E27FC236}">
                      <a16:creationId xmlns:a16="http://schemas.microsoft.com/office/drawing/2014/main" id="{7822C824-E354-453A-BA62-620272BBFF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9" name="Freeform 65">
                  <a:extLst>
                    <a:ext uri="{FF2B5EF4-FFF2-40B4-BE49-F238E27FC236}">
                      <a16:creationId xmlns:a16="http://schemas.microsoft.com/office/drawing/2014/main" id="{0A7D7B63-C8D2-467B-8734-DB143666DB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0" name="Freeform 66">
                  <a:extLst>
                    <a:ext uri="{FF2B5EF4-FFF2-40B4-BE49-F238E27FC236}">
                      <a16:creationId xmlns:a16="http://schemas.microsoft.com/office/drawing/2014/main" id="{663A034D-044C-4AAF-BC55-AFE9F59EC7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1" name="Freeform 67">
                  <a:extLst>
                    <a:ext uri="{FF2B5EF4-FFF2-40B4-BE49-F238E27FC236}">
                      <a16:creationId xmlns:a16="http://schemas.microsoft.com/office/drawing/2014/main" id="{50FC9E10-0D6F-4F62-B9DE-65B351D7DA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2" name="Freeform 68">
                  <a:extLst>
                    <a:ext uri="{FF2B5EF4-FFF2-40B4-BE49-F238E27FC236}">
                      <a16:creationId xmlns:a16="http://schemas.microsoft.com/office/drawing/2014/main" id="{6E9E03D5-5D01-4710-9F5E-79740641EC19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3" name="Freeform 69">
                  <a:extLst>
                    <a:ext uri="{FF2B5EF4-FFF2-40B4-BE49-F238E27FC236}">
                      <a16:creationId xmlns:a16="http://schemas.microsoft.com/office/drawing/2014/main" id="{DD14EB7A-61EA-459B-B49F-D19712525A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4" name="Freeform 70">
                  <a:extLst>
                    <a:ext uri="{FF2B5EF4-FFF2-40B4-BE49-F238E27FC236}">
                      <a16:creationId xmlns:a16="http://schemas.microsoft.com/office/drawing/2014/main" id="{F5C43595-6B9F-46B6-97BA-8197C926A9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5" name="Freeform 71">
                  <a:extLst>
                    <a:ext uri="{FF2B5EF4-FFF2-40B4-BE49-F238E27FC236}">
                      <a16:creationId xmlns:a16="http://schemas.microsoft.com/office/drawing/2014/main" id="{59BB1115-524D-4B9C-A8F5-2412AEA9F8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6" name="Freeform 72">
                  <a:extLst>
                    <a:ext uri="{FF2B5EF4-FFF2-40B4-BE49-F238E27FC236}">
                      <a16:creationId xmlns:a16="http://schemas.microsoft.com/office/drawing/2014/main" id="{7FC7CCF9-1ACD-4FE4-BD15-117692C6A7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7" name="Freeform 73">
                  <a:extLst>
                    <a:ext uri="{FF2B5EF4-FFF2-40B4-BE49-F238E27FC236}">
                      <a16:creationId xmlns:a16="http://schemas.microsoft.com/office/drawing/2014/main" id="{8D45F24D-A297-407B-B42F-D5046B32C0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8" name="Freeform 74">
                  <a:extLst>
                    <a:ext uri="{FF2B5EF4-FFF2-40B4-BE49-F238E27FC236}">
                      <a16:creationId xmlns:a16="http://schemas.microsoft.com/office/drawing/2014/main" id="{DEC6C827-D530-46AE-AC29-1E51467EB22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9" name="Freeform 75">
                  <a:extLst>
                    <a:ext uri="{FF2B5EF4-FFF2-40B4-BE49-F238E27FC236}">
                      <a16:creationId xmlns:a16="http://schemas.microsoft.com/office/drawing/2014/main" id="{1231C4B9-2FFC-4D1C-9BDD-74F2EE64F0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0" name="Freeform 76">
                  <a:extLst>
                    <a:ext uri="{FF2B5EF4-FFF2-40B4-BE49-F238E27FC236}">
                      <a16:creationId xmlns:a16="http://schemas.microsoft.com/office/drawing/2014/main" id="{E4616FAE-94B0-40FB-B8F9-AF2E96CA24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1" name="Freeform 77">
                  <a:extLst>
                    <a:ext uri="{FF2B5EF4-FFF2-40B4-BE49-F238E27FC236}">
                      <a16:creationId xmlns:a16="http://schemas.microsoft.com/office/drawing/2014/main" id="{4EB3D044-B876-491F-A003-211B5668776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2" name="Freeform 78">
                  <a:extLst>
                    <a:ext uri="{FF2B5EF4-FFF2-40B4-BE49-F238E27FC236}">
                      <a16:creationId xmlns:a16="http://schemas.microsoft.com/office/drawing/2014/main" id="{3E2CA8AA-82DB-4218-A359-207414C1FC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3" name="Freeform 79">
                  <a:extLst>
                    <a:ext uri="{FF2B5EF4-FFF2-40B4-BE49-F238E27FC236}">
                      <a16:creationId xmlns:a16="http://schemas.microsoft.com/office/drawing/2014/main" id="{094D8182-0479-434D-9028-C47D6289014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4" name="Freeform 80">
                  <a:extLst>
                    <a:ext uri="{FF2B5EF4-FFF2-40B4-BE49-F238E27FC236}">
                      <a16:creationId xmlns:a16="http://schemas.microsoft.com/office/drawing/2014/main" id="{37AC22F6-2BA3-4A06-89F4-98701360F3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5" name="Freeform 81">
                  <a:extLst>
                    <a:ext uri="{FF2B5EF4-FFF2-40B4-BE49-F238E27FC236}">
                      <a16:creationId xmlns:a16="http://schemas.microsoft.com/office/drawing/2014/main" id="{0A401BB7-A532-496F-905A-6DBB609897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6" name="Freeform 82">
                  <a:extLst>
                    <a:ext uri="{FF2B5EF4-FFF2-40B4-BE49-F238E27FC236}">
                      <a16:creationId xmlns:a16="http://schemas.microsoft.com/office/drawing/2014/main" id="{EF769703-6113-4C5E-9768-4DAEC3C9E9A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7" name="Freeform 83">
                  <a:extLst>
                    <a:ext uri="{FF2B5EF4-FFF2-40B4-BE49-F238E27FC236}">
                      <a16:creationId xmlns:a16="http://schemas.microsoft.com/office/drawing/2014/main" id="{C12AC3C7-C7CF-4ADF-8518-856D1C6909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8" name="Freeform 84">
                  <a:extLst>
                    <a:ext uri="{FF2B5EF4-FFF2-40B4-BE49-F238E27FC236}">
                      <a16:creationId xmlns:a16="http://schemas.microsoft.com/office/drawing/2014/main" id="{71052911-92DA-4B22-925C-F0DCBD85DC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9" name="Freeform 85">
                  <a:extLst>
                    <a:ext uri="{FF2B5EF4-FFF2-40B4-BE49-F238E27FC236}">
                      <a16:creationId xmlns:a16="http://schemas.microsoft.com/office/drawing/2014/main" id="{7961ADD8-8879-4056-A1B0-F763316CA4A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0" name="Freeform 86">
                  <a:extLst>
                    <a:ext uri="{FF2B5EF4-FFF2-40B4-BE49-F238E27FC236}">
                      <a16:creationId xmlns:a16="http://schemas.microsoft.com/office/drawing/2014/main" id="{C0A6FDF8-82C2-4A8A-AB9B-346E7CD5BE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1" name="Freeform 87">
                  <a:extLst>
                    <a:ext uri="{FF2B5EF4-FFF2-40B4-BE49-F238E27FC236}">
                      <a16:creationId xmlns:a16="http://schemas.microsoft.com/office/drawing/2014/main" id="{3F7F5659-DCAF-4709-9350-28649A10E2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2" name="Freeform 88">
                  <a:extLst>
                    <a:ext uri="{FF2B5EF4-FFF2-40B4-BE49-F238E27FC236}">
                      <a16:creationId xmlns:a16="http://schemas.microsoft.com/office/drawing/2014/main" id="{BA9F54D3-D648-4846-AFCD-75256CF29E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3" name="Freeform 89">
                  <a:extLst>
                    <a:ext uri="{FF2B5EF4-FFF2-40B4-BE49-F238E27FC236}">
                      <a16:creationId xmlns:a16="http://schemas.microsoft.com/office/drawing/2014/main" id="{F14A377F-F2CF-4F0E-88D5-3E5DA3731C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4" name="Freeform 90">
                  <a:extLst>
                    <a:ext uri="{FF2B5EF4-FFF2-40B4-BE49-F238E27FC236}">
                      <a16:creationId xmlns:a16="http://schemas.microsoft.com/office/drawing/2014/main" id="{1E817DE9-BF48-4992-B7FA-738634EF42F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5" name="Freeform 91">
                  <a:extLst>
                    <a:ext uri="{FF2B5EF4-FFF2-40B4-BE49-F238E27FC236}">
                      <a16:creationId xmlns:a16="http://schemas.microsoft.com/office/drawing/2014/main" id="{A4068EEC-7B91-4168-BADB-D04263ACD6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6" name="Freeform 92">
                  <a:extLst>
                    <a:ext uri="{FF2B5EF4-FFF2-40B4-BE49-F238E27FC236}">
                      <a16:creationId xmlns:a16="http://schemas.microsoft.com/office/drawing/2014/main" id="{4418A24D-8E72-4878-BB6C-E64F3B26E7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7" name="Freeform 93">
                  <a:extLst>
                    <a:ext uri="{FF2B5EF4-FFF2-40B4-BE49-F238E27FC236}">
                      <a16:creationId xmlns:a16="http://schemas.microsoft.com/office/drawing/2014/main" id="{64E65DC1-0F50-45E2-A300-8E266AE0678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8" name="Freeform 94">
                  <a:extLst>
                    <a:ext uri="{FF2B5EF4-FFF2-40B4-BE49-F238E27FC236}">
                      <a16:creationId xmlns:a16="http://schemas.microsoft.com/office/drawing/2014/main" id="{709C70AC-C9A5-4759-BFC1-A8A597E662C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9" name="Freeform 95">
                  <a:extLst>
                    <a:ext uri="{FF2B5EF4-FFF2-40B4-BE49-F238E27FC236}">
                      <a16:creationId xmlns:a16="http://schemas.microsoft.com/office/drawing/2014/main" id="{BF552857-83B3-4DA9-8D0A-CC64795E5D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0" name="Freeform 96">
                  <a:extLst>
                    <a:ext uri="{FF2B5EF4-FFF2-40B4-BE49-F238E27FC236}">
                      <a16:creationId xmlns:a16="http://schemas.microsoft.com/office/drawing/2014/main" id="{3F0657ED-080E-4098-86CC-B2FA6A23BAA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1" name="Freeform 97">
                  <a:extLst>
                    <a:ext uri="{FF2B5EF4-FFF2-40B4-BE49-F238E27FC236}">
                      <a16:creationId xmlns:a16="http://schemas.microsoft.com/office/drawing/2014/main" id="{B95C300A-4A92-42A1-B76C-2B815DE3BF30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2" name="Freeform 98">
                  <a:extLst>
                    <a:ext uri="{FF2B5EF4-FFF2-40B4-BE49-F238E27FC236}">
                      <a16:creationId xmlns:a16="http://schemas.microsoft.com/office/drawing/2014/main" id="{5C2778DF-A450-4E24-AB53-A5567EA1E3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3" name="Freeform 99">
                  <a:extLst>
                    <a:ext uri="{FF2B5EF4-FFF2-40B4-BE49-F238E27FC236}">
                      <a16:creationId xmlns:a16="http://schemas.microsoft.com/office/drawing/2014/main" id="{FED6483D-E561-407F-8D46-D80172BA862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4" name="Freeform 100">
                  <a:extLst>
                    <a:ext uri="{FF2B5EF4-FFF2-40B4-BE49-F238E27FC236}">
                      <a16:creationId xmlns:a16="http://schemas.microsoft.com/office/drawing/2014/main" id="{98B00F75-9E22-4359-ACD1-2D37E3406E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5" name="Freeform 101">
                  <a:extLst>
                    <a:ext uri="{FF2B5EF4-FFF2-40B4-BE49-F238E27FC236}">
                      <a16:creationId xmlns:a16="http://schemas.microsoft.com/office/drawing/2014/main" id="{109544DA-62B9-403B-B92C-F3D25E8A4D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6" name="Freeform 102">
                  <a:extLst>
                    <a:ext uri="{FF2B5EF4-FFF2-40B4-BE49-F238E27FC236}">
                      <a16:creationId xmlns:a16="http://schemas.microsoft.com/office/drawing/2014/main" id="{5B577F45-1898-4E0B-B4DC-5D0493599C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7" name="Freeform 103">
                  <a:extLst>
                    <a:ext uri="{FF2B5EF4-FFF2-40B4-BE49-F238E27FC236}">
                      <a16:creationId xmlns:a16="http://schemas.microsoft.com/office/drawing/2014/main" id="{DB0C099F-4651-4101-B2DD-AD83EB6F03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8" name="Freeform 104">
                  <a:extLst>
                    <a:ext uri="{FF2B5EF4-FFF2-40B4-BE49-F238E27FC236}">
                      <a16:creationId xmlns:a16="http://schemas.microsoft.com/office/drawing/2014/main" id="{BBEAA65B-B26E-41A4-A57F-40636D898B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9" name="Freeform 105">
                  <a:extLst>
                    <a:ext uri="{FF2B5EF4-FFF2-40B4-BE49-F238E27FC236}">
                      <a16:creationId xmlns:a16="http://schemas.microsoft.com/office/drawing/2014/main" id="{D344E4B0-B533-4C48-BAE6-3800FFDE20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0" name="Freeform 106">
                  <a:extLst>
                    <a:ext uri="{FF2B5EF4-FFF2-40B4-BE49-F238E27FC236}">
                      <a16:creationId xmlns:a16="http://schemas.microsoft.com/office/drawing/2014/main" id="{2B824F01-CA17-4298-97AC-B8FB5CFC85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1" name="Freeform 107">
                  <a:extLst>
                    <a:ext uri="{FF2B5EF4-FFF2-40B4-BE49-F238E27FC236}">
                      <a16:creationId xmlns:a16="http://schemas.microsoft.com/office/drawing/2014/main" id="{26165E8E-AE45-46A9-8C09-5558F583B9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2" name="Freeform 108">
                  <a:extLst>
                    <a:ext uri="{FF2B5EF4-FFF2-40B4-BE49-F238E27FC236}">
                      <a16:creationId xmlns:a16="http://schemas.microsoft.com/office/drawing/2014/main" id="{243E3FDE-05F7-4496-98E7-7F77DBD350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3" name="Freeform 109">
                  <a:extLst>
                    <a:ext uri="{FF2B5EF4-FFF2-40B4-BE49-F238E27FC236}">
                      <a16:creationId xmlns:a16="http://schemas.microsoft.com/office/drawing/2014/main" id="{FA8EBFC3-A0AE-46D0-976E-0E7CD590FB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4" name="Freeform 110">
                  <a:extLst>
                    <a:ext uri="{FF2B5EF4-FFF2-40B4-BE49-F238E27FC236}">
                      <a16:creationId xmlns:a16="http://schemas.microsoft.com/office/drawing/2014/main" id="{1C9084F5-35A4-44AD-A9F7-823F864D4D1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5" name="Freeform 111">
                  <a:extLst>
                    <a:ext uri="{FF2B5EF4-FFF2-40B4-BE49-F238E27FC236}">
                      <a16:creationId xmlns:a16="http://schemas.microsoft.com/office/drawing/2014/main" id="{5C860E20-AFC3-4014-8BCA-4661C0C8D7B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6" name="Freeform 112">
                  <a:extLst>
                    <a:ext uri="{FF2B5EF4-FFF2-40B4-BE49-F238E27FC236}">
                      <a16:creationId xmlns:a16="http://schemas.microsoft.com/office/drawing/2014/main" id="{429A77BF-8DCB-4EE1-AE6F-D84E6A669C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7" name="Freeform 113">
                  <a:extLst>
                    <a:ext uri="{FF2B5EF4-FFF2-40B4-BE49-F238E27FC236}">
                      <a16:creationId xmlns:a16="http://schemas.microsoft.com/office/drawing/2014/main" id="{ECFB9A04-B179-4904-B041-BBE0F2BCF6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8" name="Freeform 114">
                  <a:extLst>
                    <a:ext uri="{FF2B5EF4-FFF2-40B4-BE49-F238E27FC236}">
                      <a16:creationId xmlns:a16="http://schemas.microsoft.com/office/drawing/2014/main" id="{AB2B018B-D37D-4C7E-841C-09CA1CF333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9" name="Freeform 115">
                  <a:extLst>
                    <a:ext uri="{FF2B5EF4-FFF2-40B4-BE49-F238E27FC236}">
                      <a16:creationId xmlns:a16="http://schemas.microsoft.com/office/drawing/2014/main" id="{A4218A53-8046-48AB-8179-DA49BD3FF2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" name="Freeform 116">
                  <a:extLst>
                    <a:ext uri="{FF2B5EF4-FFF2-40B4-BE49-F238E27FC236}">
                      <a16:creationId xmlns:a16="http://schemas.microsoft.com/office/drawing/2014/main" id="{2F020524-04E8-43CA-B51F-03D82010A98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1" name="Freeform 117">
                  <a:extLst>
                    <a:ext uri="{FF2B5EF4-FFF2-40B4-BE49-F238E27FC236}">
                      <a16:creationId xmlns:a16="http://schemas.microsoft.com/office/drawing/2014/main" id="{C34FD544-9729-47C8-87A7-F503E6FCFF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2" name="Freeform 118">
                  <a:extLst>
                    <a:ext uri="{FF2B5EF4-FFF2-40B4-BE49-F238E27FC236}">
                      <a16:creationId xmlns:a16="http://schemas.microsoft.com/office/drawing/2014/main" id="{D4D0D2BF-8976-481F-B251-3D52286684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3" name="Freeform 119">
                  <a:extLst>
                    <a:ext uri="{FF2B5EF4-FFF2-40B4-BE49-F238E27FC236}">
                      <a16:creationId xmlns:a16="http://schemas.microsoft.com/office/drawing/2014/main" id="{DAE4FA61-802F-4B84-8C85-AA1B5068BD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4" name="Freeform 120">
                  <a:extLst>
                    <a:ext uri="{FF2B5EF4-FFF2-40B4-BE49-F238E27FC236}">
                      <a16:creationId xmlns:a16="http://schemas.microsoft.com/office/drawing/2014/main" id="{31F9B43F-4627-453E-A0A6-D01FABD7D10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5" name="Freeform 121">
                  <a:extLst>
                    <a:ext uri="{FF2B5EF4-FFF2-40B4-BE49-F238E27FC236}">
                      <a16:creationId xmlns:a16="http://schemas.microsoft.com/office/drawing/2014/main" id="{06646522-380D-4294-A06C-63DF7D392A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6" name="Freeform 122">
                  <a:extLst>
                    <a:ext uri="{FF2B5EF4-FFF2-40B4-BE49-F238E27FC236}">
                      <a16:creationId xmlns:a16="http://schemas.microsoft.com/office/drawing/2014/main" id="{D4FABA7C-42ED-400C-A1AC-2BA6A8C340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7" name="Freeform 123">
                  <a:extLst>
                    <a:ext uri="{FF2B5EF4-FFF2-40B4-BE49-F238E27FC236}">
                      <a16:creationId xmlns:a16="http://schemas.microsoft.com/office/drawing/2014/main" id="{F84546C4-C094-41C9-8FF1-631546711E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8" name="Freeform 124">
                  <a:extLst>
                    <a:ext uri="{FF2B5EF4-FFF2-40B4-BE49-F238E27FC236}">
                      <a16:creationId xmlns:a16="http://schemas.microsoft.com/office/drawing/2014/main" id="{F3946D15-D0EC-41E7-8C61-0A26BD3D39C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9" name="Freeform 125">
                  <a:extLst>
                    <a:ext uri="{FF2B5EF4-FFF2-40B4-BE49-F238E27FC236}">
                      <a16:creationId xmlns:a16="http://schemas.microsoft.com/office/drawing/2014/main" id="{923DC089-0211-43DF-A53A-5670B19108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0" name="Freeform 126">
                  <a:extLst>
                    <a:ext uri="{FF2B5EF4-FFF2-40B4-BE49-F238E27FC236}">
                      <a16:creationId xmlns:a16="http://schemas.microsoft.com/office/drawing/2014/main" id="{DE84A15B-241A-49FF-934C-BC2318E4D5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1" name="Freeform 127">
                  <a:extLst>
                    <a:ext uri="{FF2B5EF4-FFF2-40B4-BE49-F238E27FC236}">
                      <a16:creationId xmlns:a16="http://schemas.microsoft.com/office/drawing/2014/main" id="{1B92BB22-9934-4535-A9DF-3C3800DB76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2" name="Freeform 128">
                  <a:extLst>
                    <a:ext uri="{FF2B5EF4-FFF2-40B4-BE49-F238E27FC236}">
                      <a16:creationId xmlns:a16="http://schemas.microsoft.com/office/drawing/2014/main" id="{BABD136C-A4E6-4CEA-BE65-67CFF48DB19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3" name="Freeform 129">
                  <a:extLst>
                    <a:ext uri="{FF2B5EF4-FFF2-40B4-BE49-F238E27FC236}">
                      <a16:creationId xmlns:a16="http://schemas.microsoft.com/office/drawing/2014/main" id="{8A694212-FED6-4687-BB86-C9894792B4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4" name="Freeform 130">
                  <a:extLst>
                    <a:ext uri="{FF2B5EF4-FFF2-40B4-BE49-F238E27FC236}">
                      <a16:creationId xmlns:a16="http://schemas.microsoft.com/office/drawing/2014/main" id="{17443431-E6D8-40E7-8C15-3C22EAEF62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5" name="Freeform 131">
                  <a:extLst>
                    <a:ext uri="{FF2B5EF4-FFF2-40B4-BE49-F238E27FC236}">
                      <a16:creationId xmlns:a16="http://schemas.microsoft.com/office/drawing/2014/main" id="{2B3FD05B-F519-4DF5-A92B-45F017248A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6" name="Freeform 132">
                  <a:extLst>
                    <a:ext uri="{FF2B5EF4-FFF2-40B4-BE49-F238E27FC236}">
                      <a16:creationId xmlns:a16="http://schemas.microsoft.com/office/drawing/2014/main" id="{4046FFD8-4441-4377-883B-1FE47C425A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7" name="Freeform 133">
                  <a:extLst>
                    <a:ext uri="{FF2B5EF4-FFF2-40B4-BE49-F238E27FC236}">
                      <a16:creationId xmlns:a16="http://schemas.microsoft.com/office/drawing/2014/main" id="{9549761D-6ED0-41EF-9621-1B9C58762D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8" name="Freeform 134">
                  <a:extLst>
                    <a:ext uri="{FF2B5EF4-FFF2-40B4-BE49-F238E27FC236}">
                      <a16:creationId xmlns:a16="http://schemas.microsoft.com/office/drawing/2014/main" id="{2BDD78B5-4EB6-4002-8381-67B09A20C1E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9" name="Freeform 135">
                  <a:extLst>
                    <a:ext uri="{FF2B5EF4-FFF2-40B4-BE49-F238E27FC236}">
                      <a16:creationId xmlns:a16="http://schemas.microsoft.com/office/drawing/2014/main" id="{AD9F2E4F-87CC-4845-A736-77B28B11BA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0" name="Freeform 136">
                  <a:extLst>
                    <a:ext uri="{FF2B5EF4-FFF2-40B4-BE49-F238E27FC236}">
                      <a16:creationId xmlns:a16="http://schemas.microsoft.com/office/drawing/2014/main" id="{61355FF2-A4DF-4FA4-9541-364C90AC32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1" name="Freeform 137">
                  <a:extLst>
                    <a:ext uri="{FF2B5EF4-FFF2-40B4-BE49-F238E27FC236}">
                      <a16:creationId xmlns:a16="http://schemas.microsoft.com/office/drawing/2014/main" id="{51A90062-1CAA-47D4-82AF-7A01D6A1DF8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2" name="Freeform 138">
                  <a:extLst>
                    <a:ext uri="{FF2B5EF4-FFF2-40B4-BE49-F238E27FC236}">
                      <a16:creationId xmlns:a16="http://schemas.microsoft.com/office/drawing/2014/main" id="{D0B76AF4-35E5-416D-9A92-B71402D2E0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3" name="Freeform 139">
                  <a:extLst>
                    <a:ext uri="{FF2B5EF4-FFF2-40B4-BE49-F238E27FC236}">
                      <a16:creationId xmlns:a16="http://schemas.microsoft.com/office/drawing/2014/main" id="{4C898461-910B-4855-834C-F7CD9D1EF5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4" name="Freeform 140">
                  <a:extLst>
                    <a:ext uri="{FF2B5EF4-FFF2-40B4-BE49-F238E27FC236}">
                      <a16:creationId xmlns:a16="http://schemas.microsoft.com/office/drawing/2014/main" id="{E28DE654-9D46-4274-9B08-9E438C313E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5" name="Freeform 141">
                  <a:extLst>
                    <a:ext uri="{FF2B5EF4-FFF2-40B4-BE49-F238E27FC236}">
                      <a16:creationId xmlns:a16="http://schemas.microsoft.com/office/drawing/2014/main" id="{BA4C277E-6376-4084-9AEF-8E93CAD1916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6" name="Freeform 142">
                  <a:extLst>
                    <a:ext uri="{FF2B5EF4-FFF2-40B4-BE49-F238E27FC236}">
                      <a16:creationId xmlns:a16="http://schemas.microsoft.com/office/drawing/2014/main" id="{9743E4CA-EBEF-48F6-8BCB-CC48D635EF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7" name="Freeform 143">
                  <a:extLst>
                    <a:ext uri="{FF2B5EF4-FFF2-40B4-BE49-F238E27FC236}">
                      <a16:creationId xmlns:a16="http://schemas.microsoft.com/office/drawing/2014/main" id="{43300185-68C2-4415-9812-91A5127D2B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8" name="Freeform 144">
                  <a:extLst>
                    <a:ext uri="{FF2B5EF4-FFF2-40B4-BE49-F238E27FC236}">
                      <a16:creationId xmlns:a16="http://schemas.microsoft.com/office/drawing/2014/main" id="{3DFD9D1D-0FFC-43B2-BB85-16A8EFD704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9" name="Freeform 145">
                  <a:extLst>
                    <a:ext uri="{FF2B5EF4-FFF2-40B4-BE49-F238E27FC236}">
                      <a16:creationId xmlns:a16="http://schemas.microsoft.com/office/drawing/2014/main" id="{C95B42EE-49D6-4276-90D5-1AE95A6B92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0" name="Freeform 146">
                  <a:extLst>
                    <a:ext uri="{FF2B5EF4-FFF2-40B4-BE49-F238E27FC236}">
                      <a16:creationId xmlns:a16="http://schemas.microsoft.com/office/drawing/2014/main" id="{5828F5A6-A280-4B33-89D0-3FA8A6995A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1" name="Freeform 147">
                  <a:extLst>
                    <a:ext uri="{FF2B5EF4-FFF2-40B4-BE49-F238E27FC236}">
                      <a16:creationId xmlns:a16="http://schemas.microsoft.com/office/drawing/2014/main" id="{57D1B2C0-7805-4E90-A944-7C66AC3FBF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2" name="Freeform 148">
                  <a:extLst>
                    <a:ext uri="{FF2B5EF4-FFF2-40B4-BE49-F238E27FC236}">
                      <a16:creationId xmlns:a16="http://schemas.microsoft.com/office/drawing/2014/main" id="{70863F6B-DC68-460A-82F5-BC88154120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3" name="Freeform 149">
                  <a:extLst>
                    <a:ext uri="{FF2B5EF4-FFF2-40B4-BE49-F238E27FC236}">
                      <a16:creationId xmlns:a16="http://schemas.microsoft.com/office/drawing/2014/main" id="{F915F113-1288-4FC8-A0B9-BFDDDD134C0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4" name="Freeform 150">
                  <a:extLst>
                    <a:ext uri="{FF2B5EF4-FFF2-40B4-BE49-F238E27FC236}">
                      <a16:creationId xmlns:a16="http://schemas.microsoft.com/office/drawing/2014/main" id="{5C07FB79-AAD4-4379-B973-D0C3FAA0FD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5" name="Freeform 151">
                  <a:extLst>
                    <a:ext uri="{FF2B5EF4-FFF2-40B4-BE49-F238E27FC236}">
                      <a16:creationId xmlns:a16="http://schemas.microsoft.com/office/drawing/2014/main" id="{FE321F30-05BE-4D27-9FA8-0EB2C64C9F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6" name="Freeform 152">
                  <a:extLst>
                    <a:ext uri="{FF2B5EF4-FFF2-40B4-BE49-F238E27FC236}">
                      <a16:creationId xmlns:a16="http://schemas.microsoft.com/office/drawing/2014/main" id="{3EB6E1D5-AD3E-4070-9158-9BFA0A0342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7" name="Freeform 153">
                  <a:extLst>
                    <a:ext uri="{FF2B5EF4-FFF2-40B4-BE49-F238E27FC236}">
                      <a16:creationId xmlns:a16="http://schemas.microsoft.com/office/drawing/2014/main" id="{CFF1DE7B-7742-4674-B378-72D875D9AC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8" name="Freeform 154">
                  <a:extLst>
                    <a:ext uri="{FF2B5EF4-FFF2-40B4-BE49-F238E27FC236}">
                      <a16:creationId xmlns:a16="http://schemas.microsoft.com/office/drawing/2014/main" id="{70B24DCD-0BE2-4449-BA66-F6A6D4B258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9" name="Freeform 155">
                  <a:extLst>
                    <a:ext uri="{FF2B5EF4-FFF2-40B4-BE49-F238E27FC236}">
                      <a16:creationId xmlns:a16="http://schemas.microsoft.com/office/drawing/2014/main" id="{36A64DA0-6BCF-4041-85D6-244BFC3159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0" name="Freeform 156">
                  <a:extLst>
                    <a:ext uri="{FF2B5EF4-FFF2-40B4-BE49-F238E27FC236}">
                      <a16:creationId xmlns:a16="http://schemas.microsoft.com/office/drawing/2014/main" id="{0BFDFE4B-C6BB-452A-BF38-183F3613B59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1" name="Freeform 157">
                  <a:extLst>
                    <a:ext uri="{FF2B5EF4-FFF2-40B4-BE49-F238E27FC236}">
                      <a16:creationId xmlns:a16="http://schemas.microsoft.com/office/drawing/2014/main" id="{D8CED5AA-6D85-40FB-9167-694CA6BE52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2" name="Freeform 158">
                  <a:extLst>
                    <a:ext uri="{FF2B5EF4-FFF2-40B4-BE49-F238E27FC236}">
                      <a16:creationId xmlns:a16="http://schemas.microsoft.com/office/drawing/2014/main" id="{F030D42F-5384-480F-BAAC-993DF26DB2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3" name="Freeform 159">
                  <a:extLst>
                    <a:ext uri="{FF2B5EF4-FFF2-40B4-BE49-F238E27FC236}">
                      <a16:creationId xmlns:a16="http://schemas.microsoft.com/office/drawing/2014/main" id="{0FE83B12-A309-4426-A0DD-77EE259D8E9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4" name="Freeform 160">
                  <a:extLst>
                    <a:ext uri="{FF2B5EF4-FFF2-40B4-BE49-F238E27FC236}">
                      <a16:creationId xmlns:a16="http://schemas.microsoft.com/office/drawing/2014/main" id="{27FB46C7-52D1-453A-99F2-CD39E76E64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5" name="Freeform 161">
                  <a:extLst>
                    <a:ext uri="{FF2B5EF4-FFF2-40B4-BE49-F238E27FC236}">
                      <a16:creationId xmlns:a16="http://schemas.microsoft.com/office/drawing/2014/main" id="{48F2A085-F4D4-4D7C-B8C5-927778C08B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6" name="Freeform 162">
                  <a:extLst>
                    <a:ext uri="{FF2B5EF4-FFF2-40B4-BE49-F238E27FC236}">
                      <a16:creationId xmlns:a16="http://schemas.microsoft.com/office/drawing/2014/main" id="{2CD645B3-6495-45BD-90F2-A725AC99A3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7" name="Freeform 163">
                  <a:extLst>
                    <a:ext uri="{FF2B5EF4-FFF2-40B4-BE49-F238E27FC236}">
                      <a16:creationId xmlns:a16="http://schemas.microsoft.com/office/drawing/2014/main" id="{5C974135-4D63-485F-8D30-0F7A29C77E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8" name="Freeform 164">
                  <a:extLst>
                    <a:ext uri="{FF2B5EF4-FFF2-40B4-BE49-F238E27FC236}">
                      <a16:creationId xmlns:a16="http://schemas.microsoft.com/office/drawing/2014/main" id="{2089EFBB-CD7D-44D2-8C4D-A09945F915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9" name="Freeform 165">
                  <a:extLst>
                    <a:ext uri="{FF2B5EF4-FFF2-40B4-BE49-F238E27FC236}">
                      <a16:creationId xmlns:a16="http://schemas.microsoft.com/office/drawing/2014/main" id="{5257DB13-FB05-481B-951B-0FA7D1E343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0" name="Freeform 166">
                  <a:extLst>
                    <a:ext uri="{FF2B5EF4-FFF2-40B4-BE49-F238E27FC236}">
                      <a16:creationId xmlns:a16="http://schemas.microsoft.com/office/drawing/2014/main" id="{096F50F6-E1D0-467E-AEDF-88B5D8D3F83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1" name="Freeform 167">
                  <a:extLst>
                    <a:ext uri="{FF2B5EF4-FFF2-40B4-BE49-F238E27FC236}">
                      <a16:creationId xmlns:a16="http://schemas.microsoft.com/office/drawing/2014/main" id="{5AB81CA4-0AE3-4B69-B4B8-84A4D4E5D7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2" name="Freeform 168">
                  <a:extLst>
                    <a:ext uri="{FF2B5EF4-FFF2-40B4-BE49-F238E27FC236}">
                      <a16:creationId xmlns:a16="http://schemas.microsoft.com/office/drawing/2014/main" id="{330FAE42-D2DB-4D23-80C1-3D5BDE0CF0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3" name="Freeform 169">
                  <a:extLst>
                    <a:ext uri="{FF2B5EF4-FFF2-40B4-BE49-F238E27FC236}">
                      <a16:creationId xmlns:a16="http://schemas.microsoft.com/office/drawing/2014/main" id="{1C04AC5E-B862-4EF5-97BC-A1599E8601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4" name="Freeform 170">
                  <a:extLst>
                    <a:ext uri="{FF2B5EF4-FFF2-40B4-BE49-F238E27FC236}">
                      <a16:creationId xmlns:a16="http://schemas.microsoft.com/office/drawing/2014/main" id="{BCB31F7B-CC06-4243-8F6D-07ED059507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5" name="Freeform 171">
                  <a:extLst>
                    <a:ext uri="{FF2B5EF4-FFF2-40B4-BE49-F238E27FC236}">
                      <a16:creationId xmlns:a16="http://schemas.microsoft.com/office/drawing/2014/main" id="{6FC6A7B9-1A6B-4B4C-94E0-70F518B923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6" name="Freeform 172">
                  <a:extLst>
                    <a:ext uri="{FF2B5EF4-FFF2-40B4-BE49-F238E27FC236}">
                      <a16:creationId xmlns:a16="http://schemas.microsoft.com/office/drawing/2014/main" id="{32B38DC4-1B70-485F-AE99-A9CD2BB47B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7" name="Freeform 173">
                  <a:extLst>
                    <a:ext uri="{FF2B5EF4-FFF2-40B4-BE49-F238E27FC236}">
                      <a16:creationId xmlns:a16="http://schemas.microsoft.com/office/drawing/2014/main" id="{192C33A4-CA9E-4C10-885D-59026A92DE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8" name="Freeform 174">
                  <a:extLst>
                    <a:ext uri="{FF2B5EF4-FFF2-40B4-BE49-F238E27FC236}">
                      <a16:creationId xmlns:a16="http://schemas.microsoft.com/office/drawing/2014/main" id="{4C64FF8F-05F6-4B30-B026-53B08CB898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9" name="Freeform 175">
                  <a:extLst>
                    <a:ext uri="{FF2B5EF4-FFF2-40B4-BE49-F238E27FC236}">
                      <a16:creationId xmlns:a16="http://schemas.microsoft.com/office/drawing/2014/main" id="{D58C8246-864B-458E-B72A-DBF10EBBD3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0" name="Freeform 176">
                  <a:extLst>
                    <a:ext uri="{FF2B5EF4-FFF2-40B4-BE49-F238E27FC236}">
                      <a16:creationId xmlns:a16="http://schemas.microsoft.com/office/drawing/2014/main" id="{840B9F57-2416-4FF3-89E4-5573880CC00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1" name="Freeform 177">
                  <a:extLst>
                    <a:ext uri="{FF2B5EF4-FFF2-40B4-BE49-F238E27FC236}">
                      <a16:creationId xmlns:a16="http://schemas.microsoft.com/office/drawing/2014/main" id="{4F61CA6F-6230-484D-B092-5663C427AF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2" name="Freeform 178">
                  <a:extLst>
                    <a:ext uri="{FF2B5EF4-FFF2-40B4-BE49-F238E27FC236}">
                      <a16:creationId xmlns:a16="http://schemas.microsoft.com/office/drawing/2014/main" id="{DAB9D970-5A66-4160-8EA0-33761F91B4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3" name="Freeform 179">
                  <a:extLst>
                    <a:ext uri="{FF2B5EF4-FFF2-40B4-BE49-F238E27FC236}">
                      <a16:creationId xmlns:a16="http://schemas.microsoft.com/office/drawing/2014/main" id="{071B060A-6BA9-4B42-B647-E1DAE8AE23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4" name="Freeform 180">
                  <a:extLst>
                    <a:ext uri="{FF2B5EF4-FFF2-40B4-BE49-F238E27FC236}">
                      <a16:creationId xmlns:a16="http://schemas.microsoft.com/office/drawing/2014/main" id="{B333CE59-839F-43D2-BF93-CD4DFAEC7C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5" name="Freeform 181">
                  <a:extLst>
                    <a:ext uri="{FF2B5EF4-FFF2-40B4-BE49-F238E27FC236}">
                      <a16:creationId xmlns:a16="http://schemas.microsoft.com/office/drawing/2014/main" id="{1640543B-49E5-4BF6-89E7-9473F47EF7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6" name="Freeform 182">
                  <a:extLst>
                    <a:ext uri="{FF2B5EF4-FFF2-40B4-BE49-F238E27FC236}">
                      <a16:creationId xmlns:a16="http://schemas.microsoft.com/office/drawing/2014/main" id="{84C34682-6543-47E6-8D70-9DB3583AB11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7" name="Freeform 183">
                  <a:extLst>
                    <a:ext uri="{FF2B5EF4-FFF2-40B4-BE49-F238E27FC236}">
                      <a16:creationId xmlns:a16="http://schemas.microsoft.com/office/drawing/2014/main" id="{1292E645-412B-407D-977E-D02E581EDF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8" name="Freeform 184">
                  <a:extLst>
                    <a:ext uri="{FF2B5EF4-FFF2-40B4-BE49-F238E27FC236}">
                      <a16:creationId xmlns:a16="http://schemas.microsoft.com/office/drawing/2014/main" id="{196C070A-B604-4938-8523-E70BC3D65B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9" name="Freeform 185">
                  <a:extLst>
                    <a:ext uri="{FF2B5EF4-FFF2-40B4-BE49-F238E27FC236}">
                      <a16:creationId xmlns:a16="http://schemas.microsoft.com/office/drawing/2014/main" id="{EF702019-0109-4C0E-BABB-C8FDDC891E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0" name="Freeform 186">
                  <a:extLst>
                    <a:ext uri="{FF2B5EF4-FFF2-40B4-BE49-F238E27FC236}">
                      <a16:creationId xmlns:a16="http://schemas.microsoft.com/office/drawing/2014/main" id="{B5378302-8762-47E7-A318-2CC1D01331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1" name="Freeform 187">
                  <a:extLst>
                    <a:ext uri="{FF2B5EF4-FFF2-40B4-BE49-F238E27FC236}">
                      <a16:creationId xmlns:a16="http://schemas.microsoft.com/office/drawing/2014/main" id="{288DAAA0-86EB-4532-8322-C3844AE8360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2" name="Freeform 188">
                  <a:extLst>
                    <a:ext uri="{FF2B5EF4-FFF2-40B4-BE49-F238E27FC236}">
                      <a16:creationId xmlns:a16="http://schemas.microsoft.com/office/drawing/2014/main" id="{D12017D6-1CAE-4EE1-9D33-40CBC00D28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3" name="Freeform 189">
                  <a:extLst>
                    <a:ext uri="{FF2B5EF4-FFF2-40B4-BE49-F238E27FC236}">
                      <a16:creationId xmlns:a16="http://schemas.microsoft.com/office/drawing/2014/main" id="{E164391D-AE87-4FFC-8253-1F095ED5D8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4" name="Freeform 190">
                  <a:extLst>
                    <a:ext uri="{FF2B5EF4-FFF2-40B4-BE49-F238E27FC236}">
                      <a16:creationId xmlns:a16="http://schemas.microsoft.com/office/drawing/2014/main" id="{74B0141C-39DF-4A47-9A78-03CE1D1336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5" name="Freeform 191">
                  <a:extLst>
                    <a:ext uri="{FF2B5EF4-FFF2-40B4-BE49-F238E27FC236}">
                      <a16:creationId xmlns:a16="http://schemas.microsoft.com/office/drawing/2014/main" id="{D24A9C41-E8DB-463E-8122-A4C0587330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6" name="Freeform 192">
                  <a:extLst>
                    <a:ext uri="{FF2B5EF4-FFF2-40B4-BE49-F238E27FC236}">
                      <a16:creationId xmlns:a16="http://schemas.microsoft.com/office/drawing/2014/main" id="{25FEC5AB-314F-4D3A-A131-DE67CD2B8EF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7" name="Freeform 193">
                  <a:extLst>
                    <a:ext uri="{FF2B5EF4-FFF2-40B4-BE49-F238E27FC236}">
                      <a16:creationId xmlns:a16="http://schemas.microsoft.com/office/drawing/2014/main" id="{6C4EA881-C209-4BF5-A25F-FA910A4EDA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8" name="Freeform 194">
                  <a:extLst>
                    <a:ext uri="{FF2B5EF4-FFF2-40B4-BE49-F238E27FC236}">
                      <a16:creationId xmlns:a16="http://schemas.microsoft.com/office/drawing/2014/main" id="{ECFCBFCF-A492-43D7-B7EE-C84BC8DF523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9" name="Freeform 195">
                  <a:extLst>
                    <a:ext uri="{FF2B5EF4-FFF2-40B4-BE49-F238E27FC236}">
                      <a16:creationId xmlns:a16="http://schemas.microsoft.com/office/drawing/2014/main" id="{70D44388-B1E8-4AD6-A314-3BD4D431CD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0" name="Freeform 196">
                  <a:extLst>
                    <a:ext uri="{FF2B5EF4-FFF2-40B4-BE49-F238E27FC236}">
                      <a16:creationId xmlns:a16="http://schemas.microsoft.com/office/drawing/2014/main" id="{E905B429-CC8B-48C2-8BBB-00AB47D293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1" name="Freeform 197">
                  <a:extLst>
                    <a:ext uri="{FF2B5EF4-FFF2-40B4-BE49-F238E27FC236}">
                      <a16:creationId xmlns:a16="http://schemas.microsoft.com/office/drawing/2014/main" id="{64F46840-99A8-4A67-ADE5-C0529259A4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2" name="Freeform 198">
                  <a:extLst>
                    <a:ext uri="{FF2B5EF4-FFF2-40B4-BE49-F238E27FC236}">
                      <a16:creationId xmlns:a16="http://schemas.microsoft.com/office/drawing/2014/main" id="{D7D14644-ABD5-4A53-A3A1-63E1595CEB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3" name="Freeform 199">
                  <a:extLst>
                    <a:ext uri="{FF2B5EF4-FFF2-40B4-BE49-F238E27FC236}">
                      <a16:creationId xmlns:a16="http://schemas.microsoft.com/office/drawing/2014/main" id="{BD9B2BAE-7603-4FE9-806A-F49D9785DF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4" name="Freeform 200">
                  <a:extLst>
                    <a:ext uri="{FF2B5EF4-FFF2-40B4-BE49-F238E27FC236}">
                      <a16:creationId xmlns:a16="http://schemas.microsoft.com/office/drawing/2014/main" id="{F7E08584-EAB8-458E-AFEA-D6BE53E3BB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5" name="Freeform 201">
                  <a:extLst>
                    <a:ext uri="{FF2B5EF4-FFF2-40B4-BE49-F238E27FC236}">
                      <a16:creationId xmlns:a16="http://schemas.microsoft.com/office/drawing/2014/main" id="{AFD36CD1-A60F-4510-9617-D99ACF0773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6" name="Freeform 202">
                  <a:extLst>
                    <a:ext uri="{FF2B5EF4-FFF2-40B4-BE49-F238E27FC236}">
                      <a16:creationId xmlns:a16="http://schemas.microsoft.com/office/drawing/2014/main" id="{74441E9A-9A2F-451A-8653-E091101A23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7" name="Freeform 203">
                  <a:extLst>
                    <a:ext uri="{FF2B5EF4-FFF2-40B4-BE49-F238E27FC236}">
                      <a16:creationId xmlns:a16="http://schemas.microsoft.com/office/drawing/2014/main" id="{C9ED4C07-50FF-4894-99AC-F74D9B2F0D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23" name="Freeform 205">
                <a:extLst>
                  <a:ext uri="{FF2B5EF4-FFF2-40B4-BE49-F238E27FC236}">
                    <a16:creationId xmlns:a16="http://schemas.microsoft.com/office/drawing/2014/main" id="{0121E26E-48E2-4A66-BE19-5B4C6BB30C2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4" name="Freeform 206">
                <a:extLst>
                  <a:ext uri="{FF2B5EF4-FFF2-40B4-BE49-F238E27FC236}">
                    <a16:creationId xmlns:a16="http://schemas.microsoft.com/office/drawing/2014/main" id="{FB156E60-5D8F-4875-8494-03B5478FD8B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5" name="Freeform 207">
                <a:extLst>
                  <a:ext uri="{FF2B5EF4-FFF2-40B4-BE49-F238E27FC236}">
                    <a16:creationId xmlns:a16="http://schemas.microsoft.com/office/drawing/2014/main" id="{875815AD-67A7-4BA1-8F71-7B85EB24B77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" name="Freeform 208">
                <a:extLst>
                  <a:ext uri="{FF2B5EF4-FFF2-40B4-BE49-F238E27FC236}">
                    <a16:creationId xmlns:a16="http://schemas.microsoft.com/office/drawing/2014/main" id="{6026CF2E-C936-45B3-8EA4-B2BAA1C0D9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7" name="Freeform 209">
                <a:extLst>
                  <a:ext uri="{FF2B5EF4-FFF2-40B4-BE49-F238E27FC236}">
                    <a16:creationId xmlns:a16="http://schemas.microsoft.com/office/drawing/2014/main" id="{FAF29A05-8D10-4C24-BC55-F64DE965273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8" name="Freeform 210">
                <a:extLst>
                  <a:ext uri="{FF2B5EF4-FFF2-40B4-BE49-F238E27FC236}">
                    <a16:creationId xmlns:a16="http://schemas.microsoft.com/office/drawing/2014/main" id="{69351064-E05A-4E29-9454-973AE6E6BEF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9" name="Freeform 211">
                <a:extLst>
                  <a:ext uri="{FF2B5EF4-FFF2-40B4-BE49-F238E27FC236}">
                    <a16:creationId xmlns:a16="http://schemas.microsoft.com/office/drawing/2014/main" id="{9E91AF90-E7E0-4E42-827A-307FD6E7E5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0" name="Freeform 212">
                <a:extLst>
                  <a:ext uri="{FF2B5EF4-FFF2-40B4-BE49-F238E27FC236}">
                    <a16:creationId xmlns:a16="http://schemas.microsoft.com/office/drawing/2014/main" id="{FD182167-59D6-4B73-B370-B0AD2F2503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1" name="Freeform 213">
                <a:extLst>
                  <a:ext uri="{FF2B5EF4-FFF2-40B4-BE49-F238E27FC236}">
                    <a16:creationId xmlns:a16="http://schemas.microsoft.com/office/drawing/2014/main" id="{59FDDB57-44A2-4A17-B6B3-13F5FA18063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2" name="Freeform 214">
                <a:extLst>
                  <a:ext uri="{FF2B5EF4-FFF2-40B4-BE49-F238E27FC236}">
                    <a16:creationId xmlns:a16="http://schemas.microsoft.com/office/drawing/2014/main" id="{54880294-F44E-47FA-9548-A6084E25CCC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3" name="Freeform 215">
                <a:extLst>
                  <a:ext uri="{FF2B5EF4-FFF2-40B4-BE49-F238E27FC236}">
                    <a16:creationId xmlns:a16="http://schemas.microsoft.com/office/drawing/2014/main" id="{3F9C20A7-EC37-4FF8-AE37-9E0A1BEEED4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4" name="Freeform 216">
                <a:extLst>
                  <a:ext uri="{FF2B5EF4-FFF2-40B4-BE49-F238E27FC236}">
                    <a16:creationId xmlns:a16="http://schemas.microsoft.com/office/drawing/2014/main" id="{1470A8C4-E864-4D3D-A81E-125E96030CB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5" name="Freeform 217">
                <a:extLst>
                  <a:ext uri="{FF2B5EF4-FFF2-40B4-BE49-F238E27FC236}">
                    <a16:creationId xmlns:a16="http://schemas.microsoft.com/office/drawing/2014/main" id="{1E5F66D8-FC70-4280-BBD3-3E4E146F3E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6" name="Freeform 218">
                <a:extLst>
                  <a:ext uri="{FF2B5EF4-FFF2-40B4-BE49-F238E27FC236}">
                    <a16:creationId xmlns:a16="http://schemas.microsoft.com/office/drawing/2014/main" id="{51340BB1-7E26-400D-986E-E01ECAD3268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7" name="Freeform 219">
                <a:extLst>
                  <a:ext uri="{FF2B5EF4-FFF2-40B4-BE49-F238E27FC236}">
                    <a16:creationId xmlns:a16="http://schemas.microsoft.com/office/drawing/2014/main" id="{EC537F1D-9875-447C-B85E-90A753BEC7B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8" name="Freeform 220">
                <a:extLst>
                  <a:ext uri="{FF2B5EF4-FFF2-40B4-BE49-F238E27FC236}">
                    <a16:creationId xmlns:a16="http://schemas.microsoft.com/office/drawing/2014/main" id="{E758F36B-5FBF-410B-88FE-534CC23B5D2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9" name="Freeform 221">
                <a:extLst>
                  <a:ext uri="{FF2B5EF4-FFF2-40B4-BE49-F238E27FC236}">
                    <a16:creationId xmlns:a16="http://schemas.microsoft.com/office/drawing/2014/main" id="{EC31BB39-6FDD-4C79-A1AA-8EDE2D2C53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0" name="Freeform 222">
                <a:extLst>
                  <a:ext uri="{FF2B5EF4-FFF2-40B4-BE49-F238E27FC236}">
                    <a16:creationId xmlns:a16="http://schemas.microsoft.com/office/drawing/2014/main" id="{295036A0-0ADB-42C6-81FF-802009E64B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1" name="Freeform 223">
                <a:extLst>
                  <a:ext uri="{FF2B5EF4-FFF2-40B4-BE49-F238E27FC236}">
                    <a16:creationId xmlns:a16="http://schemas.microsoft.com/office/drawing/2014/main" id="{F61D43F5-EA6D-41C8-A82F-750BF7A3C68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2" name="Freeform 224">
                <a:extLst>
                  <a:ext uri="{FF2B5EF4-FFF2-40B4-BE49-F238E27FC236}">
                    <a16:creationId xmlns:a16="http://schemas.microsoft.com/office/drawing/2014/main" id="{9309B02F-0F3E-4617-B252-67CB37571D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3" name="Freeform 225">
                <a:extLst>
                  <a:ext uri="{FF2B5EF4-FFF2-40B4-BE49-F238E27FC236}">
                    <a16:creationId xmlns:a16="http://schemas.microsoft.com/office/drawing/2014/main" id="{284B46BE-F88A-4B1B-A9DA-CE9FF33B81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4" name="Freeform 226">
                <a:extLst>
                  <a:ext uri="{FF2B5EF4-FFF2-40B4-BE49-F238E27FC236}">
                    <a16:creationId xmlns:a16="http://schemas.microsoft.com/office/drawing/2014/main" id="{BF13A07B-3CBA-4F83-822F-968B8D6EB2F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5" name="Freeform 227">
                <a:extLst>
                  <a:ext uri="{FF2B5EF4-FFF2-40B4-BE49-F238E27FC236}">
                    <a16:creationId xmlns:a16="http://schemas.microsoft.com/office/drawing/2014/main" id="{704FB6B3-2045-4922-B69F-292632253B9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6" name="Freeform 228">
                <a:extLst>
                  <a:ext uri="{FF2B5EF4-FFF2-40B4-BE49-F238E27FC236}">
                    <a16:creationId xmlns:a16="http://schemas.microsoft.com/office/drawing/2014/main" id="{578EC7C0-50AC-4D30-93F5-17C0930B210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7" name="Freeform 229">
                <a:extLst>
                  <a:ext uri="{FF2B5EF4-FFF2-40B4-BE49-F238E27FC236}">
                    <a16:creationId xmlns:a16="http://schemas.microsoft.com/office/drawing/2014/main" id="{C5B1A9B1-6887-4977-A9BC-B1223BBA851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8" name="Freeform 230">
                <a:extLst>
                  <a:ext uri="{FF2B5EF4-FFF2-40B4-BE49-F238E27FC236}">
                    <a16:creationId xmlns:a16="http://schemas.microsoft.com/office/drawing/2014/main" id="{384AAF67-4CA7-4C00-A704-16BBD04C429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9" name="Freeform 231">
                <a:extLst>
                  <a:ext uri="{FF2B5EF4-FFF2-40B4-BE49-F238E27FC236}">
                    <a16:creationId xmlns:a16="http://schemas.microsoft.com/office/drawing/2014/main" id="{3AE0D0A4-73AD-4B12-94BC-4D775182B23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0" name="Freeform 232">
                <a:extLst>
                  <a:ext uri="{FF2B5EF4-FFF2-40B4-BE49-F238E27FC236}">
                    <a16:creationId xmlns:a16="http://schemas.microsoft.com/office/drawing/2014/main" id="{F92B0084-2C1F-4C77-A8BD-53FC5C4F854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1" name="Freeform 233">
                <a:extLst>
                  <a:ext uri="{FF2B5EF4-FFF2-40B4-BE49-F238E27FC236}">
                    <a16:creationId xmlns:a16="http://schemas.microsoft.com/office/drawing/2014/main" id="{82EF6B9C-F58C-4977-855B-C65F23F37983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2" name="Freeform 234">
                <a:extLst>
                  <a:ext uri="{FF2B5EF4-FFF2-40B4-BE49-F238E27FC236}">
                    <a16:creationId xmlns:a16="http://schemas.microsoft.com/office/drawing/2014/main" id="{311C67A9-1F7A-4807-8684-91287FA62D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3" name="Freeform 235">
                <a:extLst>
                  <a:ext uri="{FF2B5EF4-FFF2-40B4-BE49-F238E27FC236}">
                    <a16:creationId xmlns:a16="http://schemas.microsoft.com/office/drawing/2014/main" id="{415FA102-9F82-4A30-A232-8C7100687AA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4" name="Freeform 236">
                <a:extLst>
                  <a:ext uri="{FF2B5EF4-FFF2-40B4-BE49-F238E27FC236}">
                    <a16:creationId xmlns:a16="http://schemas.microsoft.com/office/drawing/2014/main" id="{248B5D6A-DBAE-4B98-B854-759C7405F64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5" name="Rectangle 237">
                <a:extLst>
                  <a:ext uri="{FF2B5EF4-FFF2-40B4-BE49-F238E27FC236}">
                    <a16:creationId xmlns:a16="http://schemas.microsoft.com/office/drawing/2014/main" id="{75E4AC3C-76CB-48AC-84D7-FE15CCBD926E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356" name="Freeform 238">
                <a:extLst>
                  <a:ext uri="{FF2B5EF4-FFF2-40B4-BE49-F238E27FC236}">
                    <a16:creationId xmlns:a16="http://schemas.microsoft.com/office/drawing/2014/main" id="{1439E45E-93C3-4CD8-8760-19BC60690F5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7" name="Freeform 239">
                <a:extLst>
                  <a:ext uri="{FF2B5EF4-FFF2-40B4-BE49-F238E27FC236}">
                    <a16:creationId xmlns:a16="http://schemas.microsoft.com/office/drawing/2014/main" id="{7FABF62C-06C7-4F61-B64B-BE048B85C0B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8" name="Freeform 240">
                <a:extLst>
                  <a:ext uri="{FF2B5EF4-FFF2-40B4-BE49-F238E27FC236}">
                    <a16:creationId xmlns:a16="http://schemas.microsoft.com/office/drawing/2014/main" id="{16C73744-F8AB-46DC-A4D4-5A0E1946B0C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9" name="Freeform 241">
                <a:extLst>
                  <a:ext uri="{FF2B5EF4-FFF2-40B4-BE49-F238E27FC236}">
                    <a16:creationId xmlns:a16="http://schemas.microsoft.com/office/drawing/2014/main" id="{9F3CDF0E-9E17-48BF-B0CC-0964BDA292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0" name="Freeform 242">
                <a:extLst>
                  <a:ext uri="{FF2B5EF4-FFF2-40B4-BE49-F238E27FC236}">
                    <a16:creationId xmlns:a16="http://schemas.microsoft.com/office/drawing/2014/main" id="{2FAC402A-701D-45D3-BA4E-D6287453AC9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1" name="Freeform 243">
                <a:extLst>
                  <a:ext uri="{FF2B5EF4-FFF2-40B4-BE49-F238E27FC236}">
                    <a16:creationId xmlns:a16="http://schemas.microsoft.com/office/drawing/2014/main" id="{AD290532-AABF-40DC-AB3E-BD677718644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2" name="Freeform 244">
                <a:extLst>
                  <a:ext uri="{FF2B5EF4-FFF2-40B4-BE49-F238E27FC236}">
                    <a16:creationId xmlns:a16="http://schemas.microsoft.com/office/drawing/2014/main" id="{48C3843E-6212-488F-A818-BD5408C053E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3" name="Freeform 245">
                <a:extLst>
                  <a:ext uri="{FF2B5EF4-FFF2-40B4-BE49-F238E27FC236}">
                    <a16:creationId xmlns:a16="http://schemas.microsoft.com/office/drawing/2014/main" id="{EF80B089-3BFC-459D-9D5D-6388CF3FA4B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4" name="Freeform 246">
                <a:extLst>
                  <a:ext uri="{FF2B5EF4-FFF2-40B4-BE49-F238E27FC236}">
                    <a16:creationId xmlns:a16="http://schemas.microsoft.com/office/drawing/2014/main" id="{464A4C5C-C93C-4E58-98C4-40E9E6A975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5" name="Freeform 247">
                <a:extLst>
                  <a:ext uri="{FF2B5EF4-FFF2-40B4-BE49-F238E27FC236}">
                    <a16:creationId xmlns:a16="http://schemas.microsoft.com/office/drawing/2014/main" id="{037E4A47-2394-4B25-A5A2-FF1AFBE0ECD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6" name="Freeform 248">
                <a:extLst>
                  <a:ext uri="{FF2B5EF4-FFF2-40B4-BE49-F238E27FC236}">
                    <a16:creationId xmlns:a16="http://schemas.microsoft.com/office/drawing/2014/main" id="{BED5716D-0220-4CE6-A4D8-02DD5B0882F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7" name="Freeform 249">
                <a:extLst>
                  <a:ext uri="{FF2B5EF4-FFF2-40B4-BE49-F238E27FC236}">
                    <a16:creationId xmlns:a16="http://schemas.microsoft.com/office/drawing/2014/main" id="{D7412397-C085-4631-AA86-B7ECCBF2C14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8" name="Freeform 250">
                <a:extLst>
                  <a:ext uri="{FF2B5EF4-FFF2-40B4-BE49-F238E27FC236}">
                    <a16:creationId xmlns:a16="http://schemas.microsoft.com/office/drawing/2014/main" id="{CE6C1AA8-B171-4147-9EC7-ECB25ED66BD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9" name="Freeform 251">
                <a:extLst>
                  <a:ext uri="{FF2B5EF4-FFF2-40B4-BE49-F238E27FC236}">
                    <a16:creationId xmlns:a16="http://schemas.microsoft.com/office/drawing/2014/main" id="{D97D8497-18B9-4B0D-AA3A-C78E79953C2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0" name="Freeform 252">
                <a:extLst>
                  <a:ext uri="{FF2B5EF4-FFF2-40B4-BE49-F238E27FC236}">
                    <a16:creationId xmlns:a16="http://schemas.microsoft.com/office/drawing/2014/main" id="{C6EC10A3-9691-4678-A529-26186917505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1" name="Freeform 253">
                <a:extLst>
                  <a:ext uri="{FF2B5EF4-FFF2-40B4-BE49-F238E27FC236}">
                    <a16:creationId xmlns:a16="http://schemas.microsoft.com/office/drawing/2014/main" id="{7A5B873C-C28E-444B-A07C-389AC5CB72FA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2" name="Freeform 254">
                <a:extLst>
                  <a:ext uri="{FF2B5EF4-FFF2-40B4-BE49-F238E27FC236}">
                    <a16:creationId xmlns:a16="http://schemas.microsoft.com/office/drawing/2014/main" id="{B9FB5BF5-C30A-48E6-9343-B0D7AF912F3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3" name="Freeform 255">
                <a:extLst>
                  <a:ext uri="{FF2B5EF4-FFF2-40B4-BE49-F238E27FC236}">
                    <a16:creationId xmlns:a16="http://schemas.microsoft.com/office/drawing/2014/main" id="{6895133F-C420-4B93-8C9A-255832D2BE1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4" name="Freeform 256">
                <a:extLst>
                  <a:ext uri="{FF2B5EF4-FFF2-40B4-BE49-F238E27FC236}">
                    <a16:creationId xmlns:a16="http://schemas.microsoft.com/office/drawing/2014/main" id="{C9692F52-02A3-4D88-AB38-0E33CEC4FF2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5" name="Freeform 257">
                <a:extLst>
                  <a:ext uri="{FF2B5EF4-FFF2-40B4-BE49-F238E27FC236}">
                    <a16:creationId xmlns:a16="http://schemas.microsoft.com/office/drawing/2014/main" id="{5DBF25F7-C131-4093-824F-D26EDC0A087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6" name="Freeform 258">
                <a:extLst>
                  <a:ext uri="{FF2B5EF4-FFF2-40B4-BE49-F238E27FC236}">
                    <a16:creationId xmlns:a16="http://schemas.microsoft.com/office/drawing/2014/main" id="{F1EF0F2E-F47E-42C8-8FB1-1B04570CA47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7" name="Freeform 259">
                <a:extLst>
                  <a:ext uri="{FF2B5EF4-FFF2-40B4-BE49-F238E27FC236}">
                    <a16:creationId xmlns:a16="http://schemas.microsoft.com/office/drawing/2014/main" id="{B7577CC4-6322-4D43-83B4-C5E83282BF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8" name="Freeform 260">
                <a:extLst>
                  <a:ext uri="{FF2B5EF4-FFF2-40B4-BE49-F238E27FC236}">
                    <a16:creationId xmlns:a16="http://schemas.microsoft.com/office/drawing/2014/main" id="{A35DF32E-D279-4A19-99F2-E7FFBE8E290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292" name="Freeform 29">
              <a:extLst>
                <a:ext uri="{FF2B5EF4-FFF2-40B4-BE49-F238E27FC236}">
                  <a16:creationId xmlns:a16="http://schemas.microsoft.com/office/drawing/2014/main" id="{244AE424-777D-4795-BB17-B1371959EC07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3" name="Freeform 38">
              <a:extLst>
                <a:ext uri="{FF2B5EF4-FFF2-40B4-BE49-F238E27FC236}">
                  <a16:creationId xmlns:a16="http://schemas.microsoft.com/office/drawing/2014/main" id="{816D6653-F7C3-486E-BCB1-2A1F12184D34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4" name="Freeform 40">
              <a:extLst>
                <a:ext uri="{FF2B5EF4-FFF2-40B4-BE49-F238E27FC236}">
                  <a16:creationId xmlns:a16="http://schemas.microsoft.com/office/drawing/2014/main" id="{FACB537D-4B96-4147-BEE0-A1EFD0A967E5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5" name="Freeform 41">
              <a:extLst>
                <a:ext uri="{FF2B5EF4-FFF2-40B4-BE49-F238E27FC236}">
                  <a16:creationId xmlns:a16="http://schemas.microsoft.com/office/drawing/2014/main" id="{3E9476F4-EC68-4C71-9CE7-99EB60A58E92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6" name="Freeform 42">
              <a:extLst>
                <a:ext uri="{FF2B5EF4-FFF2-40B4-BE49-F238E27FC236}">
                  <a16:creationId xmlns:a16="http://schemas.microsoft.com/office/drawing/2014/main" id="{9B4B9D39-EFB2-4B4C-898D-25F9EFF0B9B6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7" name="Freeform 43">
              <a:extLst>
                <a:ext uri="{FF2B5EF4-FFF2-40B4-BE49-F238E27FC236}">
                  <a16:creationId xmlns:a16="http://schemas.microsoft.com/office/drawing/2014/main" id="{A70EE526-E0FF-482E-9BC8-BDECE9013B74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8" name="Freeform 44">
              <a:extLst>
                <a:ext uri="{FF2B5EF4-FFF2-40B4-BE49-F238E27FC236}">
                  <a16:creationId xmlns:a16="http://schemas.microsoft.com/office/drawing/2014/main" id="{A952D8F0-D27D-42E7-BB11-BEE49AD3EF7D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9" name="Freeform 45">
              <a:extLst>
                <a:ext uri="{FF2B5EF4-FFF2-40B4-BE49-F238E27FC236}">
                  <a16:creationId xmlns:a16="http://schemas.microsoft.com/office/drawing/2014/main" id="{ACF58B88-3693-43E3-A795-4508C091358B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0" name="Freeform 49">
              <a:extLst>
                <a:ext uri="{FF2B5EF4-FFF2-40B4-BE49-F238E27FC236}">
                  <a16:creationId xmlns:a16="http://schemas.microsoft.com/office/drawing/2014/main" id="{F8F5B21A-49F3-4EA3-B5DD-2BB1E10C6493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1" name="Freeform 50">
              <a:extLst>
                <a:ext uri="{FF2B5EF4-FFF2-40B4-BE49-F238E27FC236}">
                  <a16:creationId xmlns:a16="http://schemas.microsoft.com/office/drawing/2014/main" id="{B8A43147-DD52-48B5-BC30-05A60DFC5CFF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2" name="Freeform 55">
              <a:extLst>
                <a:ext uri="{FF2B5EF4-FFF2-40B4-BE49-F238E27FC236}">
                  <a16:creationId xmlns:a16="http://schemas.microsoft.com/office/drawing/2014/main" id="{3B8F61F6-5D19-4792-B2B7-20F4BB312CB3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3" name="Freeform 56">
              <a:extLst>
                <a:ext uri="{FF2B5EF4-FFF2-40B4-BE49-F238E27FC236}">
                  <a16:creationId xmlns:a16="http://schemas.microsoft.com/office/drawing/2014/main" id="{DB3E7884-F306-475D-A1CB-27239D3F2713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4" name="Freeform 57">
              <a:extLst>
                <a:ext uri="{FF2B5EF4-FFF2-40B4-BE49-F238E27FC236}">
                  <a16:creationId xmlns:a16="http://schemas.microsoft.com/office/drawing/2014/main" id="{877B9228-ECD4-4373-8750-705889210310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5" name="Freeform 58">
              <a:extLst>
                <a:ext uri="{FF2B5EF4-FFF2-40B4-BE49-F238E27FC236}">
                  <a16:creationId xmlns:a16="http://schemas.microsoft.com/office/drawing/2014/main" id="{E99385B5-9380-40FD-AFD6-00176D3D201E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6" name="Freeform 59">
              <a:extLst>
                <a:ext uri="{FF2B5EF4-FFF2-40B4-BE49-F238E27FC236}">
                  <a16:creationId xmlns:a16="http://schemas.microsoft.com/office/drawing/2014/main" id="{9DCAF9B4-98EB-4311-B34B-5DD5816C3A0B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7" name="Freeform 60">
              <a:extLst>
                <a:ext uri="{FF2B5EF4-FFF2-40B4-BE49-F238E27FC236}">
                  <a16:creationId xmlns:a16="http://schemas.microsoft.com/office/drawing/2014/main" id="{5F0B9FF2-7D40-4F62-82A2-E73E845BFB94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8" name="Freeform 61">
              <a:extLst>
                <a:ext uri="{FF2B5EF4-FFF2-40B4-BE49-F238E27FC236}">
                  <a16:creationId xmlns:a16="http://schemas.microsoft.com/office/drawing/2014/main" id="{594ED135-55B1-4714-BFD3-B04EBEAD8444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9" name="Freeform 73">
              <a:extLst>
                <a:ext uri="{FF2B5EF4-FFF2-40B4-BE49-F238E27FC236}">
                  <a16:creationId xmlns:a16="http://schemas.microsoft.com/office/drawing/2014/main" id="{B110FBF5-7E46-409E-A915-D44677C7F1AD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0" name="Freeform 74">
              <a:extLst>
                <a:ext uri="{FF2B5EF4-FFF2-40B4-BE49-F238E27FC236}">
                  <a16:creationId xmlns:a16="http://schemas.microsoft.com/office/drawing/2014/main" id="{F4EA4137-2AD8-4179-9E82-19EFB490DA5A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1" name="Freeform 75">
              <a:extLst>
                <a:ext uri="{FF2B5EF4-FFF2-40B4-BE49-F238E27FC236}">
                  <a16:creationId xmlns:a16="http://schemas.microsoft.com/office/drawing/2014/main" id="{848649D2-211F-4A1B-97ED-0F3E3249FA54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2" name="Freeform 76">
              <a:extLst>
                <a:ext uri="{FF2B5EF4-FFF2-40B4-BE49-F238E27FC236}">
                  <a16:creationId xmlns:a16="http://schemas.microsoft.com/office/drawing/2014/main" id="{473B261D-D0ED-41B0-8483-D0C148A5F5A0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3" name="Freeform 78">
              <a:extLst>
                <a:ext uri="{FF2B5EF4-FFF2-40B4-BE49-F238E27FC236}">
                  <a16:creationId xmlns:a16="http://schemas.microsoft.com/office/drawing/2014/main" id="{B28E3677-5835-43DF-AA56-07C361DCD27A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4" name="Freeform 79">
              <a:extLst>
                <a:ext uri="{FF2B5EF4-FFF2-40B4-BE49-F238E27FC236}">
                  <a16:creationId xmlns:a16="http://schemas.microsoft.com/office/drawing/2014/main" id="{6B40C25D-3D2C-4231-9E0D-0A98E19D82C6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5" name="Freeform 81">
              <a:extLst>
                <a:ext uri="{FF2B5EF4-FFF2-40B4-BE49-F238E27FC236}">
                  <a16:creationId xmlns:a16="http://schemas.microsoft.com/office/drawing/2014/main" id="{4FF307F1-D50D-4F2B-9B78-9EC9C64D3688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6" name="Freeform 83">
              <a:extLst>
                <a:ext uri="{FF2B5EF4-FFF2-40B4-BE49-F238E27FC236}">
                  <a16:creationId xmlns:a16="http://schemas.microsoft.com/office/drawing/2014/main" id="{D3360406-38A6-4924-8B3A-B787983BDE14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7" name="Freeform 84">
              <a:extLst>
                <a:ext uri="{FF2B5EF4-FFF2-40B4-BE49-F238E27FC236}">
                  <a16:creationId xmlns:a16="http://schemas.microsoft.com/office/drawing/2014/main" id="{19338425-A721-4A9E-B28D-077101CE01EB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8" name="Freeform 91">
              <a:extLst>
                <a:ext uri="{FF2B5EF4-FFF2-40B4-BE49-F238E27FC236}">
                  <a16:creationId xmlns:a16="http://schemas.microsoft.com/office/drawing/2014/main" id="{FF08FAF2-D7A8-423E-AB4E-7845E61F2CC2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9" name="Freeform 95">
              <a:extLst>
                <a:ext uri="{FF2B5EF4-FFF2-40B4-BE49-F238E27FC236}">
                  <a16:creationId xmlns:a16="http://schemas.microsoft.com/office/drawing/2014/main" id="{0E7ABEB2-C4BF-40BD-9285-4AE4E7D67E11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0" name="Freeform 96">
              <a:extLst>
                <a:ext uri="{FF2B5EF4-FFF2-40B4-BE49-F238E27FC236}">
                  <a16:creationId xmlns:a16="http://schemas.microsoft.com/office/drawing/2014/main" id="{6422666F-3938-4FBC-A19B-1228B89E8F2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1" name="Freeform 98">
              <a:extLst>
                <a:ext uri="{FF2B5EF4-FFF2-40B4-BE49-F238E27FC236}">
                  <a16:creationId xmlns:a16="http://schemas.microsoft.com/office/drawing/2014/main" id="{EF3C3B8E-FECF-4025-BF1D-07D279CD29F1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grpSp>
        <xdr:nvGrpSpPr>
          <xdr:cNvPr id="866" name="Title Border" descr="Flourish pattern" title="Title Border">
            <a:extLst>
              <a:ext uri="{FF2B5EF4-FFF2-40B4-BE49-F238E27FC236}">
                <a16:creationId xmlns:a16="http://schemas.microsoft.com/office/drawing/2014/main" id="{B6529104-B3BF-43D4-9B63-6FCA5463B7D2}"/>
              </a:ext>
            </a:extLst>
          </xdr:cNvPr>
          <xdr:cNvGrpSpPr/>
        </xdr:nvGrpSpPr>
        <xdr:grpSpPr>
          <a:xfrm>
            <a:off x="5363633" y="0"/>
            <a:ext cx="5363634" cy="169333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867" name="Group 3">
              <a:extLst>
                <a:ext uri="{FF2B5EF4-FFF2-40B4-BE49-F238E27FC236}">
                  <a16:creationId xmlns:a16="http://schemas.microsoft.com/office/drawing/2014/main" id="{50894069-1325-4F51-A98A-F8FE7C3029BC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898" name="Group 204">
                <a:extLst>
                  <a:ext uri="{FF2B5EF4-FFF2-40B4-BE49-F238E27FC236}">
                    <a16:creationId xmlns:a16="http://schemas.microsoft.com/office/drawing/2014/main" id="{C5FC3B4A-8EA5-4613-8B3C-0F09C87A92FA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955" name="Freeform 5">
                  <a:extLst>
                    <a:ext uri="{FF2B5EF4-FFF2-40B4-BE49-F238E27FC236}">
                      <a16:creationId xmlns:a16="http://schemas.microsoft.com/office/drawing/2014/main" id="{938B0A2D-739D-4A5A-92C8-56E8B7C523B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6" name="Freeform 6">
                  <a:extLst>
                    <a:ext uri="{FF2B5EF4-FFF2-40B4-BE49-F238E27FC236}">
                      <a16:creationId xmlns:a16="http://schemas.microsoft.com/office/drawing/2014/main" id="{420B6457-7912-4A4C-BE2B-8FA0927DEC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7" name="Freeform 7">
                  <a:extLst>
                    <a:ext uri="{FF2B5EF4-FFF2-40B4-BE49-F238E27FC236}">
                      <a16:creationId xmlns:a16="http://schemas.microsoft.com/office/drawing/2014/main" id="{50385285-6410-4ADE-B3F7-5F6702378D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8" name="Freeform 8">
                  <a:extLst>
                    <a:ext uri="{FF2B5EF4-FFF2-40B4-BE49-F238E27FC236}">
                      <a16:creationId xmlns:a16="http://schemas.microsoft.com/office/drawing/2014/main" id="{DA8BFB4E-C1AA-44C6-BE71-93333D258E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9" name="Freeform 9">
                  <a:extLst>
                    <a:ext uri="{FF2B5EF4-FFF2-40B4-BE49-F238E27FC236}">
                      <a16:creationId xmlns:a16="http://schemas.microsoft.com/office/drawing/2014/main" id="{396B95D8-1181-456F-A407-874236E87D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0" name="Freeform 10">
                  <a:extLst>
                    <a:ext uri="{FF2B5EF4-FFF2-40B4-BE49-F238E27FC236}">
                      <a16:creationId xmlns:a16="http://schemas.microsoft.com/office/drawing/2014/main" id="{0C8C1889-E0BD-4D6E-9126-BC3E581AD0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1" name="Freeform 11">
                  <a:extLst>
                    <a:ext uri="{FF2B5EF4-FFF2-40B4-BE49-F238E27FC236}">
                      <a16:creationId xmlns:a16="http://schemas.microsoft.com/office/drawing/2014/main" id="{EC58B42E-ADA9-42AA-84CD-FE28A21F89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2" name="Freeform 12">
                  <a:extLst>
                    <a:ext uri="{FF2B5EF4-FFF2-40B4-BE49-F238E27FC236}">
                      <a16:creationId xmlns:a16="http://schemas.microsoft.com/office/drawing/2014/main" id="{FEA5AE04-72B8-41B2-8710-1267DFB1D7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3" name="Freeform 13">
                  <a:extLst>
                    <a:ext uri="{FF2B5EF4-FFF2-40B4-BE49-F238E27FC236}">
                      <a16:creationId xmlns:a16="http://schemas.microsoft.com/office/drawing/2014/main" id="{F6C2160C-5A6B-415E-90BB-78005ED9EDE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4" name="Freeform 14">
                  <a:extLst>
                    <a:ext uri="{FF2B5EF4-FFF2-40B4-BE49-F238E27FC236}">
                      <a16:creationId xmlns:a16="http://schemas.microsoft.com/office/drawing/2014/main" id="{8A75FA45-ADAD-46B5-95F6-6596F88ACD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5" name="Freeform 15">
                  <a:extLst>
                    <a:ext uri="{FF2B5EF4-FFF2-40B4-BE49-F238E27FC236}">
                      <a16:creationId xmlns:a16="http://schemas.microsoft.com/office/drawing/2014/main" id="{8C7EC39B-EE4B-490D-BE3D-D897A0FCB0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6" name="Freeform 16">
                  <a:extLst>
                    <a:ext uri="{FF2B5EF4-FFF2-40B4-BE49-F238E27FC236}">
                      <a16:creationId xmlns:a16="http://schemas.microsoft.com/office/drawing/2014/main" id="{1401FB3D-BB83-4656-A15A-2356195EA8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7" name="Freeform 17">
                  <a:extLst>
                    <a:ext uri="{FF2B5EF4-FFF2-40B4-BE49-F238E27FC236}">
                      <a16:creationId xmlns:a16="http://schemas.microsoft.com/office/drawing/2014/main" id="{9DF52063-3B94-4290-8126-DC428F21DCD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8" name="Freeform 18">
                  <a:extLst>
                    <a:ext uri="{FF2B5EF4-FFF2-40B4-BE49-F238E27FC236}">
                      <a16:creationId xmlns:a16="http://schemas.microsoft.com/office/drawing/2014/main" id="{92C1D4C1-2D17-4EA4-BA85-1294D9A112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9" name="Freeform 19">
                  <a:extLst>
                    <a:ext uri="{FF2B5EF4-FFF2-40B4-BE49-F238E27FC236}">
                      <a16:creationId xmlns:a16="http://schemas.microsoft.com/office/drawing/2014/main" id="{2FEC5A8A-2864-47E9-8596-C455571473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0" name="Freeform 20">
                  <a:extLst>
                    <a:ext uri="{FF2B5EF4-FFF2-40B4-BE49-F238E27FC236}">
                      <a16:creationId xmlns:a16="http://schemas.microsoft.com/office/drawing/2014/main" id="{1452E81E-00BC-4CF0-87D8-223478D162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1" name="Freeform 21">
                  <a:extLst>
                    <a:ext uri="{FF2B5EF4-FFF2-40B4-BE49-F238E27FC236}">
                      <a16:creationId xmlns:a16="http://schemas.microsoft.com/office/drawing/2014/main" id="{DF50DBCC-E80A-4740-9F7A-4E20F3200C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2" name="Freeform 22">
                  <a:extLst>
                    <a:ext uri="{FF2B5EF4-FFF2-40B4-BE49-F238E27FC236}">
                      <a16:creationId xmlns:a16="http://schemas.microsoft.com/office/drawing/2014/main" id="{FB62531A-8FEB-4017-862B-E42EB44728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3" name="Freeform 23">
                  <a:extLst>
                    <a:ext uri="{FF2B5EF4-FFF2-40B4-BE49-F238E27FC236}">
                      <a16:creationId xmlns:a16="http://schemas.microsoft.com/office/drawing/2014/main" id="{5CAA4C18-7066-43D5-9429-660334BE9EF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4" name="Freeform 24">
                  <a:extLst>
                    <a:ext uri="{FF2B5EF4-FFF2-40B4-BE49-F238E27FC236}">
                      <a16:creationId xmlns:a16="http://schemas.microsoft.com/office/drawing/2014/main" id="{2A5AAAE7-F4FA-4FA7-AAA4-7CD8AA149CF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5" name="Freeform 25">
                  <a:extLst>
                    <a:ext uri="{FF2B5EF4-FFF2-40B4-BE49-F238E27FC236}">
                      <a16:creationId xmlns:a16="http://schemas.microsoft.com/office/drawing/2014/main" id="{5ACE9FA9-7DD8-44B4-9E2C-5514E7D8AC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6" name="Freeform 26">
                  <a:extLst>
                    <a:ext uri="{FF2B5EF4-FFF2-40B4-BE49-F238E27FC236}">
                      <a16:creationId xmlns:a16="http://schemas.microsoft.com/office/drawing/2014/main" id="{AC381E4E-9017-4FC5-BC4A-3531812B49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7" name="Freeform 27">
                  <a:extLst>
                    <a:ext uri="{FF2B5EF4-FFF2-40B4-BE49-F238E27FC236}">
                      <a16:creationId xmlns:a16="http://schemas.microsoft.com/office/drawing/2014/main" id="{F364AD82-0480-4E0B-8489-1C33246491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8" name="Freeform 28">
                  <a:extLst>
                    <a:ext uri="{FF2B5EF4-FFF2-40B4-BE49-F238E27FC236}">
                      <a16:creationId xmlns:a16="http://schemas.microsoft.com/office/drawing/2014/main" id="{45E35287-60BF-4ED9-B66A-667F497029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9" name="Freeform 29">
                  <a:extLst>
                    <a:ext uri="{FF2B5EF4-FFF2-40B4-BE49-F238E27FC236}">
                      <a16:creationId xmlns:a16="http://schemas.microsoft.com/office/drawing/2014/main" id="{1391FA06-3B25-4AA4-B6E6-4D5B423BB8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0" name="Freeform 30">
                  <a:extLst>
                    <a:ext uri="{FF2B5EF4-FFF2-40B4-BE49-F238E27FC236}">
                      <a16:creationId xmlns:a16="http://schemas.microsoft.com/office/drawing/2014/main" id="{6E41EAAD-EF42-4D7E-A533-A1412B867B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1" name="Freeform 31">
                  <a:extLst>
                    <a:ext uri="{FF2B5EF4-FFF2-40B4-BE49-F238E27FC236}">
                      <a16:creationId xmlns:a16="http://schemas.microsoft.com/office/drawing/2014/main" id="{D9436737-B348-4DAC-8420-C104406E95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2" name="Freeform 32">
                  <a:extLst>
                    <a:ext uri="{FF2B5EF4-FFF2-40B4-BE49-F238E27FC236}">
                      <a16:creationId xmlns:a16="http://schemas.microsoft.com/office/drawing/2014/main" id="{C0086809-D6F1-433C-95A6-007B124815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3" name="Freeform 33">
                  <a:extLst>
                    <a:ext uri="{FF2B5EF4-FFF2-40B4-BE49-F238E27FC236}">
                      <a16:creationId xmlns:a16="http://schemas.microsoft.com/office/drawing/2014/main" id="{24596390-31F6-413B-A841-8A2E96B7FE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4" name="Freeform 34">
                  <a:extLst>
                    <a:ext uri="{FF2B5EF4-FFF2-40B4-BE49-F238E27FC236}">
                      <a16:creationId xmlns:a16="http://schemas.microsoft.com/office/drawing/2014/main" id="{EC9CBEE6-196A-4E6A-A124-DE06F43D7B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5" name="Freeform 35">
                  <a:extLst>
                    <a:ext uri="{FF2B5EF4-FFF2-40B4-BE49-F238E27FC236}">
                      <a16:creationId xmlns:a16="http://schemas.microsoft.com/office/drawing/2014/main" id="{A3DB7EDB-955A-442C-8F9A-A8054BBC25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6" name="Freeform 36">
                  <a:extLst>
                    <a:ext uri="{FF2B5EF4-FFF2-40B4-BE49-F238E27FC236}">
                      <a16:creationId xmlns:a16="http://schemas.microsoft.com/office/drawing/2014/main" id="{BD75EDA5-30C1-4566-A48D-7904265B71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7" name="Freeform 37">
                  <a:extLst>
                    <a:ext uri="{FF2B5EF4-FFF2-40B4-BE49-F238E27FC236}">
                      <a16:creationId xmlns:a16="http://schemas.microsoft.com/office/drawing/2014/main" id="{76C09AE0-ED46-4818-A28D-DC48B4A421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8" name="Freeform 38">
                  <a:extLst>
                    <a:ext uri="{FF2B5EF4-FFF2-40B4-BE49-F238E27FC236}">
                      <a16:creationId xmlns:a16="http://schemas.microsoft.com/office/drawing/2014/main" id="{3152734D-F72E-4D5E-BA67-C470BE1363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9" name="Freeform 39">
                  <a:extLst>
                    <a:ext uri="{FF2B5EF4-FFF2-40B4-BE49-F238E27FC236}">
                      <a16:creationId xmlns:a16="http://schemas.microsoft.com/office/drawing/2014/main" id="{3FCD6CB7-5A4E-4EA1-A6BB-5477C65C85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0" name="Freeform 40">
                  <a:extLst>
                    <a:ext uri="{FF2B5EF4-FFF2-40B4-BE49-F238E27FC236}">
                      <a16:creationId xmlns:a16="http://schemas.microsoft.com/office/drawing/2014/main" id="{2BA74528-4729-4398-8E05-F447D7507F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1" name="Freeform 41">
                  <a:extLst>
                    <a:ext uri="{FF2B5EF4-FFF2-40B4-BE49-F238E27FC236}">
                      <a16:creationId xmlns:a16="http://schemas.microsoft.com/office/drawing/2014/main" id="{2C96E75B-592D-4F71-8E1A-680314C9EB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2" name="Freeform 42">
                  <a:extLst>
                    <a:ext uri="{FF2B5EF4-FFF2-40B4-BE49-F238E27FC236}">
                      <a16:creationId xmlns:a16="http://schemas.microsoft.com/office/drawing/2014/main" id="{55B542C4-3491-4CEB-AE36-C1DF4C7002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3" name="Freeform 43">
                  <a:extLst>
                    <a:ext uri="{FF2B5EF4-FFF2-40B4-BE49-F238E27FC236}">
                      <a16:creationId xmlns:a16="http://schemas.microsoft.com/office/drawing/2014/main" id="{8E91E4F2-4796-4B39-92D4-90262B9F2A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4" name="Freeform 44">
                  <a:extLst>
                    <a:ext uri="{FF2B5EF4-FFF2-40B4-BE49-F238E27FC236}">
                      <a16:creationId xmlns:a16="http://schemas.microsoft.com/office/drawing/2014/main" id="{CBC110DA-154D-4F48-B46F-AE85428810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5" name="Freeform 45">
                  <a:extLst>
                    <a:ext uri="{FF2B5EF4-FFF2-40B4-BE49-F238E27FC236}">
                      <a16:creationId xmlns:a16="http://schemas.microsoft.com/office/drawing/2014/main" id="{43FD19CE-C51B-45D4-83E1-C929193BF6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6" name="Freeform 46">
                  <a:extLst>
                    <a:ext uri="{FF2B5EF4-FFF2-40B4-BE49-F238E27FC236}">
                      <a16:creationId xmlns:a16="http://schemas.microsoft.com/office/drawing/2014/main" id="{ADC2239E-279B-4B86-9A5E-8353ED4649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7" name="Freeform 47">
                  <a:extLst>
                    <a:ext uri="{FF2B5EF4-FFF2-40B4-BE49-F238E27FC236}">
                      <a16:creationId xmlns:a16="http://schemas.microsoft.com/office/drawing/2014/main" id="{DB68C33C-6B23-44B3-A474-3E9DAB0D07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8" name="Freeform 48">
                  <a:extLst>
                    <a:ext uri="{FF2B5EF4-FFF2-40B4-BE49-F238E27FC236}">
                      <a16:creationId xmlns:a16="http://schemas.microsoft.com/office/drawing/2014/main" id="{AF3B4EE6-8EAA-4A2D-BEE7-F25E58BC8C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9" name="Freeform 49">
                  <a:extLst>
                    <a:ext uri="{FF2B5EF4-FFF2-40B4-BE49-F238E27FC236}">
                      <a16:creationId xmlns:a16="http://schemas.microsoft.com/office/drawing/2014/main" id="{8D3FBE23-0BED-437B-84D7-514304E3A9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0" name="Freeform 50">
                  <a:extLst>
                    <a:ext uri="{FF2B5EF4-FFF2-40B4-BE49-F238E27FC236}">
                      <a16:creationId xmlns:a16="http://schemas.microsoft.com/office/drawing/2014/main" id="{8303FAF7-21B1-4B39-B43F-9A082DBF55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1" name="Freeform 51">
                  <a:extLst>
                    <a:ext uri="{FF2B5EF4-FFF2-40B4-BE49-F238E27FC236}">
                      <a16:creationId xmlns:a16="http://schemas.microsoft.com/office/drawing/2014/main" id="{E56F4CF0-B47A-4665-9603-FAE33FC437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2" name="Freeform 52">
                  <a:extLst>
                    <a:ext uri="{FF2B5EF4-FFF2-40B4-BE49-F238E27FC236}">
                      <a16:creationId xmlns:a16="http://schemas.microsoft.com/office/drawing/2014/main" id="{DBF342FC-BB15-4FBC-A250-0141ADE7960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3" name="Freeform 53">
                  <a:extLst>
                    <a:ext uri="{FF2B5EF4-FFF2-40B4-BE49-F238E27FC236}">
                      <a16:creationId xmlns:a16="http://schemas.microsoft.com/office/drawing/2014/main" id="{F7006C65-6631-4DEC-9704-FCE9FD7C5AA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4" name="Freeform 54">
                  <a:extLst>
                    <a:ext uri="{FF2B5EF4-FFF2-40B4-BE49-F238E27FC236}">
                      <a16:creationId xmlns:a16="http://schemas.microsoft.com/office/drawing/2014/main" id="{2DFC2AE7-4D14-4E60-BA8B-0771C310FF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5" name="Freeform 55">
                  <a:extLst>
                    <a:ext uri="{FF2B5EF4-FFF2-40B4-BE49-F238E27FC236}">
                      <a16:creationId xmlns:a16="http://schemas.microsoft.com/office/drawing/2014/main" id="{EDA59F37-2740-4182-BEB8-262383F68E2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6" name="Freeform 56">
                  <a:extLst>
                    <a:ext uri="{FF2B5EF4-FFF2-40B4-BE49-F238E27FC236}">
                      <a16:creationId xmlns:a16="http://schemas.microsoft.com/office/drawing/2014/main" id="{8D753E69-B9FE-48C1-B5CB-B619D4EBA2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7" name="Freeform 57">
                  <a:extLst>
                    <a:ext uri="{FF2B5EF4-FFF2-40B4-BE49-F238E27FC236}">
                      <a16:creationId xmlns:a16="http://schemas.microsoft.com/office/drawing/2014/main" id="{BC987F43-F001-4ADA-B765-2C531E5B68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8" name="Freeform 58">
                  <a:extLst>
                    <a:ext uri="{FF2B5EF4-FFF2-40B4-BE49-F238E27FC236}">
                      <a16:creationId xmlns:a16="http://schemas.microsoft.com/office/drawing/2014/main" id="{38B87FA1-FEB0-4EB0-AE4F-CCDA317862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9" name="Freeform 59">
                  <a:extLst>
                    <a:ext uri="{FF2B5EF4-FFF2-40B4-BE49-F238E27FC236}">
                      <a16:creationId xmlns:a16="http://schemas.microsoft.com/office/drawing/2014/main" id="{836EAEBD-2D61-4DCF-8853-09014E466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0" name="Freeform 60">
                  <a:extLst>
                    <a:ext uri="{FF2B5EF4-FFF2-40B4-BE49-F238E27FC236}">
                      <a16:creationId xmlns:a16="http://schemas.microsoft.com/office/drawing/2014/main" id="{CA05BFFD-6CEF-40DE-A78E-196385AB31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1" name="Freeform 61">
                  <a:extLst>
                    <a:ext uri="{FF2B5EF4-FFF2-40B4-BE49-F238E27FC236}">
                      <a16:creationId xmlns:a16="http://schemas.microsoft.com/office/drawing/2014/main" id="{E8314589-D697-4C6F-8C41-0FCCB8D370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2" name="Freeform 62">
                  <a:extLst>
                    <a:ext uri="{FF2B5EF4-FFF2-40B4-BE49-F238E27FC236}">
                      <a16:creationId xmlns:a16="http://schemas.microsoft.com/office/drawing/2014/main" id="{7930E746-B7BA-4CC6-A98A-7255837C56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3" name="Freeform 63">
                  <a:extLst>
                    <a:ext uri="{FF2B5EF4-FFF2-40B4-BE49-F238E27FC236}">
                      <a16:creationId xmlns:a16="http://schemas.microsoft.com/office/drawing/2014/main" id="{7709AAAA-87DC-403B-A622-21AE6F089A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4" name="Freeform 64">
                  <a:extLst>
                    <a:ext uri="{FF2B5EF4-FFF2-40B4-BE49-F238E27FC236}">
                      <a16:creationId xmlns:a16="http://schemas.microsoft.com/office/drawing/2014/main" id="{357186EE-E68B-4153-9A1C-CFA843CD77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5" name="Freeform 65">
                  <a:extLst>
                    <a:ext uri="{FF2B5EF4-FFF2-40B4-BE49-F238E27FC236}">
                      <a16:creationId xmlns:a16="http://schemas.microsoft.com/office/drawing/2014/main" id="{DDE4594E-8C81-4116-BD16-121B236B62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6" name="Freeform 66">
                  <a:extLst>
                    <a:ext uri="{FF2B5EF4-FFF2-40B4-BE49-F238E27FC236}">
                      <a16:creationId xmlns:a16="http://schemas.microsoft.com/office/drawing/2014/main" id="{97A681F3-2558-4578-9C3C-FEB44C5E9B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7" name="Freeform 67">
                  <a:extLst>
                    <a:ext uri="{FF2B5EF4-FFF2-40B4-BE49-F238E27FC236}">
                      <a16:creationId xmlns:a16="http://schemas.microsoft.com/office/drawing/2014/main" id="{B1E48687-7B91-4703-AF03-95E570720D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8" name="Freeform 68">
                  <a:extLst>
                    <a:ext uri="{FF2B5EF4-FFF2-40B4-BE49-F238E27FC236}">
                      <a16:creationId xmlns:a16="http://schemas.microsoft.com/office/drawing/2014/main" id="{99696ECC-9745-4D23-9361-78C5D6559F7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9" name="Freeform 69">
                  <a:extLst>
                    <a:ext uri="{FF2B5EF4-FFF2-40B4-BE49-F238E27FC236}">
                      <a16:creationId xmlns:a16="http://schemas.microsoft.com/office/drawing/2014/main" id="{50025D27-35D0-4C44-9C3F-21108DAE42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0" name="Freeform 70">
                  <a:extLst>
                    <a:ext uri="{FF2B5EF4-FFF2-40B4-BE49-F238E27FC236}">
                      <a16:creationId xmlns:a16="http://schemas.microsoft.com/office/drawing/2014/main" id="{3289A732-06B2-4760-A8F3-B64617F439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1" name="Freeform 71">
                  <a:extLst>
                    <a:ext uri="{FF2B5EF4-FFF2-40B4-BE49-F238E27FC236}">
                      <a16:creationId xmlns:a16="http://schemas.microsoft.com/office/drawing/2014/main" id="{26C871B0-0FAB-4668-81DE-FDC0D9B5C7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2" name="Freeform 72">
                  <a:extLst>
                    <a:ext uri="{FF2B5EF4-FFF2-40B4-BE49-F238E27FC236}">
                      <a16:creationId xmlns:a16="http://schemas.microsoft.com/office/drawing/2014/main" id="{770F5B45-AB9B-4C4C-BB13-5F0C998F890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3" name="Freeform 73">
                  <a:extLst>
                    <a:ext uri="{FF2B5EF4-FFF2-40B4-BE49-F238E27FC236}">
                      <a16:creationId xmlns:a16="http://schemas.microsoft.com/office/drawing/2014/main" id="{4F660096-1C75-4AB9-AAB5-085452A788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4" name="Freeform 74">
                  <a:extLst>
                    <a:ext uri="{FF2B5EF4-FFF2-40B4-BE49-F238E27FC236}">
                      <a16:creationId xmlns:a16="http://schemas.microsoft.com/office/drawing/2014/main" id="{764FA077-1C80-47D6-9632-F907C2A56FD2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5" name="Freeform 75">
                  <a:extLst>
                    <a:ext uri="{FF2B5EF4-FFF2-40B4-BE49-F238E27FC236}">
                      <a16:creationId xmlns:a16="http://schemas.microsoft.com/office/drawing/2014/main" id="{5DFB2CA3-AD0F-4E5F-BC46-427BB4DDF1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6" name="Freeform 76">
                  <a:extLst>
                    <a:ext uri="{FF2B5EF4-FFF2-40B4-BE49-F238E27FC236}">
                      <a16:creationId xmlns:a16="http://schemas.microsoft.com/office/drawing/2014/main" id="{C5763305-1184-45AE-9803-EC4FD85DAA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7" name="Freeform 77">
                  <a:extLst>
                    <a:ext uri="{FF2B5EF4-FFF2-40B4-BE49-F238E27FC236}">
                      <a16:creationId xmlns:a16="http://schemas.microsoft.com/office/drawing/2014/main" id="{64E65B47-4204-49F3-849B-D65DA2F7A88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8" name="Freeform 78">
                  <a:extLst>
                    <a:ext uri="{FF2B5EF4-FFF2-40B4-BE49-F238E27FC236}">
                      <a16:creationId xmlns:a16="http://schemas.microsoft.com/office/drawing/2014/main" id="{A29D4D58-5D9E-46CD-98B8-C6580BA34D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9" name="Freeform 79">
                  <a:extLst>
                    <a:ext uri="{FF2B5EF4-FFF2-40B4-BE49-F238E27FC236}">
                      <a16:creationId xmlns:a16="http://schemas.microsoft.com/office/drawing/2014/main" id="{26BD52A2-283C-4E5D-9F6B-900BA8EEC8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0" name="Freeform 80">
                  <a:extLst>
                    <a:ext uri="{FF2B5EF4-FFF2-40B4-BE49-F238E27FC236}">
                      <a16:creationId xmlns:a16="http://schemas.microsoft.com/office/drawing/2014/main" id="{CB22CA01-23DD-400F-BC47-B53136A5E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1" name="Freeform 81">
                  <a:extLst>
                    <a:ext uri="{FF2B5EF4-FFF2-40B4-BE49-F238E27FC236}">
                      <a16:creationId xmlns:a16="http://schemas.microsoft.com/office/drawing/2014/main" id="{BB9CBE00-0AF4-4A1D-9411-3A6477E47F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2" name="Freeform 82">
                  <a:extLst>
                    <a:ext uri="{FF2B5EF4-FFF2-40B4-BE49-F238E27FC236}">
                      <a16:creationId xmlns:a16="http://schemas.microsoft.com/office/drawing/2014/main" id="{37716695-5922-4128-B638-13FAA0F3584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3" name="Freeform 83">
                  <a:extLst>
                    <a:ext uri="{FF2B5EF4-FFF2-40B4-BE49-F238E27FC236}">
                      <a16:creationId xmlns:a16="http://schemas.microsoft.com/office/drawing/2014/main" id="{9B7A32C8-5198-4758-B763-2C48F4C064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4" name="Freeform 84">
                  <a:extLst>
                    <a:ext uri="{FF2B5EF4-FFF2-40B4-BE49-F238E27FC236}">
                      <a16:creationId xmlns:a16="http://schemas.microsoft.com/office/drawing/2014/main" id="{37C71156-1D3A-4C3A-83F1-D7C8013C288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5" name="Freeform 85">
                  <a:extLst>
                    <a:ext uri="{FF2B5EF4-FFF2-40B4-BE49-F238E27FC236}">
                      <a16:creationId xmlns:a16="http://schemas.microsoft.com/office/drawing/2014/main" id="{C64AE639-AE48-4C47-8CF1-DEDB5B462B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6" name="Freeform 86">
                  <a:extLst>
                    <a:ext uri="{FF2B5EF4-FFF2-40B4-BE49-F238E27FC236}">
                      <a16:creationId xmlns:a16="http://schemas.microsoft.com/office/drawing/2014/main" id="{8CD8B4BA-F922-4DDD-BC8C-308F6EFFDA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7" name="Freeform 87">
                  <a:extLst>
                    <a:ext uri="{FF2B5EF4-FFF2-40B4-BE49-F238E27FC236}">
                      <a16:creationId xmlns:a16="http://schemas.microsoft.com/office/drawing/2014/main" id="{694FA725-7FE8-458C-98B9-BAAB4D6C3B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8" name="Freeform 88">
                  <a:extLst>
                    <a:ext uri="{FF2B5EF4-FFF2-40B4-BE49-F238E27FC236}">
                      <a16:creationId xmlns:a16="http://schemas.microsoft.com/office/drawing/2014/main" id="{50D5E95B-E90B-47A9-8809-FDB99FEF08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9" name="Freeform 89">
                  <a:extLst>
                    <a:ext uri="{FF2B5EF4-FFF2-40B4-BE49-F238E27FC236}">
                      <a16:creationId xmlns:a16="http://schemas.microsoft.com/office/drawing/2014/main" id="{9A162A1D-B473-45AC-9E2B-4AE0473B63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0" name="Freeform 90">
                  <a:extLst>
                    <a:ext uri="{FF2B5EF4-FFF2-40B4-BE49-F238E27FC236}">
                      <a16:creationId xmlns:a16="http://schemas.microsoft.com/office/drawing/2014/main" id="{DC8B66F6-1021-4865-9711-C36434F2EA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1" name="Freeform 91">
                  <a:extLst>
                    <a:ext uri="{FF2B5EF4-FFF2-40B4-BE49-F238E27FC236}">
                      <a16:creationId xmlns:a16="http://schemas.microsoft.com/office/drawing/2014/main" id="{69C91FE9-731A-414B-88A2-BF1AA84774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2" name="Freeform 92">
                  <a:extLst>
                    <a:ext uri="{FF2B5EF4-FFF2-40B4-BE49-F238E27FC236}">
                      <a16:creationId xmlns:a16="http://schemas.microsoft.com/office/drawing/2014/main" id="{6A109B04-5A5E-4101-9EDB-3D88CD8338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3" name="Freeform 93">
                  <a:extLst>
                    <a:ext uri="{FF2B5EF4-FFF2-40B4-BE49-F238E27FC236}">
                      <a16:creationId xmlns:a16="http://schemas.microsoft.com/office/drawing/2014/main" id="{B37C9B4A-B09F-426F-A11E-2295E507681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4" name="Freeform 94">
                  <a:extLst>
                    <a:ext uri="{FF2B5EF4-FFF2-40B4-BE49-F238E27FC236}">
                      <a16:creationId xmlns:a16="http://schemas.microsoft.com/office/drawing/2014/main" id="{B5CB5D79-4675-4BF7-AA94-E3919C34433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5" name="Freeform 95">
                  <a:extLst>
                    <a:ext uri="{FF2B5EF4-FFF2-40B4-BE49-F238E27FC236}">
                      <a16:creationId xmlns:a16="http://schemas.microsoft.com/office/drawing/2014/main" id="{C4F88FE7-1B0B-424F-824F-A36670700D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6" name="Freeform 96">
                  <a:extLst>
                    <a:ext uri="{FF2B5EF4-FFF2-40B4-BE49-F238E27FC236}">
                      <a16:creationId xmlns:a16="http://schemas.microsoft.com/office/drawing/2014/main" id="{8DEC3439-3B27-4395-9274-B1A486CABE55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7" name="Freeform 97">
                  <a:extLst>
                    <a:ext uri="{FF2B5EF4-FFF2-40B4-BE49-F238E27FC236}">
                      <a16:creationId xmlns:a16="http://schemas.microsoft.com/office/drawing/2014/main" id="{95C51705-03B8-4302-B8F1-457012FE0D45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8" name="Freeform 98">
                  <a:extLst>
                    <a:ext uri="{FF2B5EF4-FFF2-40B4-BE49-F238E27FC236}">
                      <a16:creationId xmlns:a16="http://schemas.microsoft.com/office/drawing/2014/main" id="{BA68C516-C710-4E35-AF98-376C0AC5B2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9" name="Freeform 99">
                  <a:extLst>
                    <a:ext uri="{FF2B5EF4-FFF2-40B4-BE49-F238E27FC236}">
                      <a16:creationId xmlns:a16="http://schemas.microsoft.com/office/drawing/2014/main" id="{EE013B17-10D3-4276-8742-B4308636DE6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0" name="Freeform 100">
                  <a:extLst>
                    <a:ext uri="{FF2B5EF4-FFF2-40B4-BE49-F238E27FC236}">
                      <a16:creationId xmlns:a16="http://schemas.microsoft.com/office/drawing/2014/main" id="{35FDA895-4397-4B51-B359-2FBCA54DE5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1" name="Freeform 101">
                  <a:extLst>
                    <a:ext uri="{FF2B5EF4-FFF2-40B4-BE49-F238E27FC236}">
                      <a16:creationId xmlns:a16="http://schemas.microsoft.com/office/drawing/2014/main" id="{6954AD41-9016-4DE4-918B-0BD6DFDFC4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2" name="Freeform 102">
                  <a:extLst>
                    <a:ext uri="{FF2B5EF4-FFF2-40B4-BE49-F238E27FC236}">
                      <a16:creationId xmlns:a16="http://schemas.microsoft.com/office/drawing/2014/main" id="{22F36E46-44A9-4EFA-8DFE-43374A6B81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3" name="Freeform 103">
                  <a:extLst>
                    <a:ext uri="{FF2B5EF4-FFF2-40B4-BE49-F238E27FC236}">
                      <a16:creationId xmlns:a16="http://schemas.microsoft.com/office/drawing/2014/main" id="{B8D41F5C-400F-4614-AB3A-F62BAC6EC1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4" name="Freeform 104">
                  <a:extLst>
                    <a:ext uri="{FF2B5EF4-FFF2-40B4-BE49-F238E27FC236}">
                      <a16:creationId xmlns:a16="http://schemas.microsoft.com/office/drawing/2014/main" id="{E3031701-529A-4D1D-8BFA-9646148758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5" name="Freeform 105">
                  <a:extLst>
                    <a:ext uri="{FF2B5EF4-FFF2-40B4-BE49-F238E27FC236}">
                      <a16:creationId xmlns:a16="http://schemas.microsoft.com/office/drawing/2014/main" id="{B753A225-277C-4A25-A08D-0AAF5DDAE7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6" name="Freeform 106">
                  <a:extLst>
                    <a:ext uri="{FF2B5EF4-FFF2-40B4-BE49-F238E27FC236}">
                      <a16:creationId xmlns:a16="http://schemas.microsoft.com/office/drawing/2014/main" id="{A1606012-BFA3-4744-98AD-0DD4E6C474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7" name="Freeform 107">
                  <a:extLst>
                    <a:ext uri="{FF2B5EF4-FFF2-40B4-BE49-F238E27FC236}">
                      <a16:creationId xmlns:a16="http://schemas.microsoft.com/office/drawing/2014/main" id="{5EC35EE8-15D2-441D-B139-0399C85DC9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8" name="Freeform 108">
                  <a:extLst>
                    <a:ext uri="{FF2B5EF4-FFF2-40B4-BE49-F238E27FC236}">
                      <a16:creationId xmlns:a16="http://schemas.microsoft.com/office/drawing/2014/main" id="{91513ACD-E5EC-4B21-ACA5-7EB71B9B22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9" name="Freeform 109">
                  <a:extLst>
                    <a:ext uri="{FF2B5EF4-FFF2-40B4-BE49-F238E27FC236}">
                      <a16:creationId xmlns:a16="http://schemas.microsoft.com/office/drawing/2014/main" id="{ED692018-ACFA-48AB-9800-F590D5A2FF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0" name="Freeform 110">
                  <a:extLst>
                    <a:ext uri="{FF2B5EF4-FFF2-40B4-BE49-F238E27FC236}">
                      <a16:creationId xmlns:a16="http://schemas.microsoft.com/office/drawing/2014/main" id="{242254B0-1415-4CF0-B97F-F3E3B40F6B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1" name="Freeform 111">
                  <a:extLst>
                    <a:ext uri="{FF2B5EF4-FFF2-40B4-BE49-F238E27FC236}">
                      <a16:creationId xmlns:a16="http://schemas.microsoft.com/office/drawing/2014/main" id="{3DC9F463-4C02-40AB-ADD7-4D1F0FE58E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2" name="Freeform 112">
                  <a:extLst>
                    <a:ext uri="{FF2B5EF4-FFF2-40B4-BE49-F238E27FC236}">
                      <a16:creationId xmlns:a16="http://schemas.microsoft.com/office/drawing/2014/main" id="{4C9510BD-8087-46A6-A96E-98940A7A37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3" name="Freeform 113">
                  <a:extLst>
                    <a:ext uri="{FF2B5EF4-FFF2-40B4-BE49-F238E27FC236}">
                      <a16:creationId xmlns:a16="http://schemas.microsoft.com/office/drawing/2014/main" id="{0BCEA521-E330-4E8A-BBB3-9FE18B84F10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4" name="Freeform 114">
                  <a:extLst>
                    <a:ext uri="{FF2B5EF4-FFF2-40B4-BE49-F238E27FC236}">
                      <a16:creationId xmlns:a16="http://schemas.microsoft.com/office/drawing/2014/main" id="{C1988C0D-9525-48EC-84BD-55B1752AB2F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5" name="Freeform 115">
                  <a:extLst>
                    <a:ext uri="{FF2B5EF4-FFF2-40B4-BE49-F238E27FC236}">
                      <a16:creationId xmlns:a16="http://schemas.microsoft.com/office/drawing/2014/main" id="{8B2F56C0-22D7-40EF-94DE-8F8AEC611A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6" name="Freeform 116">
                  <a:extLst>
                    <a:ext uri="{FF2B5EF4-FFF2-40B4-BE49-F238E27FC236}">
                      <a16:creationId xmlns:a16="http://schemas.microsoft.com/office/drawing/2014/main" id="{AC772485-4A76-435C-A07F-BCE58A9307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7" name="Freeform 117">
                  <a:extLst>
                    <a:ext uri="{FF2B5EF4-FFF2-40B4-BE49-F238E27FC236}">
                      <a16:creationId xmlns:a16="http://schemas.microsoft.com/office/drawing/2014/main" id="{650E2266-9786-4CCC-BF78-23789112CA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8" name="Freeform 118">
                  <a:extLst>
                    <a:ext uri="{FF2B5EF4-FFF2-40B4-BE49-F238E27FC236}">
                      <a16:creationId xmlns:a16="http://schemas.microsoft.com/office/drawing/2014/main" id="{51123B2B-49BB-4D99-BA7A-C633240B46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9" name="Freeform 119">
                  <a:extLst>
                    <a:ext uri="{FF2B5EF4-FFF2-40B4-BE49-F238E27FC236}">
                      <a16:creationId xmlns:a16="http://schemas.microsoft.com/office/drawing/2014/main" id="{BAF4E4C0-F791-436E-9987-38880FEC12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0" name="Freeform 120">
                  <a:extLst>
                    <a:ext uri="{FF2B5EF4-FFF2-40B4-BE49-F238E27FC236}">
                      <a16:creationId xmlns:a16="http://schemas.microsoft.com/office/drawing/2014/main" id="{35D5119C-0D50-4E40-9A8F-6ABC05F71FC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1" name="Freeform 121">
                  <a:extLst>
                    <a:ext uri="{FF2B5EF4-FFF2-40B4-BE49-F238E27FC236}">
                      <a16:creationId xmlns:a16="http://schemas.microsoft.com/office/drawing/2014/main" id="{D6387828-BD95-4B9D-85F9-97A12964B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2" name="Freeform 122">
                  <a:extLst>
                    <a:ext uri="{FF2B5EF4-FFF2-40B4-BE49-F238E27FC236}">
                      <a16:creationId xmlns:a16="http://schemas.microsoft.com/office/drawing/2014/main" id="{D1588D18-DE7D-458F-A96D-39A3BCFE17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3" name="Freeform 123">
                  <a:extLst>
                    <a:ext uri="{FF2B5EF4-FFF2-40B4-BE49-F238E27FC236}">
                      <a16:creationId xmlns:a16="http://schemas.microsoft.com/office/drawing/2014/main" id="{8A2DC61A-DA73-4697-9E9D-109A0F5737A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4" name="Freeform 124">
                  <a:extLst>
                    <a:ext uri="{FF2B5EF4-FFF2-40B4-BE49-F238E27FC236}">
                      <a16:creationId xmlns:a16="http://schemas.microsoft.com/office/drawing/2014/main" id="{50CD4D92-7B58-40C9-9538-46DB5B475B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5" name="Freeform 125">
                  <a:extLst>
                    <a:ext uri="{FF2B5EF4-FFF2-40B4-BE49-F238E27FC236}">
                      <a16:creationId xmlns:a16="http://schemas.microsoft.com/office/drawing/2014/main" id="{A19B7ECC-C24A-4FA0-B28F-170DAB8AD7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6" name="Freeform 126">
                  <a:extLst>
                    <a:ext uri="{FF2B5EF4-FFF2-40B4-BE49-F238E27FC236}">
                      <a16:creationId xmlns:a16="http://schemas.microsoft.com/office/drawing/2014/main" id="{C7CE1A06-100E-43C6-80EB-26F5D0B094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7" name="Freeform 127">
                  <a:extLst>
                    <a:ext uri="{FF2B5EF4-FFF2-40B4-BE49-F238E27FC236}">
                      <a16:creationId xmlns:a16="http://schemas.microsoft.com/office/drawing/2014/main" id="{4577B203-F71F-4DBF-A90D-BC3F5196EC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8" name="Freeform 128">
                  <a:extLst>
                    <a:ext uri="{FF2B5EF4-FFF2-40B4-BE49-F238E27FC236}">
                      <a16:creationId xmlns:a16="http://schemas.microsoft.com/office/drawing/2014/main" id="{F7B0AB0B-6486-493F-9EF5-8760DF1819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9" name="Freeform 129">
                  <a:extLst>
                    <a:ext uri="{FF2B5EF4-FFF2-40B4-BE49-F238E27FC236}">
                      <a16:creationId xmlns:a16="http://schemas.microsoft.com/office/drawing/2014/main" id="{03021D0A-3BA1-4454-A5AF-A0EACFD048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0" name="Freeform 130">
                  <a:extLst>
                    <a:ext uri="{FF2B5EF4-FFF2-40B4-BE49-F238E27FC236}">
                      <a16:creationId xmlns:a16="http://schemas.microsoft.com/office/drawing/2014/main" id="{73CD6353-F847-4AB1-814E-85B299335D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1" name="Freeform 131">
                  <a:extLst>
                    <a:ext uri="{FF2B5EF4-FFF2-40B4-BE49-F238E27FC236}">
                      <a16:creationId xmlns:a16="http://schemas.microsoft.com/office/drawing/2014/main" id="{B6810719-D945-4714-B223-EB325A635D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2" name="Freeform 132">
                  <a:extLst>
                    <a:ext uri="{FF2B5EF4-FFF2-40B4-BE49-F238E27FC236}">
                      <a16:creationId xmlns:a16="http://schemas.microsoft.com/office/drawing/2014/main" id="{A08C5898-C2C6-4F99-B2E1-338F066790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3" name="Freeform 133">
                  <a:extLst>
                    <a:ext uri="{FF2B5EF4-FFF2-40B4-BE49-F238E27FC236}">
                      <a16:creationId xmlns:a16="http://schemas.microsoft.com/office/drawing/2014/main" id="{BC8D9E08-4D19-48E8-8299-907415FB42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4" name="Freeform 134">
                  <a:extLst>
                    <a:ext uri="{FF2B5EF4-FFF2-40B4-BE49-F238E27FC236}">
                      <a16:creationId xmlns:a16="http://schemas.microsoft.com/office/drawing/2014/main" id="{E6FAF205-D21B-4851-817A-D9A95DD076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5" name="Freeform 135">
                  <a:extLst>
                    <a:ext uri="{FF2B5EF4-FFF2-40B4-BE49-F238E27FC236}">
                      <a16:creationId xmlns:a16="http://schemas.microsoft.com/office/drawing/2014/main" id="{1DCBA92B-FE84-4F51-9C3F-DE9D551A8B8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6" name="Freeform 136">
                  <a:extLst>
                    <a:ext uri="{FF2B5EF4-FFF2-40B4-BE49-F238E27FC236}">
                      <a16:creationId xmlns:a16="http://schemas.microsoft.com/office/drawing/2014/main" id="{425B59AF-8A65-4FA3-80E3-D58033DEF2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7" name="Freeform 137">
                  <a:extLst>
                    <a:ext uri="{FF2B5EF4-FFF2-40B4-BE49-F238E27FC236}">
                      <a16:creationId xmlns:a16="http://schemas.microsoft.com/office/drawing/2014/main" id="{903B9D80-6AB3-4F72-8DCD-436F2FAFF85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8" name="Freeform 138">
                  <a:extLst>
                    <a:ext uri="{FF2B5EF4-FFF2-40B4-BE49-F238E27FC236}">
                      <a16:creationId xmlns:a16="http://schemas.microsoft.com/office/drawing/2014/main" id="{718D0A38-8CCF-47CD-9BE7-9219FAE7EB0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9" name="Freeform 139">
                  <a:extLst>
                    <a:ext uri="{FF2B5EF4-FFF2-40B4-BE49-F238E27FC236}">
                      <a16:creationId xmlns:a16="http://schemas.microsoft.com/office/drawing/2014/main" id="{0490F8B4-F395-41BD-9ABC-D076523596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0" name="Freeform 140">
                  <a:extLst>
                    <a:ext uri="{FF2B5EF4-FFF2-40B4-BE49-F238E27FC236}">
                      <a16:creationId xmlns:a16="http://schemas.microsoft.com/office/drawing/2014/main" id="{3142D3FF-C01C-4559-ACCD-2ED4744C00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1" name="Freeform 141">
                  <a:extLst>
                    <a:ext uri="{FF2B5EF4-FFF2-40B4-BE49-F238E27FC236}">
                      <a16:creationId xmlns:a16="http://schemas.microsoft.com/office/drawing/2014/main" id="{F3AE1DF7-8CC4-4AFE-87EA-32FED3D2B2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2" name="Freeform 142">
                  <a:extLst>
                    <a:ext uri="{FF2B5EF4-FFF2-40B4-BE49-F238E27FC236}">
                      <a16:creationId xmlns:a16="http://schemas.microsoft.com/office/drawing/2014/main" id="{19F89FEB-1E7E-4BCA-B8FF-D7DB900F12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3" name="Freeform 143">
                  <a:extLst>
                    <a:ext uri="{FF2B5EF4-FFF2-40B4-BE49-F238E27FC236}">
                      <a16:creationId xmlns:a16="http://schemas.microsoft.com/office/drawing/2014/main" id="{00B0477A-7A42-459B-902C-38239628D7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4" name="Freeform 144">
                  <a:extLst>
                    <a:ext uri="{FF2B5EF4-FFF2-40B4-BE49-F238E27FC236}">
                      <a16:creationId xmlns:a16="http://schemas.microsoft.com/office/drawing/2014/main" id="{E241FF3D-949A-417C-803E-8C6AEA21DC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5" name="Freeform 145">
                  <a:extLst>
                    <a:ext uri="{FF2B5EF4-FFF2-40B4-BE49-F238E27FC236}">
                      <a16:creationId xmlns:a16="http://schemas.microsoft.com/office/drawing/2014/main" id="{9F819006-F486-47CE-BF7D-49E041EDBA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6" name="Freeform 146">
                  <a:extLst>
                    <a:ext uri="{FF2B5EF4-FFF2-40B4-BE49-F238E27FC236}">
                      <a16:creationId xmlns:a16="http://schemas.microsoft.com/office/drawing/2014/main" id="{461BDB5C-A097-4077-8134-76AB4FD0C4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7" name="Freeform 147">
                  <a:extLst>
                    <a:ext uri="{FF2B5EF4-FFF2-40B4-BE49-F238E27FC236}">
                      <a16:creationId xmlns:a16="http://schemas.microsoft.com/office/drawing/2014/main" id="{446F5148-DCD5-404F-A428-96F4F80937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8" name="Freeform 148">
                  <a:extLst>
                    <a:ext uri="{FF2B5EF4-FFF2-40B4-BE49-F238E27FC236}">
                      <a16:creationId xmlns:a16="http://schemas.microsoft.com/office/drawing/2014/main" id="{CBD02220-D795-4885-BC7A-259DD3DC64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9" name="Freeform 149">
                  <a:extLst>
                    <a:ext uri="{FF2B5EF4-FFF2-40B4-BE49-F238E27FC236}">
                      <a16:creationId xmlns:a16="http://schemas.microsoft.com/office/drawing/2014/main" id="{9F3FEB80-DF21-46BA-B3A9-1CC46F53A3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0" name="Freeform 150">
                  <a:extLst>
                    <a:ext uri="{FF2B5EF4-FFF2-40B4-BE49-F238E27FC236}">
                      <a16:creationId xmlns:a16="http://schemas.microsoft.com/office/drawing/2014/main" id="{BA7E0E40-36F1-4D48-8097-EE07663A09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1" name="Freeform 151">
                  <a:extLst>
                    <a:ext uri="{FF2B5EF4-FFF2-40B4-BE49-F238E27FC236}">
                      <a16:creationId xmlns:a16="http://schemas.microsoft.com/office/drawing/2014/main" id="{EB731810-1E7B-45CF-9005-CCF4A40A6A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2" name="Freeform 152">
                  <a:extLst>
                    <a:ext uri="{FF2B5EF4-FFF2-40B4-BE49-F238E27FC236}">
                      <a16:creationId xmlns:a16="http://schemas.microsoft.com/office/drawing/2014/main" id="{F3C90A02-8455-4CD5-8149-AC92982448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3" name="Freeform 153">
                  <a:extLst>
                    <a:ext uri="{FF2B5EF4-FFF2-40B4-BE49-F238E27FC236}">
                      <a16:creationId xmlns:a16="http://schemas.microsoft.com/office/drawing/2014/main" id="{636670E9-7FA7-440A-9093-4D1A4B57E1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4" name="Freeform 154">
                  <a:extLst>
                    <a:ext uri="{FF2B5EF4-FFF2-40B4-BE49-F238E27FC236}">
                      <a16:creationId xmlns:a16="http://schemas.microsoft.com/office/drawing/2014/main" id="{F0EEE852-F586-46FE-9FC3-5B2E083CC7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5" name="Freeform 155">
                  <a:extLst>
                    <a:ext uri="{FF2B5EF4-FFF2-40B4-BE49-F238E27FC236}">
                      <a16:creationId xmlns:a16="http://schemas.microsoft.com/office/drawing/2014/main" id="{AFF723D3-93F2-417C-AD2E-035A25FA09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6" name="Freeform 156">
                  <a:extLst>
                    <a:ext uri="{FF2B5EF4-FFF2-40B4-BE49-F238E27FC236}">
                      <a16:creationId xmlns:a16="http://schemas.microsoft.com/office/drawing/2014/main" id="{BAD0A8F8-27ED-4DD2-A998-737F5AF379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7" name="Freeform 157">
                  <a:extLst>
                    <a:ext uri="{FF2B5EF4-FFF2-40B4-BE49-F238E27FC236}">
                      <a16:creationId xmlns:a16="http://schemas.microsoft.com/office/drawing/2014/main" id="{21AA1E7A-CFE5-446B-BACC-97B06E3E74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8" name="Freeform 158">
                  <a:extLst>
                    <a:ext uri="{FF2B5EF4-FFF2-40B4-BE49-F238E27FC236}">
                      <a16:creationId xmlns:a16="http://schemas.microsoft.com/office/drawing/2014/main" id="{773F6C57-DEA0-4383-AA43-F07FCE95DA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9" name="Freeform 159">
                  <a:extLst>
                    <a:ext uri="{FF2B5EF4-FFF2-40B4-BE49-F238E27FC236}">
                      <a16:creationId xmlns:a16="http://schemas.microsoft.com/office/drawing/2014/main" id="{C3546E57-201F-4D47-AEEC-FADC0D34DBD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0" name="Freeform 160">
                  <a:extLst>
                    <a:ext uri="{FF2B5EF4-FFF2-40B4-BE49-F238E27FC236}">
                      <a16:creationId xmlns:a16="http://schemas.microsoft.com/office/drawing/2014/main" id="{D110C183-F966-48EB-867D-FC8E54EE5C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1" name="Freeform 161">
                  <a:extLst>
                    <a:ext uri="{FF2B5EF4-FFF2-40B4-BE49-F238E27FC236}">
                      <a16:creationId xmlns:a16="http://schemas.microsoft.com/office/drawing/2014/main" id="{EDA635E1-2E62-456F-82B5-93DEF802D5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2" name="Freeform 162">
                  <a:extLst>
                    <a:ext uri="{FF2B5EF4-FFF2-40B4-BE49-F238E27FC236}">
                      <a16:creationId xmlns:a16="http://schemas.microsoft.com/office/drawing/2014/main" id="{CC1B275A-9DFD-4189-A534-AFA212E9716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3" name="Freeform 163">
                  <a:extLst>
                    <a:ext uri="{FF2B5EF4-FFF2-40B4-BE49-F238E27FC236}">
                      <a16:creationId xmlns:a16="http://schemas.microsoft.com/office/drawing/2014/main" id="{F4542EA7-D851-4191-BBCF-EB9F98CCC6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4" name="Freeform 164">
                  <a:extLst>
                    <a:ext uri="{FF2B5EF4-FFF2-40B4-BE49-F238E27FC236}">
                      <a16:creationId xmlns:a16="http://schemas.microsoft.com/office/drawing/2014/main" id="{DB2FCF04-9151-4DCD-B12C-D18B7D06667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5" name="Freeform 165">
                  <a:extLst>
                    <a:ext uri="{FF2B5EF4-FFF2-40B4-BE49-F238E27FC236}">
                      <a16:creationId xmlns:a16="http://schemas.microsoft.com/office/drawing/2014/main" id="{FB247F0A-8E9C-4ED5-8DAF-4333174FC1A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6" name="Freeform 166">
                  <a:extLst>
                    <a:ext uri="{FF2B5EF4-FFF2-40B4-BE49-F238E27FC236}">
                      <a16:creationId xmlns:a16="http://schemas.microsoft.com/office/drawing/2014/main" id="{5A436769-41D1-4198-A2B2-5E003BDC80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7" name="Freeform 167">
                  <a:extLst>
                    <a:ext uri="{FF2B5EF4-FFF2-40B4-BE49-F238E27FC236}">
                      <a16:creationId xmlns:a16="http://schemas.microsoft.com/office/drawing/2014/main" id="{A0FDF720-C64D-42E5-9F49-6D476FB5F2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8" name="Freeform 168">
                  <a:extLst>
                    <a:ext uri="{FF2B5EF4-FFF2-40B4-BE49-F238E27FC236}">
                      <a16:creationId xmlns:a16="http://schemas.microsoft.com/office/drawing/2014/main" id="{682E23ED-66F4-47DA-8F06-54A78B38EE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9" name="Freeform 169">
                  <a:extLst>
                    <a:ext uri="{FF2B5EF4-FFF2-40B4-BE49-F238E27FC236}">
                      <a16:creationId xmlns:a16="http://schemas.microsoft.com/office/drawing/2014/main" id="{6BE2B8CB-7138-4788-8538-B8AAC7F72F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0" name="Freeform 170">
                  <a:extLst>
                    <a:ext uri="{FF2B5EF4-FFF2-40B4-BE49-F238E27FC236}">
                      <a16:creationId xmlns:a16="http://schemas.microsoft.com/office/drawing/2014/main" id="{01660B8B-3076-4D49-B697-370612197E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1" name="Freeform 171">
                  <a:extLst>
                    <a:ext uri="{FF2B5EF4-FFF2-40B4-BE49-F238E27FC236}">
                      <a16:creationId xmlns:a16="http://schemas.microsoft.com/office/drawing/2014/main" id="{7565A63A-4D20-4925-A8F1-2F1F9D1D26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2" name="Freeform 172">
                  <a:extLst>
                    <a:ext uri="{FF2B5EF4-FFF2-40B4-BE49-F238E27FC236}">
                      <a16:creationId xmlns:a16="http://schemas.microsoft.com/office/drawing/2014/main" id="{05BC9E49-8E16-4F57-9E8B-E4181EC2C4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3" name="Freeform 173">
                  <a:extLst>
                    <a:ext uri="{FF2B5EF4-FFF2-40B4-BE49-F238E27FC236}">
                      <a16:creationId xmlns:a16="http://schemas.microsoft.com/office/drawing/2014/main" id="{B5098881-C183-4661-B04F-769B0DB457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4" name="Freeform 174">
                  <a:extLst>
                    <a:ext uri="{FF2B5EF4-FFF2-40B4-BE49-F238E27FC236}">
                      <a16:creationId xmlns:a16="http://schemas.microsoft.com/office/drawing/2014/main" id="{8820746B-318B-415F-9EB4-05D75BE8CB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5" name="Freeform 175">
                  <a:extLst>
                    <a:ext uri="{FF2B5EF4-FFF2-40B4-BE49-F238E27FC236}">
                      <a16:creationId xmlns:a16="http://schemas.microsoft.com/office/drawing/2014/main" id="{0F442499-EE94-40A1-B8C4-6C38EDAE5D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6" name="Freeform 176">
                  <a:extLst>
                    <a:ext uri="{FF2B5EF4-FFF2-40B4-BE49-F238E27FC236}">
                      <a16:creationId xmlns:a16="http://schemas.microsoft.com/office/drawing/2014/main" id="{B33BD777-CDED-4EEB-A488-F16001512C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7" name="Freeform 177">
                  <a:extLst>
                    <a:ext uri="{FF2B5EF4-FFF2-40B4-BE49-F238E27FC236}">
                      <a16:creationId xmlns:a16="http://schemas.microsoft.com/office/drawing/2014/main" id="{FE2F360F-15C2-42A1-BF77-B63292D95A4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8" name="Freeform 178">
                  <a:extLst>
                    <a:ext uri="{FF2B5EF4-FFF2-40B4-BE49-F238E27FC236}">
                      <a16:creationId xmlns:a16="http://schemas.microsoft.com/office/drawing/2014/main" id="{410E78D5-F95E-4DF2-8C84-092E004523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9" name="Freeform 179">
                  <a:extLst>
                    <a:ext uri="{FF2B5EF4-FFF2-40B4-BE49-F238E27FC236}">
                      <a16:creationId xmlns:a16="http://schemas.microsoft.com/office/drawing/2014/main" id="{CD7C28C5-D015-461A-B697-F4911A6FA1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0" name="Freeform 180">
                  <a:extLst>
                    <a:ext uri="{FF2B5EF4-FFF2-40B4-BE49-F238E27FC236}">
                      <a16:creationId xmlns:a16="http://schemas.microsoft.com/office/drawing/2014/main" id="{F051B037-2E5E-4E15-B335-2B3C7EFA96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1" name="Freeform 181">
                  <a:extLst>
                    <a:ext uri="{FF2B5EF4-FFF2-40B4-BE49-F238E27FC236}">
                      <a16:creationId xmlns:a16="http://schemas.microsoft.com/office/drawing/2014/main" id="{7280D605-B78E-4B5E-A909-D768F4B507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2" name="Freeform 182">
                  <a:extLst>
                    <a:ext uri="{FF2B5EF4-FFF2-40B4-BE49-F238E27FC236}">
                      <a16:creationId xmlns:a16="http://schemas.microsoft.com/office/drawing/2014/main" id="{0864C5D3-4007-4AA1-B69A-FC62D4897A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3" name="Freeform 183">
                  <a:extLst>
                    <a:ext uri="{FF2B5EF4-FFF2-40B4-BE49-F238E27FC236}">
                      <a16:creationId xmlns:a16="http://schemas.microsoft.com/office/drawing/2014/main" id="{FD4B6C71-E9DB-4A8D-A005-F0393AD1E8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4" name="Freeform 184">
                  <a:extLst>
                    <a:ext uri="{FF2B5EF4-FFF2-40B4-BE49-F238E27FC236}">
                      <a16:creationId xmlns:a16="http://schemas.microsoft.com/office/drawing/2014/main" id="{A5C3D358-8948-47BD-9143-1C1FCEF1AD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5" name="Freeform 185">
                  <a:extLst>
                    <a:ext uri="{FF2B5EF4-FFF2-40B4-BE49-F238E27FC236}">
                      <a16:creationId xmlns:a16="http://schemas.microsoft.com/office/drawing/2014/main" id="{3200ECBB-0791-4E71-8FCD-E0ED4C84B4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6" name="Freeform 186">
                  <a:extLst>
                    <a:ext uri="{FF2B5EF4-FFF2-40B4-BE49-F238E27FC236}">
                      <a16:creationId xmlns:a16="http://schemas.microsoft.com/office/drawing/2014/main" id="{8F1994F0-8A99-4F3A-9778-68E1C46E27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7" name="Freeform 187">
                  <a:extLst>
                    <a:ext uri="{FF2B5EF4-FFF2-40B4-BE49-F238E27FC236}">
                      <a16:creationId xmlns:a16="http://schemas.microsoft.com/office/drawing/2014/main" id="{B29317A7-CB4A-4093-91DA-43B0A90498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8" name="Freeform 188">
                  <a:extLst>
                    <a:ext uri="{FF2B5EF4-FFF2-40B4-BE49-F238E27FC236}">
                      <a16:creationId xmlns:a16="http://schemas.microsoft.com/office/drawing/2014/main" id="{7FBBA908-B941-4844-A414-64EF851A83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9" name="Freeform 189">
                  <a:extLst>
                    <a:ext uri="{FF2B5EF4-FFF2-40B4-BE49-F238E27FC236}">
                      <a16:creationId xmlns:a16="http://schemas.microsoft.com/office/drawing/2014/main" id="{F787C524-050C-4DA8-8BC5-E2C0D0A518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0" name="Freeform 190">
                  <a:extLst>
                    <a:ext uri="{FF2B5EF4-FFF2-40B4-BE49-F238E27FC236}">
                      <a16:creationId xmlns:a16="http://schemas.microsoft.com/office/drawing/2014/main" id="{12AF5CD4-B3EF-4AC0-A06E-28EEB2FC27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1" name="Freeform 191">
                  <a:extLst>
                    <a:ext uri="{FF2B5EF4-FFF2-40B4-BE49-F238E27FC236}">
                      <a16:creationId xmlns:a16="http://schemas.microsoft.com/office/drawing/2014/main" id="{C53917B6-9F76-4E61-BCFF-FDEAB70AA9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2" name="Freeform 192">
                  <a:extLst>
                    <a:ext uri="{FF2B5EF4-FFF2-40B4-BE49-F238E27FC236}">
                      <a16:creationId xmlns:a16="http://schemas.microsoft.com/office/drawing/2014/main" id="{D5AA77DF-2CEA-4EDD-BFEA-F87ADAE6E0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3" name="Freeform 193">
                  <a:extLst>
                    <a:ext uri="{FF2B5EF4-FFF2-40B4-BE49-F238E27FC236}">
                      <a16:creationId xmlns:a16="http://schemas.microsoft.com/office/drawing/2014/main" id="{DF556E23-6706-4F08-AF26-498FA233F8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4" name="Freeform 194">
                  <a:extLst>
                    <a:ext uri="{FF2B5EF4-FFF2-40B4-BE49-F238E27FC236}">
                      <a16:creationId xmlns:a16="http://schemas.microsoft.com/office/drawing/2014/main" id="{4BB814D4-C2A6-43C5-A1C6-E2DE1E4D0026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5" name="Freeform 195">
                  <a:extLst>
                    <a:ext uri="{FF2B5EF4-FFF2-40B4-BE49-F238E27FC236}">
                      <a16:creationId xmlns:a16="http://schemas.microsoft.com/office/drawing/2014/main" id="{3458C7C1-5599-402C-82D8-7318019539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6" name="Freeform 196">
                  <a:extLst>
                    <a:ext uri="{FF2B5EF4-FFF2-40B4-BE49-F238E27FC236}">
                      <a16:creationId xmlns:a16="http://schemas.microsoft.com/office/drawing/2014/main" id="{5B99CBB3-7BC4-432B-8A48-6E1FF6C072D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7" name="Freeform 197">
                  <a:extLst>
                    <a:ext uri="{FF2B5EF4-FFF2-40B4-BE49-F238E27FC236}">
                      <a16:creationId xmlns:a16="http://schemas.microsoft.com/office/drawing/2014/main" id="{3038784C-2124-4E21-8153-1F96F459F0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8" name="Freeform 198">
                  <a:extLst>
                    <a:ext uri="{FF2B5EF4-FFF2-40B4-BE49-F238E27FC236}">
                      <a16:creationId xmlns:a16="http://schemas.microsoft.com/office/drawing/2014/main" id="{91717AC3-31FF-4118-AEE8-20FF6C6208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9" name="Freeform 199">
                  <a:extLst>
                    <a:ext uri="{FF2B5EF4-FFF2-40B4-BE49-F238E27FC236}">
                      <a16:creationId xmlns:a16="http://schemas.microsoft.com/office/drawing/2014/main" id="{02916161-3A86-4307-AC15-89798B4016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0" name="Freeform 200">
                  <a:extLst>
                    <a:ext uri="{FF2B5EF4-FFF2-40B4-BE49-F238E27FC236}">
                      <a16:creationId xmlns:a16="http://schemas.microsoft.com/office/drawing/2014/main" id="{7FA32861-3070-484F-8FFC-E5DF46539A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1" name="Freeform 201">
                  <a:extLst>
                    <a:ext uri="{FF2B5EF4-FFF2-40B4-BE49-F238E27FC236}">
                      <a16:creationId xmlns:a16="http://schemas.microsoft.com/office/drawing/2014/main" id="{28A70CF0-2734-4DB3-953B-6D2BA3CBFBE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2" name="Freeform 202">
                  <a:extLst>
                    <a:ext uri="{FF2B5EF4-FFF2-40B4-BE49-F238E27FC236}">
                      <a16:creationId xmlns:a16="http://schemas.microsoft.com/office/drawing/2014/main" id="{4F55329B-2DBF-45A7-BEBF-AD17C387DF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3" name="Freeform 203">
                  <a:extLst>
                    <a:ext uri="{FF2B5EF4-FFF2-40B4-BE49-F238E27FC236}">
                      <a16:creationId xmlns:a16="http://schemas.microsoft.com/office/drawing/2014/main" id="{E3CFA41F-8176-476E-9257-848990223C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899" name="Freeform 205">
                <a:extLst>
                  <a:ext uri="{FF2B5EF4-FFF2-40B4-BE49-F238E27FC236}">
                    <a16:creationId xmlns:a16="http://schemas.microsoft.com/office/drawing/2014/main" id="{14FACF72-4AAD-469C-B663-E4F442A213E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0" name="Freeform 206">
                <a:extLst>
                  <a:ext uri="{FF2B5EF4-FFF2-40B4-BE49-F238E27FC236}">
                    <a16:creationId xmlns:a16="http://schemas.microsoft.com/office/drawing/2014/main" id="{EEAC1AA5-8034-4E07-814E-7B10F08F741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1" name="Freeform 207">
                <a:extLst>
                  <a:ext uri="{FF2B5EF4-FFF2-40B4-BE49-F238E27FC236}">
                    <a16:creationId xmlns:a16="http://schemas.microsoft.com/office/drawing/2014/main" id="{AAABAA02-D590-4C1D-9F81-86BD8CABAEA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2" name="Freeform 208">
                <a:extLst>
                  <a:ext uri="{FF2B5EF4-FFF2-40B4-BE49-F238E27FC236}">
                    <a16:creationId xmlns:a16="http://schemas.microsoft.com/office/drawing/2014/main" id="{93FB92EF-7307-4DFE-A4F7-26B533E8A22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3" name="Freeform 209">
                <a:extLst>
                  <a:ext uri="{FF2B5EF4-FFF2-40B4-BE49-F238E27FC236}">
                    <a16:creationId xmlns:a16="http://schemas.microsoft.com/office/drawing/2014/main" id="{08E237EB-1567-4A79-9D5E-AE87116B4BE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4" name="Freeform 210">
                <a:extLst>
                  <a:ext uri="{FF2B5EF4-FFF2-40B4-BE49-F238E27FC236}">
                    <a16:creationId xmlns:a16="http://schemas.microsoft.com/office/drawing/2014/main" id="{EA656B97-1ED3-4A9C-BFD1-23868AE96F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5" name="Freeform 211">
                <a:extLst>
                  <a:ext uri="{FF2B5EF4-FFF2-40B4-BE49-F238E27FC236}">
                    <a16:creationId xmlns:a16="http://schemas.microsoft.com/office/drawing/2014/main" id="{04217BF2-FE75-40ED-94B4-D5F9809891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6" name="Freeform 212">
                <a:extLst>
                  <a:ext uri="{FF2B5EF4-FFF2-40B4-BE49-F238E27FC236}">
                    <a16:creationId xmlns:a16="http://schemas.microsoft.com/office/drawing/2014/main" id="{FABEDD97-6E24-49D3-8D2F-924E9B33D1B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7" name="Freeform 213">
                <a:extLst>
                  <a:ext uri="{FF2B5EF4-FFF2-40B4-BE49-F238E27FC236}">
                    <a16:creationId xmlns:a16="http://schemas.microsoft.com/office/drawing/2014/main" id="{AAE94E29-32A6-48DD-B79C-53ADEA7A3FE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8" name="Freeform 214">
                <a:extLst>
                  <a:ext uri="{FF2B5EF4-FFF2-40B4-BE49-F238E27FC236}">
                    <a16:creationId xmlns:a16="http://schemas.microsoft.com/office/drawing/2014/main" id="{7D245242-E872-4ED4-9A13-8C852F63D86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9" name="Freeform 215">
                <a:extLst>
                  <a:ext uri="{FF2B5EF4-FFF2-40B4-BE49-F238E27FC236}">
                    <a16:creationId xmlns:a16="http://schemas.microsoft.com/office/drawing/2014/main" id="{1642F9BA-3F47-4294-BCC1-2B468464287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0" name="Freeform 216">
                <a:extLst>
                  <a:ext uri="{FF2B5EF4-FFF2-40B4-BE49-F238E27FC236}">
                    <a16:creationId xmlns:a16="http://schemas.microsoft.com/office/drawing/2014/main" id="{7E7F6018-04F3-4D70-B26C-9D4CCDF473E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1" name="Freeform 217">
                <a:extLst>
                  <a:ext uri="{FF2B5EF4-FFF2-40B4-BE49-F238E27FC236}">
                    <a16:creationId xmlns:a16="http://schemas.microsoft.com/office/drawing/2014/main" id="{4DD7023E-5BCC-45EA-B97D-5F115F57F29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2" name="Freeform 218">
                <a:extLst>
                  <a:ext uri="{FF2B5EF4-FFF2-40B4-BE49-F238E27FC236}">
                    <a16:creationId xmlns:a16="http://schemas.microsoft.com/office/drawing/2014/main" id="{B051C81E-9D00-4F28-99EA-809016737B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3" name="Freeform 219">
                <a:extLst>
                  <a:ext uri="{FF2B5EF4-FFF2-40B4-BE49-F238E27FC236}">
                    <a16:creationId xmlns:a16="http://schemas.microsoft.com/office/drawing/2014/main" id="{B93D6C05-53F8-409A-8036-A6F8B34047D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4" name="Freeform 220">
                <a:extLst>
                  <a:ext uri="{FF2B5EF4-FFF2-40B4-BE49-F238E27FC236}">
                    <a16:creationId xmlns:a16="http://schemas.microsoft.com/office/drawing/2014/main" id="{E850559A-E16D-47DF-896C-20BE716E4DD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5" name="Freeform 221">
                <a:extLst>
                  <a:ext uri="{FF2B5EF4-FFF2-40B4-BE49-F238E27FC236}">
                    <a16:creationId xmlns:a16="http://schemas.microsoft.com/office/drawing/2014/main" id="{472CCDF6-AEB9-4CC1-8D0A-B18F225BD3E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6" name="Freeform 222">
                <a:extLst>
                  <a:ext uri="{FF2B5EF4-FFF2-40B4-BE49-F238E27FC236}">
                    <a16:creationId xmlns:a16="http://schemas.microsoft.com/office/drawing/2014/main" id="{68B66262-80D4-4819-ADF9-AD71317081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7" name="Freeform 223">
                <a:extLst>
                  <a:ext uri="{FF2B5EF4-FFF2-40B4-BE49-F238E27FC236}">
                    <a16:creationId xmlns:a16="http://schemas.microsoft.com/office/drawing/2014/main" id="{EBC95E95-07F3-46F9-8628-33D53332238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8" name="Freeform 224">
                <a:extLst>
                  <a:ext uri="{FF2B5EF4-FFF2-40B4-BE49-F238E27FC236}">
                    <a16:creationId xmlns:a16="http://schemas.microsoft.com/office/drawing/2014/main" id="{3BE52BD9-6C4B-4C25-AA0F-CCCFB2BCF9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9" name="Freeform 225">
                <a:extLst>
                  <a:ext uri="{FF2B5EF4-FFF2-40B4-BE49-F238E27FC236}">
                    <a16:creationId xmlns:a16="http://schemas.microsoft.com/office/drawing/2014/main" id="{6393DC17-44D9-4CCE-9B2E-1E25D766A63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0" name="Freeform 226">
                <a:extLst>
                  <a:ext uri="{FF2B5EF4-FFF2-40B4-BE49-F238E27FC236}">
                    <a16:creationId xmlns:a16="http://schemas.microsoft.com/office/drawing/2014/main" id="{8F08C11B-9981-4B53-8B0A-A2F580EA375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1" name="Freeform 227">
                <a:extLst>
                  <a:ext uri="{FF2B5EF4-FFF2-40B4-BE49-F238E27FC236}">
                    <a16:creationId xmlns:a16="http://schemas.microsoft.com/office/drawing/2014/main" id="{99583DB6-9C87-4B5A-904C-D735098D30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2" name="Freeform 228">
                <a:extLst>
                  <a:ext uri="{FF2B5EF4-FFF2-40B4-BE49-F238E27FC236}">
                    <a16:creationId xmlns:a16="http://schemas.microsoft.com/office/drawing/2014/main" id="{2D837243-51D4-4D55-8F67-BBF3914EFE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3" name="Freeform 229">
                <a:extLst>
                  <a:ext uri="{FF2B5EF4-FFF2-40B4-BE49-F238E27FC236}">
                    <a16:creationId xmlns:a16="http://schemas.microsoft.com/office/drawing/2014/main" id="{22270F43-B658-477A-9140-1776838C98D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4" name="Freeform 230">
                <a:extLst>
                  <a:ext uri="{FF2B5EF4-FFF2-40B4-BE49-F238E27FC236}">
                    <a16:creationId xmlns:a16="http://schemas.microsoft.com/office/drawing/2014/main" id="{0FA23D32-E046-4D66-8DAC-FC633BE86B3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5" name="Freeform 231">
                <a:extLst>
                  <a:ext uri="{FF2B5EF4-FFF2-40B4-BE49-F238E27FC236}">
                    <a16:creationId xmlns:a16="http://schemas.microsoft.com/office/drawing/2014/main" id="{451F9A54-8E58-4686-AE69-A609D10ADC5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6" name="Freeform 232">
                <a:extLst>
                  <a:ext uri="{FF2B5EF4-FFF2-40B4-BE49-F238E27FC236}">
                    <a16:creationId xmlns:a16="http://schemas.microsoft.com/office/drawing/2014/main" id="{713C92D1-436C-46ED-BB44-B5923AE520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7" name="Freeform 233">
                <a:extLst>
                  <a:ext uri="{FF2B5EF4-FFF2-40B4-BE49-F238E27FC236}">
                    <a16:creationId xmlns:a16="http://schemas.microsoft.com/office/drawing/2014/main" id="{394F16DF-3FD6-4F5C-B4CD-48253F49904B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8" name="Freeform 234">
                <a:extLst>
                  <a:ext uri="{FF2B5EF4-FFF2-40B4-BE49-F238E27FC236}">
                    <a16:creationId xmlns:a16="http://schemas.microsoft.com/office/drawing/2014/main" id="{3D850019-CC2D-4FBD-9DE5-54243EDB6BD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9" name="Freeform 235">
                <a:extLst>
                  <a:ext uri="{FF2B5EF4-FFF2-40B4-BE49-F238E27FC236}">
                    <a16:creationId xmlns:a16="http://schemas.microsoft.com/office/drawing/2014/main" id="{0D92F46B-865F-462A-905D-44DF3714AD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0" name="Freeform 236">
                <a:extLst>
                  <a:ext uri="{FF2B5EF4-FFF2-40B4-BE49-F238E27FC236}">
                    <a16:creationId xmlns:a16="http://schemas.microsoft.com/office/drawing/2014/main" id="{0255C841-0CE9-46B9-99FC-874FE346A05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1" name="Rectangle 237">
                <a:extLst>
                  <a:ext uri="{FF2B5EF4-FFF2-40B4-BE49-F238E27FC236}">
                    <a16:creationId xmlns:a16="http://schemas.microsoft.com/office/drawing/2014/main" id="{B0180351-0D7A-47E0-8661-43D1F9538B7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932" name="Freeform 238">
                <a:extLst>
                  <a:ext uri="{FF2B5EF4-FFF2-40B4-BE49-F238E27FC236}">
                    <a16:creationId xmlns:a16="http://schemas.microsoft.com/office/drawing/2014/main" id="{C8507560-03DB-4DFA-AC00-4D02565F9A9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3" name="Freeform 239">
                <a:extLst>
                  <a:ext uri="{FF2B5EF4-FFF2-40B4-BE49-F238E27FC236}">
                    <a16:creationId xmlns:a16="http://schemas.microsoft.com/office/drawing/2014/main" id="{382A3669-C107-48D5-8CD9-AB7782B5720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4" name="Freeform 240">
                <a:extLst>
                  <a:ext uri="{FF2B5EF4-FFF2-40B4-BE49-F238E27FC236}">
                    <a16:creationId xmlns:a16="http://schemas.microsoft.com/office/drawing/2014/main" id="{6394B1BF-A0EA-45AD-A047-5271FD430795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5" name="Freeform 241">
                <a:extLst>
                  <a:ext uri="{FF2B5EF4-FFF2-40B4-BE49-F238E27FC236}">
                    <a16:creationId xmlns:a16="http://schemas.microsoft.com/office/drawing/2014/main" id="{B503244E-94B3-4AB6-9EA0-4020610950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6" name="Freeform 242">
                <a:extLst>
                  <a:ext uri="{FF2B5EF4-FFF2-40B4-BE49-F238E27FC236}">
                    <a16:creationId xmlns:a16="http://schemas.microsoft.com/office/drawing/2014/main" id="{9F125BFA-226D-4E2E-88BE-12C1B00D131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7" name="Freeform 243">
                <a:extLst>
                  <a:ext uri="{FF2B5EF4-FFF2-40B4-BE49-F238E27FC236}">
                    <a16:creationId xmlns:a16="http://schemas.microsoft.com/office/drawing/2014/main" id="{3FC1726B-EB98-48CE-AAD7-5BD2457482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8" name="Freeform 244">
                <a:extLst>
                  <a:ext uri="{FF2B5EF4-FFF2-40B4-BE49-F238E27FC236}">
                    <a16:creationId xmlns:a16="http://schemas.microsoft.com/office/drawing/2014/main" id="{D21599DD-16C6-47A6-8A24-5B1051476A4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9" name="Freeform 245">
                <a:extLst>
                  <a:ext uri="{FF2B5EF4-FFF2-40B4-BE49-F238E27FC236}">
                    <a16:creationId xmlns:a16="http://schemas.microsoft.com/office/drawing/2014/main" id="{DB790B73-107F-4A6E-882E-156AC23FBD9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0" name="Freeform 246">
                <a:extLst>
                  <a:ext uri="{FF2B5EF4-FFF2-40B4-BE49-F238E27FC236}">
                    <a16:creationId xmlns:a16="http://schemas.microsoft.com/office/drawing/2014/main" id="{ACAE900D-6CF8-4F1C-8E35-F503D3F5797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1" name="Freeform 247">
                <a:extLst>
                  <a:ext uri="{FF2B5EF4-FFF2-40B4-BE49-F238E27FC236}">
                    <a16:creationId xmlns:a16="http://schemas.microsoft.com/office/drawing/2014/main" id="{D13206CB-D70F-470B-B078-3B8C3ABF0AD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2" name="Freeform 248">
                <a:extLst>
                  <a:ext uri="{FF2B5EF4-FFF2-40B4-BE49-F238E27FC236}">
                    <a16:creationId xmlns:a16="http://schemas.microsoft.com/office/drawing/2014/main" id="{4AEF1F04-53CB-40EF-9F6A-8EAEF414420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3" name="Freeform 249">
                <a:extLst>
                  <a:ext uri="{FF2B5EF4-FFF2-40B4-BE49-F238E27FC236}">
                    <a16:creationId xmlns:a16="http://schemas.microsoft.com/office/drawing/2014/main" id="{34829ED6-62F8-44BA-9A36-A88B33F7A30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4" name="Freeform 250">
                <a:extLst>
                  <a:ext uri="{FF2B5EF4-FFF2-40B4-BE49-F238E27FC236}">
                    <a16:creationId xmlns:a16="http://schemas.microsoft.com/office/drawing/2014/main" id="{C8B72E29-8D32-4358-A12B-AC226582774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5" name="Freeform 251">
                <a:extLst>
                  <a:ext uri="{FF2B5EF4-FFF2-40B4-BE49-F238E27FC236}">
                    <a16:creationId xmlns:a16="http://schemas.microsoft.com/office/drawing/2014/main" id="{7BB67E87-0111-4931-848F-E90F49E184A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6" name="Freeform 252">
                <a:extLst>
                  <a:ext uri="{FF2B5EF4-FFF2-40B4-BE49-F238E27FC236}">
                    <a16:creationId xmlns:a16="http://schemas.microsoft.com/office/drawing/2014/main" id="{372BD00D-C76B-4C7F-B917-246B123221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7" name="Freeform 253">
                <a:extLst>
                  <a:ext uri="{FF2B5EF4-FFF2-40B4-BE49-F238E27FC236}">
                    <a16:creationId xmlns:a16="http://schemas.microsoft.com/office/drawing/2014/main" id="{76ACD095-B299-4970-8CC5-CD15BC72D3F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8" name="Freeform 254">
                <a:extLst>
                  <a:ext uri="{FF2B5EF4-FFF2-40B4-BE49-F238E27FC236}">
                    <a16:creationId xmlns:a16="http://schemas.microsoft.com/office/drawing/2014/main" id="{E9459658-51B2-444A-9AFF-295D1540E9E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9" name="Freeform 255">
                <a:extLst>
                  <a:ext uri="{FF2B5EF4-FFF2-40B4-BE49-F238E27FC236}">
                    <a16:creationId xmlns:a16="http://schemas.microsoft.com/office/drawing/2014/main" id="{F309753A-915C-487A-9536-18E19369DAE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0" name="Freeform 256">
                <a:extLst>
                  <a:ext uri="{FF2B5EF4-FFF2-40B4-BE49-F238E27FC236}">
                    <a16:creationId xmlns:a16="http://schemas.microsoft.com/office/drawing/2014/main" id="{FF870811-E426-49D5-9A95-E2DA1C2BE88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1" name="Freeform 257">
                <a:extLst>
                  <a:ext uri="{FF2B5EF4-FFF2-40B4-BE49-F238E27FC236}">
                    <a16:creationId xmlns:a16="http://schemas.microsoft.com/office/drawing/2014/main" id="{B4226E05-62D4-4C69-B38E-50F6D7C7FEB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2" name="Freeform 258">
                <a:extLst>
                  <a:ext uri="{FF2B5EF4-FFF2-40B4-BE49-F238E27FC236}">
                    <a16:creationId xmlns:a16="http://schemas.microsoft.com/office/drawing/2014/main" id="{9CCCCFA8-2FEC-43C3-B83F-7086B55E6D2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3" name="Freeform 259">
                <a:extLst>
                  <a:ext uri="{FF2B5EF4-FFF2-40B4-BE49-F238E27FC236}">
                    <a16:creationId xmlns:a16="http://schemas.microsoft.com/office/drawing/2014/main" id="{07B2526C-E779-47D4-80EC-65F9CF5C68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4" name="Freeform 260">
                <a:extLst>
                  <a:ext uri="{FF2B5EF4-FFF2-40B4-BE49-F238E27FC236}">
                    <a16:creationId xmlns:a16="http://schemas.microsoft.com/office/drawing/2014/main" id="{3CAAF771-BCC4-4FEF-BF68-573DEB7F134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868" name="Freeform 29">
              <a:extLst>
                <a:ext uri="{FF2B5EF4-FFF2-40B4-BE49-F238E27FC236}">
                  <a16:creationId xmlns:a16="http://schemas.microsoft.com/office/drawing/2014/main" id="{DFD308CF-B60F-430D-A433-6981BE00C0DF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69" name="Freeform 38">
              <a:extLst>
                <a:ext uri="{FF2B5EF4-FFF2-40B4-BE49-F238E27FC236}">
                  <a16:creationId xmlns:a16="http://schemas.microsoft.com/office/drawing/2014/main" id="{8F8A8E81-2387-422C-B1F3-A994CFF653C4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0" name="Freeform 40">
              <a:extLst>
                <a:ext uri="{FF2B5EF4-FFF2-40B4-BE49-F238E27FC236}">
                  <a16:creationId xmlns:a16="http://schemas.microsoft.com/office/drawing/2014/main" id="{7CB930EE-9E34-4EA2-8183-DAB48471B710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1" name="Freeform 41">
              <a:extLst>
                <a:ext uri="{FF2B5EF4-FFF2-40B4-BE49-F238E27FC236}">
                  <a16:creationId xmlns:a16="http://schemas.microsoft.com/office/drawing/2014/main" id="{1519F167-1808-4DDA-9D06-2D3EFA24B1FB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2" name="Freeform 42">
              <a:extLst>
                <a:ext uri="{FF2B5EF4-FFF2-40B4-BE49-F238E27FC236}">
                  <a16:creationId xmlns:a16="http://schemas.microsoft.com/office/drawing/2014/main" id="{665E2ABB-6A56-40CC-9F7B-689128C820C3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3" name="Freeform 43">
              <a:extLst>
                <a:ext uri="{FF2B5EF4-FFF2-40B4-BE49-F238E27FC236}">
                  <a16:creationId xmlns:a16="http://schemas.microsoft.com/office/drawing/2014/main" id="{2901E292-20B8-460A-A0E4-0F7D2084A4D8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4" name="Freeform 44">
              <a:extLst>
                <a:ext uri="{FF2B5EF4-FFF2-40B4-BE49-F238E27FC236}">
                  <a16:creationId xmlns:a16="http://schemas.microsoft.com/office/drawing/2014/main" id="{1D24110A-B3D9-480A-A802-E272C5A2C77F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5" name="Freeform 45">
              <a:extLst>
                <a:ext uri="{FF2B5EF4-FFF2-40B4-BE49-F238E27FC236}">
                  <a16:creationId xmlns:a16="http://schemas.microsoft.com/office/drawing/2014/main" id="{7C55F927-B9D5-400E-928C-17A7064687B2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6" name="Freeform 49">
              <a:extLst>
                <a:ext uri="{FF2B5EF4-FFF2-40B4-BE49-F238E27FC236}">
                  <a16:creationId xmlns:a16="http://schemas.microsoft.com/office/drawing/2014/main" id="{7D0EC89B-B9F4-4816-BE59-D3FA5E626337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7" name="Freeform 50">
              <a:extLst>
                <a:ext uri="{FF2B5EF4-FFF2-40B4-BE49-F238E27FC236}">
                  <a16:creationId xmlns:a16="http://schemas.microsoft.com/office/drawing/2014/main" id="{99CC2AD5-3087-40C0-8929-5F292D81284D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8" name="Freeform 55">
              <a:extLst>
                <a:ext uri="{FF2B5EF4-FFF2-40B4-BE49-F238E27FC236}">
                  <a16:creationId xmlns:a16="http://schemas.microsoft.com/office/drawing/2014/main" id="{D4756520-010E-4334-AC33-66B54C192020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9" name="Freeform 56">
              <a:extLst>
                <a:ext uri="{FF2B5EF4-FFF2-40B4-BE49-F238E27FC236}">
                  <a16:creationId xmlns:a16="http://schemas.microsoft.com/office/drawing/2014/main" id="{6786BDCF-30C3-4991-9FA3-3DDE202ABFE6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0" name="Freeform 57">
              <a:extLst>
                <a:ext uri="{FF2B5EF4-FFF2-40B4-BE49-F238E27FC236}">
                  <a16:creationId xmlns:a16="http://schemas.microsoft.com/office/drawing/2014/main" id="{A27BECF8-6959-4B3C-A52D-9BBEAA8AC1D5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1" name="Freeform 58">
              <a:extLst>
                <a:ext uri="{FF2B5EF4-FFF2-40B4-BE49-F238E27FC236}">
                  <a16:creationId xmlns:a16="http://schemas.microsoft.com/office/drawing/2014/main" id="{529FE0D3-0A75-47FA-A6CE-F9DAB0194B6E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2" name="Freeform 59">
              <a:extLst>
                <a:ext uri="{FF2B5EF4-FFF2-40B4-BE49-F238E27FC236}">
                  <a16:creationId xmlns:a16="http://schemas.microsoft.com/office/drawing/2014/main" id="{392460A9-4331-43FC-9D01-CC20066A08B4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3" name="Freeform 60">
              <a:extLst>
                <a:ext uri="{FF2B5EF4-FFF2-40B4-BE49-F238E27FC236}">
                  <a16:creationId xmlns:a16="http://schemas.microsoft.com/office/drawing/2014/main" id="{2CADC532-9D1D-4B2C-80B7-A789137FD311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4" name="Freeform 61">
              <a:extLst>
                <a:ext uri="{FF2B5EF4-FFF2-40B4-BE49-F238E27FC236}">
                  <a16:creationId xmlns:a16="http://schemas.microsoft.com/office/drawing/2014/main" id="{6F59110E-0064-4A2B-B45C-B29E14EE6161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5" name="Freeform 73">
              <a:extLst>
                <a:ext uri="{FF2B5EF4-FFF2-40B4-BE49-F238E27FC236}">
                  <a16:creationId xmlns:a16="http://schemas.microsoft.com/office/drawing/2014/main" id="{90F7714A-E9E8-4202-9F52-DF916414D64F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6" name="Freeform 74">
              <a:extLst>
                <a:ext uri="{FF2B5EF4-FFF2-40B4-BE49-F238E27FC236}">
                  <a16:creationId xmlns:a16="http://schemas.microsoft.com/office/drawing/2014/main" id="{22FE62ED-168A-47F7-89BC-4A2B087B069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7" name="Freeform 75">
              <a:extLst>
                <a:ext uri="{FF2B5EF4-FFF2-40B4-BE49-F238E27FC236}">
                  <a16:creationId xmlns:a16="http://schemas.microsoft.com/office/drawing/2014/main" id="{58857BF0-B765-4D1A-98B1-F879C438A9B7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8" name="Freeform 76">
              <a:extLst>
                <a:ext uri="{FF2B5EF4-FFF2-40B4-BE49-F238E27FC236}">
                  <a16:creationId xmlns:a16="http://schemas.microsoft.com/office/drawing/2014/main" id="{A05AE840-1A8A-4910-BEE7-157D1E817105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9" name="Freeform 78">
              <a:extLst>
                <a:ext uri="{FF2B5EF4-FFF2-40B4-BE49-F238E27FC236}">
                  <a16:creationId xmlns:a16="http://schemas.microsoft.com/office/drawing/2014/main" id="{68312419-71D6-41C9-AEE1-3D06F2638406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0" name="Freeform 79">
              <a:extLst>
                <a:ext uri="{FF2B5EF4-FFF2-40B4-BE49-F238E27FC236}">
                  <a16:creationId xmlns:a16="http://schemas.microsoft.com/office/drawing/2014/main" id="{9815FB8D-335C-46E6-833E-C88F97B52DA9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1" name="Freeform 81">
              <a:extLst>
                <a:ext uri="{FF2B5EF4-FFF2-40B4-BE49-F238E27FC236}">
                  <a16:creationId xmlns:a16="http://schemas.microsoft.com/office/drawing/2014/main" id="{7CD89BFC-22C0-4275-9658-3026CED988EB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2" name="Freeform 83">
              <a:extLst>
                <a:ext uri="{FF2B5EF4-FFF2-40B4-BE49-F238E27FC236}">
                  <a16:creationId xmlns:a16="http://schemas.microsoft.com/office/drawing/2014/main" id="{AC37B7DA-0E12-4038-9C26-3725A4DD9BD8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3" name="Freeform 84">
              <a:extLst>
                <a:ext uri="{FF2B5EF4-FFF2-40B4-BE49-F238E27FC236}">
                  <a16:creationId xmlns:a16="http://schemas.microsoft.com/office/drawing/2014/main" id="{56ABACD8-C13B-45E4-A1AA-E50FDBC94785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4" name="Freeform 91">
              <a:extLst>
                <a:ext uri="{FF2B5EF4-FFF2-40B4-BE49-F238E27FC236}">
                  <a16:creationId xmlns:a16="http://schemas.microsoft.com/office/drawing/2014/main" id="{EA9847D7-00C9-4057-B1D4-5955E8CF9159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5" name="Freeform 95">
              <a:extLst>
                <a:ext uri="{FF2B5EF4-FFF2-40B4-BE49-F238E27FC236}">
                  <a16:creationId xmlns:a16="http://schemas.microsoft.com/office/drawing/2014/main" id="{B0E1201D-351E-42A7-99E5-B881A46BF047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6" name="Freeform 96">
              <a:extLst>
                <a:ext uri="{FF2B5EF4-FFF2-40B4-BE49-F238E27FC236}">
                  <a16:creationId xmlns:a16="http://schemas.microsoft.com/office/drawing/2014/main" id="{2E6ACE7B-8B8B-4917-9F67-179D2463A42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7" name="Freeform 98">
              <a:extLst>
                <a:ext uri="{FF2B5EF4-FFF2-40B4-BE49-F238E27FC236}">
                  <a16:creationId xmlns:a16="http://schemas.microsoft.com/office/drawing/2014/main" id="{F88834B1-2DC8-4EE4-AABA-6E1F16E77929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0</xdr:colOff>
      <xdr:row>0</xdr:row>
      <xdr:rowOff>152401</xdr:rowOff>
    </xdr:to>
    <xdr:grpSp>
      <xdr:nvGrpSpPr>
        <xdr:cNvPr id="290" name="Group 289">
          <a:extLst>
            <a:ext uri="{FF2B5EF4-FFF2-40B4-BE49-F238E27FC236}">
              <a16:creationId xmlns:a16="http://schemas.microsoft.com/office/drawing/2014/main" id="{C74BF818-E3E1-4F16-9B06-BF7AAE0520F0}"/>
            </a:ext>
          </a:extLst>
        </xdr:cNvPr>
        <xdr:cNvGrpSpPr/>
      </xdr:nvGrpSpPr>
      <xdr:grpSpPr>
        <a:xfrm>
          <a:off x="0" y="1"/>
          <a:ext cx="9639300" cy="152400"/>
          <a:chOff x="0" y="0"/>
          <a:chExt cx="10293879" cy="186266"/>
        </a:xfrm>
      </xdr:grpSpPr>
      <xdr:grpSp>
        <xdr:nvGrpSpPr>
          <xdr:cNvPr id="291" name="Title Border" descr="Flourish pattern" title="Title Border">
            <a:extLst>
              <a:ext uri="{FF2B5EF4-FFF2-40B4-BE49-F238E27FC236}">
                <a16:creationId xmlns:a16="http://schemas.microsoft.com/office/drawing/2014/main" id="{8B5110AF-F88F-4CCF-B3D8-E2AA9A04D0BE}"/>
              </a:ext>
            </a:extLst>
          </xdr:cNvPr>
          <xdr:cNvGrpSpPr/>
        </xdr:nvGrpSpPr>
        <xdr:grpSpPr>
          <a:xfrm>
            <a:off x="0" y="0"/>
            <a:ext cx="5154612" cy="177800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580" name="Group 3">
              <a:extLst>
                <a:ext uri="{FF2B5EF4-FFF2-40B4-BE49-F238E27FC236}">
                  <a16:creationId xmlns:a16="http://schemas.microsoft.com/office/drawing/2014/main" id="{07BE91E3-6CD0-4E07-B2D5-589FB6017D03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611" name="Group 204">
                <a:extLst>
                  <a:ext uri="{FF2B5EF4-FFF2-40B4-BE49-F238E27FC236}">
                    <a16:creationId xmlns:a16="http://schemas.microsoft.com/office/drawing/2014/main" id="{74BFC696-829E-4AD3-AD26-EBDC3975C1AF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668" name="Freeform 5">
                  <a:extLst>
                    <a:ext uri="{FF2B5EF4-FFF2-40B4-BE49-F238E27FC236}">
                      <a16:creationId xmlns:a16="http://schemas.microsoft.com/office/drawing/2014/main" id="{CD0E030A-1061-443F-A5FF-3A7496D55D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69" name="Freeform 6">
                  <a:extLst>
                    <a:ext uri="{FF2B5EF4-FFF2-40B4-BE49-F238E27FC236}">
                      <a16:creationId xmlns:a16="http://schemas.microsoft.com/office/drawing/2014/main" id="{5EBAFE80-C825-42F1-89C4-7D1792C6C0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0" name="Freeform 7">
                  <a:extLst>
                    <a:ext uri="{FF2B5EF4-FFF2-40B4-BE49-F238E27FC236}">
                      <a16:creationId xmlns:a16="http://schemas.microsoft.com/office/drawing/2014/main" id="{E967E1D0-6197-428B-B44A-38AAE225C30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1" name="Freeform 8">
                  <a:extLst>
                    <a:ext uri="{FF2B5EF4-FFF2-40B4-BE49-F238E27FC236}">
                      <a16:creationId xmlns:a16="http://schemas.microsoft.com/office/drawing/2014/main" id="{7CD01347-CE43-4929-B09A-94B9EDFDAA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2" name="Freeform 9">
                  <a:extLst>
                    <a:ext uri="{FF2B5EF4-FFF2-40B4-BE49-F238E27FC236}">
                      <a16:creationId xmlns:a16="http://schemas.microsoft.com/office/drawing/2014/main" id="{5E5A0AC2-6926-4FE1-8B6D-9B706075E5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3" name="Freeform 10">
                  <a:extLst>
                    <a:ext uri="{FF2B5EF4-FFF2-40B4-BE49-F238E27FC236}">
                      <a16:creationId xmlns:a16="http://schemas.microsoft.com/office/drawing/2014/main" id="{965354B3-0DCE-45E2-93FC-800FCF2227B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4" name="Freeform 11">
                  <a:extLst>
                    <a:ext uri="{FF2B5EF4-FFF2-40B4-BE49-F238E27FC236}">
                      <a16:creationId xmlns:a16="http://schemas.microsoft.com/office/drawing/2014/main" id="{1737AC69-EF19-44DF-B009-85305AE009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5" name="Freeform 12">
                  <a:extLst>
                    <a:ext uri="{FF2B5EF4-FFF2-40B4-BE49-F238E27FC236}">
                      <a16:creationId xmlns:a16="http://schemas.microsoft.com/office/drawing/2014/main" id="{90491242-80AE-4B7A-BF02-18C59131929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6" name="Freeform 13">
                  <a:extLst>
                    <a:ext uri="{FF2B5EF4-FFF2-40B4-BE49-F238E27FC236}">
                      <a16:creationId xmlns:a16="http://schemas.microsoft.com/office/drawing/2014/main" id="{DC2F7D50-F466-4BCB-B613-CDE7959E48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7" name="Freeform 14">
                  <a:extLst>
                    <a:ext uri="{FF2B5EF4-FFF2-40B4-BE49-F238E27FC236}">
                      <a16:creationId xmlns:a16="http://schemas.microsoft.com/office/drawing/2014/main" id="{0191BB7F-551E-467A-B344-AB50E2A559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8" name="Freeform 15">
                  <a:extLst>
                    <a:ext uri="{FF2B5EF4-FFF2-40B4-BE49-F238E27FC236}">
                      <a16:creationId xmlns:a16="http://schemas.microsoft.com/office/drawing/2014/main" id="{6F6568E3-7E1A-462A-810C-CA0DB1BBE9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9" name="Freeform 16">
                  <a:extLst>
                    <a:ext uri="{FF2B5EF4-FFF2-40B4-BE49-F238E27FC236}">
                      <a16:creationId xmlns:a16="http://schemas.microsoft.com/office/drawing/2014/main" id="{5C186135-8FFE-4F46-9C5D-7B36FBBD2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0" name="Freeform 17">
                  <a:extLst>
                    <a:ext uri="{FF2B5EF4-FFF2-40B4-BE49-F238E27FC236}">
                      <a16:creationId xmlns:a16="http://schemas.microsoft.com/office/drawing/2014/main" id="{B802A867-72ED-49F6-991A-7836B29B09B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1" name="Freeform 18">
                  <a:extLst>
                    <a:ext uri="{FF2B5EF4-FFF2-40B4-BE49-F238E27FC236}">
                      <a16:creationId xmlns:a16="http://schemas.microsoft.com/office/drawing/2014/main" id="{12FB5D48-0C03-47A6-A646-CFFE4A7FB86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2" name="Freeform 19">
                  <a:extLst>
                    <a:ext uri="{FF2B5EF4-FFF2-40B4-BE49-F238E27FC236}">
                      <a16:creationId xmlns:a16="http://schemas.microsoft.com/office/drawing/2014/main" id="{C644BFB1-99DE-47D8-8583-938364990F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3" name="Freeform 20">
                  <a:extLst>
                    <a:ext uri="{FF2B5EF4-FFF2-40B4-BE49-F238E27FC236}">
                      <a16:creationId xmlns:a16="http://schemas.microsoft.com/office/drawing/2014/main" id="{5B7CB3BF-D1F9-4D48-B1F0-886FE8A6BD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4" name="Freeform 21">
                  <a:extLst>
                    <a:ext uri="{FF2B5EF4-FFF2-40B4-BE49-F238E27FC236}">
                      <a16:creationId xmlns:a16="http://schemas.microsoft.com/office/drawing/2014/main" id="{921EA886-9120-433B-82E9-243AA531B8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5" name="Freeform 22">
                  <a:extLst>
                    <a:ext uri="{FF2B5EF4-FFF2-40B4-BE49-F238E27FC236}">
                      <a16:creationId xmlns:a16="http://schemas.microsoft.com/office/drawing/2014/main" id="{DB14C640-67F4-494D-9985-E2181E9B17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6" name="Freeform 23">
                  <a:extLst>
                    <a:ext uri="{FF2B5EF4-FFF2-40B4-BE49-F238E27FC236}">
                      <a16:creationId xmlns:a16="http://schemas.microsoft.com/office/drawing/2014/main" id="{C878DE64-05F5-4B9A-B151-65F9192854C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7" name="Freeform 24">
                  <a:extLst>
                    <a:ext uri="{FF2B5EF4-FFF2-40B4-BE49-F238E27FC236}">
                      <a16:creationId xmlns:a16="http://schemas.microsoft.com/office/drawing/2014/main" id="{66912B7B-EDA7-45EB-9044-DACC30D967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8" name="Freeform 25">
                  <a:extLst>
                    <a:ext uri="{FF2B5EF4-FFF2-40B4-BE49-F238E27FC236}">
                      <a16:creationId xmlns:a16="http://schemas.microsoft.com/office/drawing/2014/main" id="{83962BAD-DF59-4FC0-95E7-6A9AFEC388F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9" name="Freeform 26">
                  <a:extLst>
                    <a:ext uri="{FF2B5EF4-FFF2-40B4-BE49-F238E27FC236}">
                      <a16:creationId xmlns:a16="http://schemas.microsoft.com/office/drawing/2014/main" id="{99AD3CF7-52C4-48C9-924B-630FC331DB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0" name="Freeform 27">
                  <a:extLst>
                    <a:ext uri="{FF2B5EF4-FFF2-40B4-BE49-F238E27FC236}">
                      <a16:creationId xmlns:a16="http://schemas.microsoft.com/office/drawing/2014/main" id="{827750EC-CF0D-47D7-B0AD-024ECEE9C9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1" name="Freeform 28">
                  <a:extLst>
                    <a:ext uri="{FF2B5EF4-FFF2-40B4-BE49-F238E27FC236}">
                      <a16:creationId xmlns:a16="http://schemas.microsoft.com/office/drawing/2014/main" id="{61CC49C3-E415-4308-8D13-A1C9C299D2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2" name="Freeform 29">
                  <a:extLst>
                    <a:ext uri="{FF2B5EF4-FFF2-40B4-BE49-F238E27FC236}">
                      <a16:creationId xmlns:a16="http://schemas.microsoft.com/office/drawing/2014/main" id="{462D243C-8512-4BF5-B6B1-19BD39B942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3" name="Freeform 30">
                  <a:extLst>
                    <a:ext uri="{FF2B5EF4-FFF2-40B4-BE49-F238E27FC236}">
                      <a16:creationId xmlns:a16="http://schemas.microsoft.com/office/drawing/2014/main" id="{A442AB21-B66C-4608-BB76-3BFCE2D3780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4" name="Freeform 31">
                  <a:extLst>
                    <a:ext uri="{FF2B5EF4-FFF2-40B4-BE49-F238E27FC236}">
                      <a16:creationId xmlns:a16="http://schemas.microsoft.com/office/drawing/2014/main" id="{8823BED8-1273-4091-93CF-E6351E195C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5" name="Freeform 32">
                  <a:extLst>
                    <a:ext uri="{FF2B5EF4-FFF2-40B4-BE49-F238E27FC236}">
                      <a16:creationId xmlns:a16="http://schemas.microsoft.com/office/drawing/2014/main" id="{AA1DB0A3-A3F0-4421-93FC-411FBBD075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6" name="Freeform 33">
                  <a:extLst>
                    <a:ext uri="{FF2B5EF4-FFF2-40B4-BE49-F238E27FC236}">
                      <a16:creationId xmlns:a16="http://schemas.microsoft.com/office/drawing/2014/main" id="{F9DA0457-EB5D-46EC-9E9C-F55517B16B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7" name="Freeform 34">
                  <a:extLst>
                    <a:ext uri="{FF2B5EF4-FFF2-40B4-BE49-F238E27FC236}">
                      <a16:creationId xmlns:a16="http://schemas.microsoft.com/office/drawing/2014/main" id="{E8E1DCB9-AFF3-4D4D-A8D0-EAC90602BB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8" name="Freeform 35">
                  <a:extLst>
                    <a:ext uri="{FF2B5EF4-FFF2-40B4-BE49-F238E27FC236}">
                      <a16:creationId xmlns:a16="http://schemas.microsoft.com/office/drawing/2014/main" id="{3AB4F451-2180-486A-9055-62DFFE111F6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9" name="Freeform 36">
                  <a:extLst>
                    <a:ext uri="{FF2B5EF4-FFF2-40B4-BE49-F238E27FC236}">
                      <a16:creationId xmlns:a16="http://schemas.microsoft.com/office/drawing/2014/main" id="{AB3F69D4-F0A2-4577-AEDE-A8A68F6C7A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0" name="Freeform 37">
                  <a:extLst>
                    <a:ext uri="{FF2B5EF4-FFF2-40B4-BE49-F238E27FC236}">
                      <a16:creationId xmlns:a16="http://schemas.microsoft.com/office/drawing/2014/main" id="{2A8E2A9B-82DA-444A-8BCA-F51973ED3F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1" name="Freeform 38">
                  <a:extLst>
                    <a:ext uri="{FF2B5EF4-FFF2-40B4-BE49-F238E27FC236}">
                      <a16:creationId xmlns:a16="http://schemas.microsoft.com/office/drawing/2014/main" id="{56AB45CE-C871-4887-B3E8-BB2E3BB42E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2" name="Freeform 39">
                  <a:extLst>
                    <a:ext uri="{FF2B5EF4-FFF2-40B4-BE49-F238E27FC236}">
                      <a16:creationId xmlns:a16="http://schemas.microsoft.com/office/drawing/2014/main" id="{6E03403C-E088-472A-8E59-7CE6F2DD808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3" name="Freeform 40">
                  <a:extLst>
                    <a:ext uri="{FF2B5EF4-FFF2-40B4-BE49-F238E27FC236}">
                      <a16:creationId xmlns:a16="http://schemas.microsoft.com/office/drawing/2014/main" id="{CFC4FD2A-B660-4558-9F6A-7CC96C82FB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4" name="Freeform 41">
                  <a:extLst>
                    <a:ext uri="{FF2B5EF4-FFF2-40B4-BE49-F238E27FC236}">
                      <a16:creationId xmlns:a16="http://schemas.microsoft.com/office/drawing/2014/main" id="{22438BBC-D9D4-4EFF-9D08-3DE9A30933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5" name="Freeform 42">
                  <a:extLst>
                    <a:ext uri="{FF2B5EF4-FFF2-40B4-BE49-F238E27FC236}">
                      <a16:creationId xmlns:a16="http://schemas.microsoft.com/office/drawing/2014/main" id="{5D55B0B0-1324-4CF7-BD45-44488F5C6D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6" name="Freeform 43">
                  <a:extLst>
                    <a:ext uri="{FF2B5EF4-FFF2-40B4-BE49-F238E27FC236}">
                      <a16:creationId xmlns:a16="http://schemas.microsoft.com/office/drawing/2014/main" id="{A3DF0112-0A51-4525-A3EA-EE5688E46E6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7" name="Freeform 44">
                  <a:extLst>
                    <a:ext uri="{FF2B5EF4-FFF2-40B4-BE49-F238E27FC236}">
                      <a16:creationId xmlns:a16="http://schemas.microsoft.com/office/drawing/2014/main" id="{3C1D3E89-912B-433F-9F7B-3F36A37C40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8" name="Freeform 45">
                  <a:extLst>
                    <a:ext uri="{FF2B5EF4-FFF2-40B4-BE49-F238E27FC236}">
                      <a16:creationId xmlns:a16="http://schemas.microsoft.com/office/drawing/2014/main" id="{5A4E2594-AAEE-44B3-9136-7B04DBFDC4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9" name="Freeform 46">
                  <a:extLst>
                    <a:ext uri="{FF2B5EF4-FFF2-40B4-BE49-F238E27FC236}">
                      <a16:creationId xmlns:a16="http://schemas.microsoft.com/office/drawing/2014/main" id="{E5534949-783A-492A-AF39-84D8208643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0" name="Freeform 47">
                  <a:extLst>
                    <a:ext uri="{FF2B5EF4-FFF2-40B4-BE49-F238E27FC236}">
                      <a16:creationId xmlns:a16="http://schemas.microsoft.com/office/drawing/2014/main" id="{23D31722-6654-4A6F-B1F4-B327660CB2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1" name="Freeform 48">
                  <a:extLst>
                    <a:ext uri="{FF2B5EF4-FFF2-40B4-BE49-F238E27FC236}">
                      <a16:creationId xmlns:a16="http://schemas.microsoft.com/office/drawing/2014/main" id="{1598D914-8C09-4C04-B0A4-67B81C31A8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2" name="Freeform 49">
                  <a:extLst>
                    <a:ext uri="{FF2B5EF4-FFF2-40B4-BE49-F238E27FC236}">
                      <a16:creationId xmlns:a16="http://schemas.microsoft.com/office/drawing/2014/main" id="{39C53F8C-498A-4F6D-9FA4-84CAA6A6A0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3" name="Freeform 50">
                  <a:extLst>
                    <a:ext uri="{FF2B5EF4-FFF2-40B4-BE49-F238E27FC236}">
                      <a16:creationId xmlns:a16="http://schemas.microsoft.com/office/drawing/2014/main" id="{C3820E49-3C00-424F-A3A5-A13FF4CD89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4" name="Freeform 51">
                  <a:extLst>
                    <a:ext uri="{FF2B5EF4-FFF2-40B4-BE49-F238E27FC236}">
                      <a16:creationId xmlns:a16="http://schemas.microsoft.com/office/drawing/2014/main" id="{75E37FA4-9FE4-4857-9BAB-A836CBB982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5" name="Freeform 52">
                  <a:extLst>
                    <a:ext uri="{FF2B5EF4-FFF2-40B4-BE49-F238E27FC236}">
                      <a16:creationId xmlns:a16="http://schemas.microsoft.com/office/drawing/2014/main" id="{455C8588-5A28-4276-854E-F35A566AA7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6" name="Freeform 53">
                  <a:extLst>
                    <a:ext uri="{FF2B5EF4-FFF2-40B4-BE49-F238E27FC236}">
                      <a16:creationId xmlns:a16="http://schemas.microsoft.com/office/drawing/2014/main" id="{ED2E6CDF-E5F6-4DA0-8104-81352E4CC5D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7" name="Freeform 54">
                  <a:extLst>
                    <a:ext uri="{FF2B5EF4-FFF2-40B4-BE49-F238E27FC236}">
                      <a16:creationId xmlns:a16="http://schemas.microsoft.com/office/drawing/2014/main" id="{81C599B8-F934-4186-AEEA-F06FFD417C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8" name="Freeform 55">
                  <a:extLst>
                    <a:ext uri="{FF2B5EF4-FFF2-40B4-BE49-F238E27FC236}">
                      <a16:creationId xmlns:a16="http://schemas.microsoft.com/office/drawing/2014/main" id="{E26A0BF8-0876-4804-8167-366DCD0F54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9" name="Freeform 56">
                  <a:extLst>
                    <a:ext uri="{FF2B5EF4-FFF2-40B4-BE49-F238E27FC236}">
                      <a16:creationId xmlns:a16="http://schemas.microsoft.com/office/drawing/2014/main" id="{110C89C6-3852-4201-9BAB-7C606B6BE0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0" name="Freeform 57">
                  <a:extLst>
                    <a:ext uri="{FF2B5EF4-FFF2-40B4-BE49-F238E27FC236}">
                      <a16:creationId xmlns:a16="http://schemas.microsoft.com/office/drawing/2014/main" id="{A1467E58-BC71-44A3-BB7D-FE490AE4101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1" name="Freeform 58">
                  <a:extLst>
                    <a:ext uri="{FF2B5EF4-FFF2-40B4-BE49-F238E27FC236}">
                      <a16:creationId xmlns:a16="http://schemas.microsoft.com/office/drawing/2014/main" id="{0528A39D-AAC9-4E47-9F8D-059B376DE7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2" name="Freeform 59">
                  <a:extLst>
                    <a:ext uri="{FF2B5EF4-FFF2-40B4-BE49-F238E27FC236}">
                      <a16:creationId xmlns:a16="http://schemas.microsoft.com/office/drawing/2014/main" id="{3B37115B-FE10-42C8-AEEC-E3BC61BFA0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3" name="Freeform 60">
                  <a:extLst>
                    <a:ext uri="{FF2B5EF4-FFF2-40B4-BE49-F238E27FC236}">
                      <a16:creationId xmlns:a16="http://schemas.microsoft.com/office/drawing/2014/main" id="{9991234D-1B7D-4D0D-8F09-7E7C5A557E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4" name="Freeform 61">
                  <a:extLst>
                    <a:ext uri="{FF2B5EF4-FFF2-40B4-BE49-F238E27FC236}">
                      <a16:creationId xmlns:a16="http://schemas.microsoft.com/office/drawing/2014/main" id="{260CB2C3-947E-4DC2-A45B-BF13267CA7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5" name="Freeform 62">
                  <a:extLst>
                    <a:ext uri="{FF2B5EF4-FFF2-40B4-BE49-F238E27FC236}">
                      <a16:creationId xmlns:a16="http://schemas.microsoft.com/office/drawing/2014/main" id="{0E1FE8A6-B924-468A-BBEA-4D84AC1016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6" name="Freeform 63">
                  <a:extLst>
                    <a:ext uri="{FF2B5EF4-FFF2-40B4-BE49-F238E27FC236}">
                      <a16:creationId xmlns:a16="http://schemas.microsoft.com/office/drawing/2014/main" id="{C0FEED07-198B-4F4E-AC47-7BEFEAE0B6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7" name="Freeform 64">
                  <a:extLst>
                    <a:ext uri="{FF2B5EF4-FFF2-40B4-BE49-F238E27FC236}">
                      <a16:creationId xmlns:a16="http://schemas.microsoft.com/office/drawing/2014/main" id="{141FE9CD-3C6E-4CA6-930C-FDE921B27A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8" name="Freeform 65">
                  <a:extLst>
                    <a:ext uri="{FF2B5EF4-FFF2-40B4-BE49-F238E27FC236}">
                      <a16:creationId xmlns:a16="http://schemas.microsoft.com/office/drawing/2014/main" id="{C10890CE-896D-42F9-BA27-C22C41F5A12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9" name="Freeform 66">
                  <a:extLst>
                    <a:ext uri="{FF2B5EF4-FFF2-40B4-BE49-F238E27FC236}">
                      <a16:creationId xmlns:a16="http://schemas.microsoft.com/office/drawing/2014/main" id="{D26E8A27-43C3-4A3A-875F-BDB83510FF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0" name="Freeform 67">
                  <a:extLst>
                    <a:ext uri="{FF2B5EF4-FFF2-40B4-BE49-F238E27FC236}">
                      <a16:creationId xmlns:a16="http://schemas.microsoft.com/office/drawing/2014/main" id="{15A6C28C-FC6E-42BD-9F0D-BCE904D0C9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1" name="Freeform 68">
                  <a:extLst>
                    <a:ext uri="{FF2B5EF4-FFF2-40B4-BE49-F238E27FC236}">
                      <a16:creationId xmlns:a16="http://schemas.microsoft.com/office/drawing/2014/main" id="{EC5CF076-BF74-4BAE-903D-BAA86A71321B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2" name="Freeform 69">
                  <a:extLst>
                    <a:ext uri="{FF2B5EF4-FFF2-40B4-BE49-F238E27FC236}">
                      <a16:creationId xmlns:a16="http://schemas.microsoft.com/office/drawing/2014/main" id="{F6387C15-9035-4BEF-AD8F-F106C32CD6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3" name="Freeform 70">
                  <a:extLst>
                    <a:ext uri="{FF2B5EF4-FFF2-40B4-BE49-F238E27FC236}">
                      <a16:creationId xmlns:a16="http://schemas.microsoft.com/office/drawing/2014/main" id="{82CE88DA-027E-4013-B7B5-7F5C85A418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4" name="Freeform 71">
                  <a:extLst>
                    <a:ext uri="{FF2B5EF4-FFF2-40B4-BE49-F238E27FC236}">
                      <a16:creationId xmlns:a16="http://schemas.microsoft.com/office/drawing/2014/main" id="{5A26C692-4D5E-4049-A01D-1D54AE30E5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5" name="Freeform 72">
                  <a:extLst>
                    <a:ext uri="{FF2B5EF4-FFF2-40B4-BE49-F238E27FC236}">
                      <a16:creationId xmlns:a16="http://schemas.microsoft.com/office/drawing/2014/main" id="{19FB60CB-8F26-43F6-84A3-EA8F5D60E1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6" name="Freeform 73">
                  <a:extLst>
                    <a:ext uri="{FF2B5EF4-FFF2-40B4-BE49-F238E27FC236}">
                      <a16:creationId xmlns:a16="http://schemas.microsoft.com/office/drawing/2014/main" id="{8146B665-EF9C-46D0-B7E5-921DA8BA94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7" name="Freeform 74">
                  <a:extLst>
                    <a:ext uri="{FF2B5EF4-FFF2-40B4-BE49-F238E27FC236}">
                      <a16:creationId xmlns:a16="http://schemas.microsoft.com/office/drawing/2014/main" id="{EF5CECE9-E53C-45AB-9706-D3629260DAB7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8" name="Freeform 75">
                  <a:extLst>
                    <a:ext uri="{FF2B5EF4-FFF2-40B4-BE49-F238E27FC236}">
                      <a16:creationId xmlns:a16="http://schemas.microsoft.com/office/drawing/2014/main" id="{4347E774-2FDF-4071-9CF3-F2C7C039D6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9" name="Freeform 76">
                  <a:extLst>
                    <a:ext uri="{FF2B5EF4-FFF2-40B4-BE49-F238E27FC236}">
                      <a16:creationId xmlns:a16="http://schemas.microsoft.com/office/drawing/2014/main" id="{B6919F1E-2895-40AC-B41D-02F04F1B22C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0" name="Freeform 77">
                  <a:extLst>
                    <a:ext uri="{FF2B5EF4-FFF2-40B4-BE49-F238E27FC236}">
                      <a16:creationId xmlns:a16="http://schemas.microsoft.com/office/drawing/2014/main" id="{93BC947C-D96D-4D54-A598-2A45D8F97C5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1" name="Freeform 78">
                  <a:extLst>
                    <a:ext uri="{FF2B5EF4-FFF2-40B4-BE49-F238E27FC236}">
                      <a16:creationId xmlns:a16="http://schemas.microsoft.com/office/drawing/2014/main" id="{6BC13E8E-36E6-4B14-858B-C409042A8A3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2" name="Freeform 79">
                  <a:extLst>
                    <a:ext uri="{FF2B5EF4-FFF2-40B4-BE49-F238E27FC236}">
                      <a16:creationId xmlns:a16="http://schemas.microsoft.com/office/drawing/2014/main" id="{00A02B01-C802-4BCC-A048-EF65888348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3" name="Freeform 80">
                  <a:extLst>
                    <a:ext uri="{FF2B5EF4-FFF2-40B4-BE49-F238E27FC236}">
                      <a16:creationId xmlns:a16="http://schemas.microsoft.com/office/drawing/2014/main" id="{EF13E4AE-57CF-44BF-B4CE-130A31C0F1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4" name="Freeform 81">
                  <a:extLst>
                    <a:ext uri="{FF2B5EF4-FFF2-40B4-BE49-F238E27FC236}">
                      <a16:creationId xmlns:a16="http://schemas.microsoft.com/office/drawing/2014/main" id="{402ED7A8-8536-4EBD-8608-CE25409DCA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5" name="Freeform 82">
                  <a:extLst>
                    <a:ext uri="{FF2B5EF4-FFF2-40B4-BE49-F238E27FC236}">
                      <a16:creationId xmlns:a16="http://schemas.microsoft.com/office/drawing/2014/main" id="{656CFF1E-F78D-48E8-963B-139201A8E14B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6" name="Freeform 83">
                  <a:extLst>
                    <a:ext uri="{FF2B5EF4-FFF2-40B4-BE49-F238E27FC236}">
                      <a16:creationId xmlns:a16="http://schemas.microsoft.com/office/drawing/2014/main" id="{AB74C8B2-9F7A-429C-B90C-6FFE1FA475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7" name="Freeform 84">
                  <a:extLst>
                    <a:ext uri="{FF2B5EF4-FFF2-40B4-BE49-F238E27FC236}">
                      <a16:creationId xmlns:a16="http://schemas.microsoft.com/office/drawing/2014/main" id="{2CBCCAE7-70B6-4FB7-B9CF-F87494FF7C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8" name="Freeform 85">
                  <a:extLst>
                    <a:ext uri="{FF2B5EF4-FFF2-40B4-BE49-F238E27FC236}">
                      <a16:creationId xmlns:a16="http://schemas.microsoft.com/office/drawing/2014/main" id="{85B4CE47-0B11-4A8B-87AE-1E6AF4989C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9" name="Freeform 86">
                  <a:extLst>
                    <a:ext uri="{FF2B5EF4-FFF2-40B4-BE49-F238E27FC236}">
                      <a16:creationId xmlns:a16="http://schemas.microsoft.com/office/drawing/2014/main" id="{6756015C-8E7B-4BE8-890C-EDCDC3AC0B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0" name="Freeform 87">
                  <a:extLst>
                    <a:ext uri="{FF2B5EF4-FFF2-40B4-BE49-F238E27FC236}">
                      <a16:creationId xmlns:a16="http://schemas.microsoft.com/office/drawing/2014/main" id="{E93213A0-E53D-4F6E-815A-FC1493147C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1" name="Freeform 88">
                  <a:extLst>
                    <a:ext uri="{FF2B5EF4-FFF2-40B4-BE49-F238E27FC236}">
                      <a16:creationId xmlns:a16="http://schemas.microsoft.com/office/drawing/2014/main" id="{E3D7B49D-E294-4312-9E9A-A6656CDEFA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2" name="Freeform 89">
                  <a:extLst>
                    <a:ext uri="{FF2B5EF4-FFF2-40B4-BE49-F238E27FC236}">
                      <a16:creationId xmlns:a16="http://schemas.microsoft.com/office/drawing/2014/main" id="{9E5A94B6-4B70-432F-851E-C6EEB0CB86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3" name="Freeform 90">
                  <a:extLst>
                    <a:ext uri="{FF2B5EF4-FFF2-40B4-BE49-F238E27FC236}">
                      <a16:creationId xmlns:a16="http://schemas.microsoft.com/office/drawing/2014/main" id="{6C1F3FCE-70DA-4922-B417-5D991EAE12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4" name="Freeform 91">
                  <a:extLst>
                    <a:ext uri="{FF2B5EF4-FFF2-40B4-BE49-F238E27FC236}">
                      <a16:creationId xmlns:a16="http://schemas.microsoft.com/office/drawing/2014/main" id="{57E6441E-1D8F-44F9-AFC9-130F60F8415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5" name="Freeform 92">
                  <a:extLst>
                    <a:ext uri="{FF2B5EF4-FFF2-40B4-BE49-F238E27FC236}">
                      <a16:creationId xmlns:a16="http://schemas.microsoft.com/office/drawing/2014/main" id="{B5A6ED1F-654C-4C59-8466-49F590A1D01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6" name="Freeform 93">
                  <a:extLst>
                    <a:ext uri="{FF2B5EF4-FFF2-40B4-BE49-F238E27FC236}">
                      <a16:creationId xmlns:a16="http://schemas.microsoft.com/office/drawing/2014/main" id="{08D642A6-1468-4B5C-88DB-D5955836A7F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7" name="Freeform 94">
                  <a:extLst>
                    <a:ext uri="{FF2B5EF4-FFF2-40B4-BE49-F238E27FC236}">
                      <a16:creationId xmlns:a16="http://schemas.microsoft.com/office/drawing/2014/main" id="{0B29BEF1-E007-47C4-8001-211A152D03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8" name="Freeform 95">
                  <a:extLst>
                    <a:ext uri="{FF2B5EF4-FFF2-40B4-BE49-F238E27FC236}">
                      <a16:creationId xmlns:a16="http://schemas.microsoft.com/office/drawing/2014/main" id="{B4B74E60-E4B0-466D-B57A-015261EFCD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9" name="Freeform 96">
                  <a:extLst>
                    <a:ext uri="{FF2B5EF4-FFF2-40B4-BE49-F238E27FC236}">
                      <a16:creationId xmlns:a16="http://schemas.microsoft.com/office/drawing/2014/main" id="{0ED4365F-9222-4EA9-A272-B916EA3D358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0" name="Freeform 97">
                  <a:extLst>
                    <a:ext uri="{FF2B5EF4-FFF2-40B4-BE49-F238E27FC236}">
                      <a16:creationId xmlns:a16="http://schemas.microsoft.com/office/drawing/2014/main" id="{B6862376-983F-4144-8A86-6A7FF1F9B7F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1" name="Freeform 98">
                  <a:extLst>
                    <a:ext uri="{FF2B5EF4-FFF2-40B4-BE49-F238E27FC236}">
                      <a16:creationId xmlns:a16="http://schemas.microsoft.com/office/drawing/2014/main" id="{E51C33F3-E57C-4449-9B08-4742961D0F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2" name="Freeform 99">
                  <a:extLst>
                    <a:ext uri="{FF2B5EF4-FFF2-40B4-BE49-F238E27FC236}">
                      <a16:creationId xmlns:a16="http://schemas.microsoft.com/office/drawing/2014/main" id="{8696F4E8-09D3-427B-B73D-D92118A15B2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3" name="Freeform 100">
                  <a:extLst>
                    <a:ext uri="{FF2B5EF4-FFF2-40B4-BE49-F238E27FC236}">
                      <a16:creationId xmlns:a16="http://schemas.microsoft.com/office/drawing/2014/main" id="{C69E76CD-667C-4057-B6BE-90A3ED2A1F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4" name="Freeform 101">
                  <a:extLst>
                    <a:ext uri="{FF2B5EF4-FFF2-40B4-BE49-F238E27FC236}">
                      <a16:creationId xmlns:a16="http://schemas.microsoft.com/office/drawing/2014/main" id="{BA990907-B219-4F4C-A2E6-F072E6162C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5" name="Freeform 102">
                  <a:extLst>
                    <a:ext uri="{FF2B5EF4-FFF2-40B4-BE49-F238E27FC236}">
                      <a16:creationId xmlns:a16="http://schemas.microsoft.com/office/drawing/2014/main" id="{E300D692-26AA-4F83-8C8B-71428E478A3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6" name="Freeform 103">
                  <a:extLst>
                    <a:ext uri="{FF2B5EF4-FFF2-40B4-BE49-F238E27FC236}">
                      <a16:creationId xmlns:a16="http://schemas.microsoft.com/office/drawing/2014/main" id="{52375C22-A425-47A4-A758-7623F31BB7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7" name="Freeform 104">
                  <a:extLst>
                    <a:ext uri="{FF2B5EF4-FFF2-40B4-BE49-F238E27FC236}">
                      <a16:creationId xmlns:a16="http://schemas.microsoft.com/office/drawing/2014/main" id="{7E96557F-1685-43EF-8A3F-5927DDAC31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8" name="Freeform 105">
                  <a:extLst>
                    <a:ext uri="{FF2B5EF4-FFF2-40B4-BE49-F238E27FC236}">
                      <a16:creationId xmlns:a16="http://schemas.microsoft.com/office/drawing/2014/main" id="{20DDED32-690B-4C57-840D-9199EF1F9D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9" name="Freeform 106">
                  <a:extLst>
                    <a:ext uri="{FF2B5EF4-FFF2-40B4-BE49-F238E27FC236}">
                      <a16:creationId xmlns:a16="http://schemas.microsoft.com/office/drawing/2014/main" id="{F6812BB8-EFE2-4FEB-899D-AA22603580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0" name="Freeform 107">
                  <a:extLst>
                    <a:ext uri="{FF2B5EF4-FFF2-40B4-BE49-F238E27FC236}">
                      <a16:creationId xmlns:a16="http://schemas.microsoft.com/office/drawing/2014/main" id="{C58875E7-8385-4A2F-91DC-9810874162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1" name="Freeform 108">
                  <a:extLst>
                    <a:ext uri="{FF2B5EF4-FFF2-40B4-BE49-F238E27FC236}">
                      <a16:creationId xmlns:a16="http://schemas.microsoft.com/office/drawing/2014/main" id="{68962DCD-8119-4F21-873C-26CD878216E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2" name="Freeform 109">
                  <a:extLst>
                    <a:ext uri="{FF2B5EF4-FFF2-40B4-BE49-F238E27FC236}">
                      <a16:creationId xmlns:a16="http://schemas.microsoft.com/office/drawing/2014/main" id="{67EDED60-A202-41DB-ADFE-B578CCCB52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3" name="Freeform 110">
                  <a:extLst>
                    <a:ext uri="{FF2B5EF4-FFF2-40B4-BE49-F238E27FC236}">
                      <a16:creationId xmlns:a16="http://schemas.microsoft.com/office/drawing/2014/main" id="{48725FAB-5C74-4FE8-8F6A-EC981D1D89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4" name="Freeform 111">
                  <a:extLst>
                    <a:ext uri="{FF2B5EF4-FFF2-40B4-BE49-F238E27FC236}">
                      <a16:creationId xmlns:a16="http://schemas.microsoft.com/office/drawing/2014/main" id="{D366E4BE-64ED-470D-9A9A-3017DBF700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5" name="Freeform 112">
                  <a:extLst>
                    <a:ext uri="{FF2B5EF4-FFF2-40B4-BE49-F238E27FC236}">
                      <a16:creationId xmlns:a16="http://schemas.microsoft.com/office/drawing/2014/main" id="{749A84BA-67AA-4E98-855F-426DF561AA6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6" name="Freeform 113">
                  <a:extLst>
                    <a:ext uri="{FF2B5EF4-FFF2-40B4-BE49-F238E27FC236}">
                      <a16:creationId xmlns:a16="http://schemas.microsoft.com/office/drawing/2014/main" id="{31F3EA43-C8AC-4CF5-9B56-22096F6DED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7" name="Freeform 114">
                  <a:extLst>
                    <a:ext uri="{FF2B5EF4-FFF2-40B4-BE49-F238E27FC236}">
                      <a16:creationId xmlns:a16="http://schemas.microsoft.com/office/drawing/2014/main" id="{C515D51B-EEFE-479D-A039-3C2CC552CE3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8" name="Freeform 115">
                  <a:extLst>
                    <a:ext uri="{FF2B5EF4-FFF2-40B4-BE49-F238E27FC236}">
                      <a16:creationId xmlns:a16="http://schemas.microsoft.com/office/drawing/2014/main" id="{05A5F08E-3C95-4B3C-9C67-3AC5B5ECE3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9" name="Freeform 116">
                  <a:extLst>
                    <a:ext uri="{FF2B5EF4-FFF2-40B4-BE49-F238E27FC236}">
                      <a16:creationId xmlns:a16="http://schemas.microsoft.com/office/drawing/2014/main" id="{E4017E6A-EB77-4057-93FD-222E0E758F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0" name="Freeform 117">
                  <a:extLst>
                    <a:ext uri="{FF2B5EF4-FFF2-40B4-BE49-F238E27FC236}">
                      <a16:creationId xmlns:a16="http://schemas.microsoft.com/office/drawing/2014/main" id="{0CAC7F1D-221A-4281-AC64-F3B3C3E28F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1" name="Freeform 118">
                  <a:extLst>
                    <a:ext uri="{FF2B5EF4-FFF2-40B4-BE49-F238E27FC236}">
                      <a16:creationId xmlns:a16="http://schemas.microsoft.com/office/drawing/2014/main" id="{1ADD9B5C-3209-4CEB-A6FB-1D6D7812CC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2" name="Freeform 119">
                  <a:extLst>
                    <a:ext uri="{FF2B5EF4-FFF2-40B4-BE49-F238E27FC236}">
                      <a16:creationId xmlns:a16="http://schemas.microsoft.com/office/drawing/2014/main" id="{1D18ED39-E946-4CEA-BFE4-D1AC43BBFE6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3" name="Freeform 120">
                  <a:extLst>
                    <a:ext uri="{FF2B5EF4-FFF2-40B4-BE49-F238E27FC236}">
                      <a16:creationId xmlns:a16="http://schemas.microsoft.com/office/drawing/2014/main" id="{C45EFE0C-E6D1-4D71-AF07-62E710AA72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4" name="Freeform 121">
                  <a:extLst>
                    <a:ext uri="{FF2B5EF4-FFF2-40B4-BE49-F238E27FC236}">
                      <a16:creationId xmlns:a16="http://schemas.microsoft.com/office/drawing/2014/main" id="{C7A4EF6F-5D64-41B5-8C76-6F78E1F98F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5" name="Freeform 122">
                  <a:extLst>
                    <a:ext uri="{FF2B5EF4-FFF2-40B4-BE49-F238E27FC236}">
                      <a16:creationId xmlns:a16="http://schemas.microsoft.com/office/drawing/2014/main" id="{98DAAF5C-4408-4872-93DD-0968380AEE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6" name="Freeform 123">
                  <a:extLst>
                    <a:ext uri="{FF2B5EF4-FFF2-40B4-BE49-F238E27FC236}">
                      <a16:creationId xmlns:a16="http://schemas.microsoft.com/office/drawing/2014/main" id="{AD7B8941-C96D-4276-B79E-CEEA9B4E37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7" name="Freeform 124">
                  <a:extLst>
                    <a:ext uri="{FF2B5EF4-FFF2-40B4-BE49-F238E27FC236}">
                      <a16:creationId xmlns:a16="http://schemas.microsoft.com/office/drawing/2014/main" id="{0C511140-14EF-4984-B226-B3828CD2F8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8" name="Freeform 125">
                  <a:extLst>
                    <a:ext uri="{FF2B5EF4-FFF2-40B4-BE49-F238E27FC236}">
                      <a16:creationId xmlns:a16="http://schemas.microsoft.com/office/drawing/2014/main" id="{6EAD445E-EB65-4C57-8A04-20386E385E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9" name="Freeform 126">
                  <a:extLst>
                    <a:ext uri="{FF2B5EF4-FFF2-40B4-BE49-F238E27FC236}">
                      <a16:creationId xmlns:a16="http://schemas.microsoft.com/office/drawing/2014/main" id="{5DB4A822-3E24-4F60-972F-ED572A6E53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0" name="Freeform 127">
                  <a:extLst>
                    <a:ext uri="{FF2B5EF4-FFF2-40B4-BE49-F238E27FC236}">
                      <a16:creationId xmlns:a16="http://schemas.microsoft.com/office/drawing/2014/main" id="{94B7B52C-E43F-43C3-8B87-3E1D63FA0A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1" name="Freeform 128">
                  <a:extLst>
                    <a:ext uri="{FF2B5EF4-FFF2-40B4-BE49-F238E27FC236}">
                      <a16:creationId xmlns:a16="http://schemas.microsoft.com/office/drawing/2014/main" id="{25A20205-BDB7-4345-80A6-B86C28224C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2" name="Freeform 129">
                  <a:extLst>
                    <a:ext uri="{FF2B5EF4-FFF2-40B4-BE49-F238E27FC236}">
                      <a16:creationId xmlns:a16="http://schemas.microsoft.com/office/drawing/2014/main" id="{24C744EC-26E7-4D33-9F5A-0C7735BDAF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3" name="Freeform 130">
                  <a:extLst>
                    <a:ext uri="{FF2B5EF4-FFF2-40B4-BE49-F238E27FC236}">
                      <a16:creationId xmlns:a16="http://schemas.microsoft.com/office/drawing/2014/main" id="{0607CEC9-2729-4999-809C-039FC170EB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4" name="Freeform 131">
                  <a:extLst>
                    <a:ext uri="{FF2B5EF4-FFF2-40B4-BE49-F238E27FC236}">
                      <a16:creationId xmlns:a16="http://schemas.microsoft.com/office/drawing/2014/main" id="{BAB7D95A-E7A9-40C2-A14A-0C698965DF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5" name="Freeform 132">
                  <a:extLst>
                    <a:ext uri="{FF2B5EF4-FFF2-40B4-BE49-F238E27FC236}">
                      <a16:creationId xmlns:a16="http://schemas.microsoft.com/office/drawing/2014/main" id="{5451ED43-42BE-444E-82CA-E35ABAAAEF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6" name="Freeform 133">
                  <a:extLst>
                    <a:ext uri="{FF2B5EF4-FFF2-40B4-BE49-F238E27FC236}">
                      <a16:creationId xmlns:a16="http://schemas.microsoft.com/office/drawing/2014/main" id="{1F665937-309A-40B5-B8F3-0E6AAB7724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7" name="Freeform 134">
                  <a:extLst>
                    <a:ext uri="{FF2B5EF4-FFF2-40B4-BE49-F238E27FC236}">
                      <a16:creationId xmlns:a16="http://schemas.microsoft.com/office/drawing/2014/main" id="{49FDB385-6E03-4DF1-A9BF-132FCADC06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8" name="Freeform 135">
                  <a:extLst>
                    <a:ext uri="{FF2B5EF4-FFF2-40B4-BE49-F238E27FC236}">
                      <a16:creationId xmlns:a16="http://schemas.microsoft.com/office/drawing/2014/main" id="{6F97EBC6-72CA-4B51-AA61-2CB5A7C0CF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9" name="Freeform 136">
                  <a:extLst>
                    <a:ext uri="{FF2B5EF4-FFF2-40B4-BE49-F238E27FC236}">
                      <a16:creationId xmlns:a16="http://schemas.microsoft.com/office/drawing/2014/main" id="{485CB577-570D-41D1-AC46-F296880A71F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0" name="Freeform 137">
                  <a:extLst>
                    <a:ext uri="{FF2B5EF4-FFF2-40B4-BE49-F238E27FC236}">
                      <a16:creationId xmlns:a16="http://schemas.microsoft.com/office/drawing/2014/main" id="{2706F2F5-BDC8-4C38-AEBB-A18C2EF035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1" name="Freeform 138">
                  <a:extLst>
                    <a:ext uri="{FF2B5EF4-FFF2-40B4-BE49-F238E27FC236}">
                      <a16:creationId xmlns:a16="http://schemas.microsoft.com/office/drawing/2014/main" id="{AD726379-9C25-442B-B05C-5355349235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2" name="Freeform 139">
                  <a:extLst>
                    <a:ext uri="{FF2B5EF4-FFF2-40B4-BE49-F238E27FC236}">
                      <a16:creationId xmlns:a16="http://schemas.microsoft.com/office/drawing/2014/main" id="{06ACF9FB-3C34-4297-8F8F-5C76DE5874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3" name="Freeform 140">
                  <a:extLst>
                    <a:ext uri="{FF2B5EF4-FFF2-40B4-BE49-F238E27FC236}">
                      <a16:creationId xmlns:a16="http://schemas.microsoft.com/office/drawing/2014/main" id="{1CE1BA01-F0C8-4F3E-B372-23996D34CB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4" name="Freeform 141">
                  <a:extLst>
                    <a:ext uri="{FF2B5EF4-FFF2-40B4-BE49-F238E27FC236}">
                      <a16:creationId xmlns:a16="http://schemas.microsoft.com/office/drawing/2014/main" id="{533D84FC-DCC2-44E2-A35C-B1328C5544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5" name="Freeform 142">
                  <a:extLst>
                    <a:ext uri="{FF2B5EF4-FFF2-40B4-BE49-F238E27FC236}">
                      <a16:creationId xmlns:a16="http://schemas.microsoft.com/office/drawing/2014/main" id="{C7BB99ED-7E86-4498-B3F2-64FFAB2E5B6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6" name="Freeform 143">
                  <a:extLst>
                    <a:ext uri="{FF2B5EF4-FFF2-40B4-BE49-F238E27FC236}">
                      <a16:creationId xmlns:a16="http://schemas.microsoft.com/office/drawing/2014/main" id="{9B3C4EAE-6884-4091-B4A7-4C19F9156C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7" name="Freeform 144">
                  <a:extLst>
                    <a:ext uri="{FF2B5EF4-FFF2-40B4-BE49-F238E27FC236}">
                      <a16:creationId xmlns:a16="http://schemas.microsoft.com/office/drawing/2014/main" id="{1FDF780A-2621-48D6-BD45-D832C2E2CB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8" name="Freeform 145">
                  <a:extLst>
                    <a:ext uri="{FF2B5EF4-FFF2-40B4-BE49-F238E27FC236}">
                      <a16:creationId xmlns:a16="http://schemas.microsoft.com/office/drawing/2014/main" id="{66E51B72-ADE2-40F4-95DB-54DCB0302F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9" name="Freeform 146">
                  <a:extLst>
                    <a:ext uri="{FF2B5EF4-FFF2-40B4-BE49-F238E27FC236}">
                      <a16:creationId xmlns:a16="http://schemas.microsoft.com/office/drawing/2014/main" id="{40B87B8C-B15A-4068-B363-18384C6DB5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0" name="Freeform 147">
                  <a:extLst>
                    <a:ext uri="{FF2B5EF4-FFF2-40B4-BE49-F238E27FC236}">
                      <a16:creationId xmlns:a16="http://schemas.microsoft.com/office/drawing/2014/main" id="{618B31F1-A5B2-4530-94ED-2EDE8FEE9F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1" name="Freeform 148">
                  <a:extLst>
                    <a:ext uri="{FF2B5EF4-FFF2-40B4-BE49-F238E27FC236}">
                      <a16:creationId xmlns:a16="http://schemas.microsoft.com/office/drawing/2014/main" id="{1FE9CEC0-5AC7-449A-9E80-51BE92D0285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2" name="Freeform 149">
                  <a:extLst>
                    <a:ext uri="{FF2B5EF4-FFF2-40B4-BE49-F238E27FC236}">
                      <a16:creationId xmlns:a16="http://schemas.microsoft.com/office/drawing/2014/main" id="{D72BB156-BA02-4097-A325-D424844DED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3" name="Freeform 150">
                  <a:extLst>
                    <a:ext uri="{FF2B5EF4-FFF2-40B4-BE49-F238E27FC236}">
                      <a16:creationId xmlns:a16="http://schemas.microsoft.com/office/drawing/2014/main" id="{9F9B88E0-3D06-4110-8C7F-7BB4A5C226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4" name="Freeform 151">
                  <a:extLst>
                    <a:ext uri="{FF2B5EF4-FFF2-40B4-BE49-F238E27FC236}">
                      <a16:creationId xmlns:a16="http://schemas.microsoft.com/office/drawing/2014/main" id="{CC001BBB-E7CD-45BA-AD4A-BA7A54E633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5" name="Freeform 152">
                  <a:extLst>
                    <a:ext uri="{FF2B5EF4-FFF2-40B4-BE49-F238E27FC236}">
                      <a16:creationId xmlns:a16="http://schemas.microsoft.com/office/drawing/2014/main" id="{712934E9-8678-4025-8E79-93DCB7038B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6" name="Freeform 153">
                  <a:extLst>
                    <a:ext uri="{FF2B5EF4-FFF2-40B4-BE49-F238E27FC236}">
                      <a16:creationId xmlns:a16="http://schemas.microsoft.com/office/drawing/2014/main" id="{3ED0F8B0-5962-42E3-8E26-4F60F11D9C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7" name="Freeform 154">
                  <a:extLst>
                    <a:ext uri="{FF2B5EF4-FFF2-40B4-BE49-F238E27FC236}">
                      <a16:creationId xmlns:a16="http://schemas.microsoft.com/office/drawing/2014/main" id="{5A2EA527-F67F-439C-AF3E-9EEC875F87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8" name="Freeform 155">
                  <a:extLst>
                    <a:ext uri="{FF2B5EF4-FFF2-40B4-BE49-F238E27FC236}">
                      <a16:creationId xmlns:a16="http://schemas.microsoft.com/office/drawing/2014/main" id="{87A9329A-DF42-47EF-862C-3878070E99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9" name="Freeform 156">
                  <a:extLst>
                    <a:ext uri="{FF2B5EF4-FFF2-40B4-BE49-F238E27FC236}">
                      <a16:creationId xmlns:a16="http://schemas.microsoft.com/office/drawing/2014/main" id="{804CCA62-8DD4-48D4-934A-10D16277CE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0" name="Freeform 157">
                  <a:extLst>
                    <a:ext uri="{FF2B5EF4-FFF2-40B4-BE49-F238E27FC236}">
                      <a16:creationId xmlns:a16="http://schemas.microsoft.com/office/drawing/2014/main" id="{F2E1FDAC-FEB9-4568-A114-0AABF9BF82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1" name="Freeform 158">
                  <a:extLst>
                    <a:ext uri="{FF2B5EF4-FFF2-40B4-BE49-F238E27FC236}">
                      <a16:creationId xmlns:a16="http://schemas.microsoft.com/office/drawing/2014/main" id="{C7570C77-0AA5-4A08-89AF-FF6F66FEBCC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2" name="Freeform 159">
                  <a:extLst>
                    <a:ext uri="{FF2B5EF4-FFF2-40B4-BE49-F238E27FC236}">
                      <a16:creationId xmlns:a16="http://schemas.microsoft.com/office/drawing/2014/main" id="{9ED9BED3-3E30-41BB-BF42-4ED37B3030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3" name="Freeform 160">
                  <a:extLst>
                    <a:ext uri="{FF2B5EF4-FFF2-40B4-BE49-F238E27FC236}">
                      <a16:creationId xmlns:a16="http://schemas.microsoft.com/office/drawing/2014/main" id="{EE9D1782-04F8-4392-A3E5-07B01A687F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4" name="Freeform 161">
                  <a:extLst>
                    <a:ext uri="{FF2B5EF4-FFF2-40B4-BE49-F238E27FC236}">
                      <a16:creationId xmlns:a16="http://schemas.microsoft.com/office/drawing/2014/main" id="{2779C6F4-0C19-4E0B-8D8A-4EEFC94309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5" name="Freeform 162">
                  <a:extLst>
                    <a:ext uri="{FF2B5EF4-FFF2-40B4-BE49-F238E27FC236}">
                      <a16:creationId xmlns:a16="http://schemas.microsoft.com/office/drawing/2014/main" id="{9D69607C-5E3E-41BA-B6E6-15F8865183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6" name="Freeform 163">
                  <a:extLst>
                    <a:ext uri="{FF2B5EF4-FFF2-40B4-BE49-F238E27FC236}">
                      <a16:creationId xmlns:a16="http://schemas.microsoft.com/office/drawing/2014/main" id="{45595657-DB13-4263-9EE1-E1F047B96F7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7" name="Freeform 164">
                  <a:extLst>
                    <a:ext uri="{FF2B5EF4-FFF2-40B4-BE49-F238E27FC236}">
                      <a16:creationId xmlns:a16="http://schemas.microsoft.com/office/drawing/2014/main" id="{E14EB1BE-7FA4-436F-A914-740F5573B7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8" name="Freeform 165">
                  <a:extLst>
                    <a:ext uri="{FF2B5EF4-FFF2-40B4-BE49-F238E27FC236}">
                      <a16:creationId xmlns:a16="http://schemas.microsoft.com/office/drawing/2014/main" id="{23D61BA2-ACEE-499E-852F-6AAC9B33B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9" name="Freeform 166">
                  <a:extLst>
                    <a:ext uri="{FF2B5EF4-FFF2-40B4-BE49-F238E27FC236}">
                      <a16:creationId xmlns:a16="http://schemas.microsoft.com/office/drawing/2014/main" id="{8569DABA-A8B9-47F2-88B2-C77F6E41B17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0" name="Freeform 167">
                  <a:extLst>
                    <a:ext uri="{FF2B5EF4-FFF2-40B4-BE49-F238E27FC236}">
                      <a16:creationId xmlns:a16="http://schemas.microsoft.com/office/drawing/2014/main" id="{2026A4A8-8301-4889-81F4-44BD20C104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1" name="Freeform 168">
                  <a:extLst>
                    <a:ext uri="{FF2B5EF4-FFF2-40B4-BE49-F238E27FC236}">
                      <a16:creationId xmlns:a16="http://schemas.microsoft.com/office/drawing/2014/main" id="{EC701E83-DD8A-4A8E-B12E-76EA48D92C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2" name="Freeform 169">
                  <a:extLst>
                    <a:ext uri="{FF2B5EF4-FFF2-40B4-BE49-F238E27FC236}">
                      <a16:creationId xmlns:a16="http://schemas.microsoft.com/office/drawing/2014/main" id="{0AA86DBF-28CD-4C6A-BDFA-16E5762EF7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3" name="Freeform 170">
                  <a:extLst>
                    <a:ext uri="{FF2B5EF4-FFF2-40B4-BE49-F238E27FC236}">
                      <a16:creationId xmlns:a16="http://schemas.microsoft.com/office/drawing/2014/main" id="{C6112987-683C-4595-9986-38300AAFAD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4" name="Freeform 171">
                  <a:extLst>
                    <a:ext uri="{FF2B5EF4-FFF2-40B4-BE49-F238E27FC236}">
                      <a16:creationId xmlns:a16="http://schemas.microsoft.com/office/drawing/2014/main" id="{21D3B54B-0317-4A8C-A6D1-CE0428571D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5" name="Freeform 172">
                  <a:extLst>
                    <a:ext uri="{FF2B5EF4-FFF2-40B4-BE49-F238E27FC236}">
                      <a16:creationId xmlns:a16="http://schemas.microsoft.com/office/drawing/2014/main" id="{FE71FF69-00AE-4921-AE4F-DA59C5DEE0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6" name="Freeform 173">
                  <a:extLst>
                    <a:ext uri="{FF2B5EF4-FFF2-40B4-BE49-F238E27FC236}">
                      <a16:creationId xmlns:a16="http://schemas.microsoft.com/office/drawing/2014/main" id="{E5188166-F572-4327-ADA0-F401351AB1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7" name="Freeform 174">
                  <a:extLst>
                    <a:ext uri="{FF2B5EF4-FFF2-40B4-BE49-F238E27FC236}">
                      <a16:creationId xmlns:a16="http://schemas.microsoft.com/office/drawing/2014/main" id="{A570E9B1-7A95-4FFD-B98E-2C716E6380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8" name="Freeform 175">
                  <a:extLst>
                    <a:ext uri="{FF2B5EF4-FFF2-40B4-BE49-F238E27FC236}">
                      <a16:creationId xmlns:a16="http://schemas.microsoft.com/office/drawing/2014/main" id="{F846E24D-5895-487B-8758-1FDA00AB89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9" name="Freeform 176">
                  <a:extLst>
                    <a:ext uri="{FF2B5EF4-FFF2-40B4-BE49-F238E27FC236}">
                      <a16:creationId xmlns:a16="http://schemas.microsoft.com/office/drawing/2014/main" id="{F35FE7E4-AF76-4401-BF39-7AC8DA46F3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0" name="Freeform 177">
                  <a:extLst>
                    <a:ext uri="{FF2B5EF4-FFF2-40B4-BE49-F238E27FC236}">
                      <a16:creationId xmlns:a16="http://schemas.microsoft.com/office/drawing/2014/main" id="{09670D77-EB3D-4BE6-A41B-54A1D3F0CB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1" name="Freeform 178">
                  <a:extLst>
                    <a:ext uri="{FF2B5EF4-FFF2-40B4-BE49-F238E27FC236}">
                      <a16:creationId xmlns:a16="http://schemas.microsoft.com/office/drawing/2014/main" id="{7F029DF1-5F28-441A-A0EB-B612A55F5D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2" name="Freeform 179">
                  <a:extLst>
                    <a:ext uri="{FF2B5EF4-FFF2-40B4-BE49-F238E27FC236}">
                      <a16:creationId xmlns:a16="http://schemas.microsoft.com/office/drawing/2014/main" id="{9D999429-0346-4E99-86EA-13424FD53E8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3" name="Freeform 180">
                  <a:extLst>
                    <a:ext uri="{FF2B5EF4-FFF2-40B4-BE49-F238E27FC236}">
                      <a16:creationId xmlns:a16="http://schemas.microsoft.com/office/drawing/2014/main" id="{2DCAD59F-BE07-47C4-A5B5-6871238D0D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4" name="Freeform 181">
                  <a:extLst>
                    <a:ext uri="{FF2B5EF4-FFF2-40B4-BE49-F238E27FC236}">
                      <a16:creationId xmlns:a16="http://schemas.microsoft.com/office/drawing/2014/main" id="{746B8AA2-F4EB-48B2-9D3D-5233E1CF81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5" name="Freeform 182">
                  <a:extLst>
                    <a:ext uri="{FF2B5EF4-FFF2-40B4-BE49-F238E27FC236}">
                      <a16:creationId xmlns:a16="http://schemas.microsoft.com/office/drawing/2014/main" id="{E3F4D292-DC61-4E5E-A512-764BF3C389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6" name="Freeform 183">
                  <a:extLst>
                    <a:ext uri="{FF2B5EF4-FFF2-40B4-BE49-F238E27FC236}">
                      <a16:creationId xmlns:a16="http://schemas.microsoft.com/office/drawing/2014/main" id="{D38ED51D-62B3-4DA3-91A3-67F97AD654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7" name="Freeform 184">
                  <a:extLst>
                    <a:ext uri="{FF2B5EF4-FFF2-40B4-BE49-F238E27FC236}">
                      <a16:creationId xmlns:a16="http://schemas.microsoft.com/office/drawing/2014/main" id="{3E12C174-8F43-4625-AF42-ECC620C60C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8" name="Freeform 185">
                  <a:extLst>
                    <a:ext uri="{FF2B5EF4-FFF2-40B4-BE49-F238E27FC236}">
                      <a16:creationId xmlns:a16="http://schemas.microsoft.com/office/drawing/2014/main" id="{082BA224-5938-465F-AB01-AFFF868F115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9" name="Freeform 186">
                  <a:extLst>
                    <a:ext uri="{FF2B5EF4-FFF2-40B4-BE49-F238E27FC236}">
                      <a16:creationId xmlns:a16="http://schemas.microsoft.com/office/drawing/2014/main" id="{0BA1E333-C79A-4A41-A656-FF89F2628A6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0" name="Freeform 187">
                  <a:extLst>
                    <a:ext uri="{FF2B5EF4-FFF2-40B4-BE49-F238E27FC236}">
                      <a16:creationId xmlns:a16="http://schemas.microsoft.com/office/drawing/2014/main" id="{E7ED1CCD-3761-4BA6-8D6E-86CC0801CF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1" name="Freeform 188">
                  <a:extLst>
                    <a:ext uri="{FF2B5EF4-FFF2-40B4-BE49-F238E27FC236}">
                      <a16:creationId xmlns:a16="http://schemas.microsoft.com/office/drawing/2014/main" id="{81084F75-638B-4135-9430-5C80837E4B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2" name="Freeform 189">
                  <a:extLst>
                    <a:ext uri="{FF2B5EF4-FFF2-40B4-BE49-F238E27FC236}">
                      <a16:creationId xmlns:a16="http://schemas.microsoft.com/office/drawing/2014/main" id="{A9DF6D9F-BD3B-44F2-B45A-387BBE9E392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3" name="Freeform 190">
                  <a:extLst>
                    <a:ext uri="{FF2B5EF4-FFF2-40B4-BE49-F238E27FC236}">
                      <a16:creationId xmlns:a16="http://schemas.microsoft.com/office/drawing/2014/main" id="{FAA387A7-C31E-4C7B-907A-40455E97A3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4" name="Freeform 191">
                  <a:extLst>
                    <a:ext uri="{FF2B5EF4-FFF2-40B4-BE49-F238E27FC236}">
                      <a16:creationId xmlns:a16="http://schemas.microsoft.com/office/drawing/2014/main" id="{384F3999-F9FA-422E-ABCD-74AC6BFD64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5" name="Freeform 192">
                  <a:extLst>
                    <a:ext uri="{FF2B5EF4-FFF2-40B4-BE49-F238E27FC236}">
                      <a16:creationId xmlns:a16="http://schemas.microsoft.com/office/drawing/2014/main" id="{70A583C8-5393-488D-84F5-2F3ABA0A06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6" name="Freeform 193">
                  <a:extLst>
                    <a:ext uri="{FF2B5EF4-FFF2-40B4-BE49-F238E27FC236}">
                      <a16:creationId xmlns:a16="http://schemas.microsoft.com/office/drawing/2014/main" id="{6FD868F8-93DD-4E4B-ABEF-F8C155F216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7" name="Freeform 194">
                  <a:extLst>
                    <a:ext uri="{FF2B5EF4-FFF2-40B4-BE49-F238E27FC236}">
                      <a16:creationId xmlns:a16="http://schemas.microsoft.com/office/drawing/2014/main" id="{984D8E79-CCF7-43F8-8D85-147FCAA7D752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8" name="Freeform 195">
                  <a:extLst>
                    <a:ext uri="{FF2B5EF4-FFF2-40B4-BE49-F238E27FC236}">
                      <a16:creationId xmlns:a16="http://schemas.microsoft.com/office/drawing/2014/main" id="{F0D3AB45-1667-4F78-8F93-25FE28BD74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9" name="Freeform 196">
                  <a:extLst>
                    <a:ext uri="{FF2B5EF4-FFF2-40B4-BE49-F238E27FC236}">
                      <a16:creationId xmlns:a16="http://schemas.microsoft.com/office/drawing/2014/main" id="{5CBE1BAA-FA62-4CFB-8DA8-0321153E7A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0" name="Freeform 197">
                  <a:extLst>
                    <a:ext uri="{FF2B5EF4-FFF2-40B4-BE49-F238E27FC236}">
                      <a16:creationId xmlns:a16="http://schemas.microsoft.com/office/drawing/2014/main" id="{9E0B9502-C3EB-4393-B65C-F2C9E9E4B2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1" name="Freeform 198">
                  <a:extLst>
                    <a:ext uri="{FF2B5EF4-FFF2-40B4-BE49-F238E27FC236}">
                      <a16:creationId xmlns:a16="http://schemas.microsoft.com/office/drawing/2014/main" id="{92144520-9AAD-4849-BC9B-49A711A9A2D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2" name="Freeform 199">
                  <a:extLst>
                    <a:ext uri="{FF2B5EF4-FFF2-40B4-BE49-F238E27FC236}">
                      <a16:creationId xmlns:a16="http://schemas.microsoft.com/office/drawing/2014/main" id="{C7D114DB-277C-4E81-8894-634A4119BF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3" name="Freeform 200">
                  <a:extLst>
                    <a:ext uri="{FF2B5EF4-FFF2-40B4-BE49-F238E27FC236}">
                      <a16:creationId xmlns:a16="http://schemas.microsoft.com/office/drawing/2014/main" id="{F0F8E7F7-3033-4BAA-B445-9261FCE12B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4" name="Freeform 201">
                  <a:extLst>
                    <a:ext uri="{FF2B5EF4-FFF2-40B4-BE49-F238E27FC236}">
                      <a16:creationId xmlns:a16="http://schemas.microsoft.com/office/drawing/2014/main" id="{0CD2AA5A-B01E-4DE6-BF36-2A5FCF03A7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5" name="Freeform 202">
                  <a:extLst>
                    <a:ext uri="{FF2B5EF4-FFF2-40B4-BE49-F238E27FC236}">
                      <a16:creationId xmlns:a16="http://schemas.microsoft.com/office/drawing/2014/main" id="{A22947C7-539B-49DE-81C9-F1F9565945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6" name="Freeform 203">
                  <a:extLst>
                    <a:ext uri="{FF2B5EF4-FFF2-40B4-BE49-F238E27FC236}">
                      <a16:creationId xmlns:a16="http://schemas.microsoft.com/office/drawing/2014/main" id="{E28C5A05-BDAA-4E2E-993B-8D3077DB4C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612" name="Freeform 205">
                <a:extLst>
                  <a:ext uri="{FF2B5EF4-FFF2-40B4-BE49-F238E27FC236}">
                    <a16:creationId xmlns:a16="http://schemas.microsoft.com/office/drawing/2014/main" id="{32D65627-C131-4DCE-A1E9-C9F90CD2DFA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3" name="Freeform 206">
                <a:extLst>
                  <a:ext uri="{FF2B5EF4-FFF2-40B4-BE49-F238E27FC236}">
                    <a16:creationId xmlns:a16="http://schemas.microsoft.com/office/drawing/2014/main" id="{A6F65907-6C8B-4E3E-831E-FCBC1FD577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4" name="Freeform 207">
                <a:extLst>
                  <a:ext uri="{FF2B5EF4-FFF2-40B4-BE49-F238E27FC236}">
                    <a16:creationId xmlns:a16="http://schemas.microsoft.com/office/drawing/2014/main" id="{3F1BCCB3-2F65-4C84-8EBD-518103C44CB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5" name="Freeform 208">
                <a:extLst>
                  <a:ext uri="{FF2B5EF4-FFF2-40B4-BE49-F238E27FC236}">
                    <a16:creationId xmlns:a16="http://schemas.microsoft.com/office/drawing/2014/main" id="{AC104AD9-FD96-4FE0-A1BA-B673D14C291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6" name="Freeform 209">
                <a:extLst>
                  <a:ext uri="{FF2B5EF4-FFF2-40B4-BE49-F238E27FC236}">
                    <a16:creationId xmlns:a16="http://schemas.microsoft.com/office/drawing/2014/main" id="{5266DD11-2548-4D4F-A4DC-2A891F5616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7" name="Freeform 210">
                <a:extLst>
                  <a:ext uri="{FF2B5EF4-FFF2-40B4-BE49-F238E27FC236}">
                    <a16:creationId xmlns:a16="http://schemas.microsoft.com/office/drawing/2014/main" id="{E411CC99-F1A8-43C2-82C9-B8D64F9B26A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8" name="Freeform 211">
                <a:extLst>
                  <a:ext uri="{FF2B5EF4-FFF2-40B4-BE49-F238E27FC236}">
                    <a16:creationId xmlns:a16="http://schemas.microsoft.com/office/drawing/2014/main" id="{4CFEF89A-DE53-4514-83FE-A6A1FFB1DC2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9" name="Freeform 212">
                <a:extLst>
                  <a:ext uri="{FF2B5EF4-FFF2-40B4-BE49-F238E27FC236}">
                    <a16:creationId xmlns:a16="http://schemas.microsoft.com/office/drawing/2014/main" id="{A5C1F7AE-E2C1-4A21-975F-0A068333071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0" name="Freeform 213">
                <a:extLst>
                  <a:ext uri="{FF2B5EF4-FFF2-40B4-BE49-F238E27FC236}">
                    <a16:creationId xmlns:a16="http://schemas.microsoft.com/office/drawing/2014/main" id="{5A002463-11B1-4B97-8B81-C3E46D33A76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1" name="Freeform 214">
                <a:extLst>
                  <a:ext uri="{FF2B5EF4-FFF2-40B4-BE49-F238E27FC236}">
                    <a16:creationId xmlns:a16="http://schemas.microsoft.com/office/drawing/2014/main" id="{0A36F4E1-DAEE-4F3F-A25C-AAEAC3D690E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2" name="Freeform 215">
                <a:extLst>
                  <a:ext uri="{FF2B5EF4-FFF2-40B4-BE49-F238E27FC236}">
                    <a16:creationId xmlns:a16="http://schemas.microsoft.com/office/drawing/2014/main" id="{0D92BC3D-A320-4439-801B-4D740329C31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3" name="Freeform 216">
                <a:extLst>
                  <a:ext uri="{FF2B5EF4-FFF2-40B4-BE49-F238E27FC236}">
                    <a16:creationId xmlns:a16="http://schemas.microsoft.com/office/drawing/2014/main" id="{425A6736-0A1E-4AB1-88E6-2F2009657EC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4" name="Freeform 217">
                <a:extLst>
                  <a:ext uri="{FF2B5EF4-FFF2-40B4-BE49-F238E27FC236}">
                    <a16:creationId xmlns:a16="http://schemas.microsoft.com/office/drawing/2014/main" id="{2583BE86-FC8D-41C3-B978-4068526D52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5" name="Freeform 218">
                <a:extLst>
                  <a:ext uri="{FF2B5EF4-FFF2-40B4-BE49-F238E27FC236}">
                    <a16:creationId xmlns:a16="http://schemas.microsoft.com/office/drawing/2014/main" id="{02A1AB5C-8255-45A9-A357-A22EFFEB43A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6" name="Freeform 219">
                <a:extLst>
                  <a:ext uri="{FF2B5EF4-FFF2-40B4-BE49-F238E27FC236}">
                    <a16:creationId xmlns:a16="http://schemas.microsoft.com/office/drawing/2014/main" id="{10691D90-E8A6-41BD-A74B-CC9D3676D4E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7" name="Freeform 220">
                <a:extLst>
                  <a:ext uri="{FF2B5EF4-FFF2-40B4-BE49-F238E27FC236}">
                    <a16:creationId xmlns:a16="http://schemas.microsoft.com/office/drawing/2014/main" id="{6C82CBD0-52B7-4EAA-B902-6A5C931E0CD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8" name="Freeform 221">
                <a:extLst>
                  <a:ext uri="{FF2B5EF4-FFF2-40B4-BE49-F238E27FC236}">
                    <a16:creationId xmlns:a16="http://schemas.microsoft.com/office/drawing/2014/main" id="{C3BA0D85-B3CB-4DA2-BB39-CF256CC5497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9" name="Freeform 222">
                <a:extLst>
                  <a:ext uri="{FF2B5EF4-FFF2-40B4-BE49-F238E27FC236}">
                    <a16:creationId xmlns:a16="http://schemas.microsoft.com/office/drawing/2014/main" id="{B7FE4D55-1745-40D1-B298-2A2D64CC43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0" name="Freeform 223">
                <a:extLst>
                  <a:ext uri="{FF2B5EF4-FFF2-40B4-BE49-F238E27FC236}">
                    <a16:creationId xmlns:a16="http://schemas.microsoft.com/office/drawing/2014/main" id="{3F65F2D0-F043-498D-8BF9-B16C502F38B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1" name="Freeform 224">
                <a:extLst>
                  <a:ext uri="{FF2B5EF4-FFF2-40B4-BE49-F238E27FC236}">
                    <a16:creationId xmlns:a16="http://schemas.microsoft.com/office/drawing/2014/main" id="{44A96065-BEEA-487E-9E22-098CD1EFF4C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2" name="Freeform 225">
                <a:extLst>
                  <a:ext uri="{FF2B5EF4-FFF2-40B4-BE49-F238E27FC236}">
                    <a16:creationId xmlns:a16="http://schemas.microsoft.com/office/drawing/2014/main" id="{0E8C4CB1-7E45-4CE4-BF15-CC7625408A4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3" name="Freeform 226">
                <a:extLst>
                  <a:ext uri="{FF2B5EF4-FFF2-40B4-BE49-F238E27FC236}">
                    <a16:creationId xmlns:a16="http://schemas.microsoft.com/office/drawing/2014/main" id="{D5C7F18A-E0BF-47D8-A703-2A111D5556D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4" name="Freeform 227">
                <a:extLst>
                  <a:ext uri="{FF2B5EF4-FFF2-40B4-BE49-F238E27FC236}">
                    <a16:creationId xmlns:a16="http://schemas.microsoft.com/office/drawing/2014/main" id="{190B8AC4-C437-4253-AD77-1F6CAD7AB48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5" name="Freeform 228">
                <a:extLst>
                  <a:ext uri="{FF2B5EF4-FFF2-40B4-BE49-F238E27FC236}">
                    <a16:creationId xmlns:a16="http://schemas.microsoft.com/office/drawing/2014/main" id="{47A4D48A-786A-49BE-99DB-0C60FD2E1A8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6" name="Freeform 229">
                <a:extLst>
                  <a:ext uri="{FF2B5EF4-FFF2-40B4-BE49-F238E27FC236}">
                    <a16:creationId xmlns:a16="http://schemas.microsoft.com/office/drawing/2014/main" id="{DA333AD9-D9EA-47C0-B46F-CF7CDD57196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7" name="Freeform 230">
                <a:extLst>
                  <a:ext uri="{FF2B5EF4-FFF2-40B4-BE49-F238E27FC236}">
                    <a16:creationId xmlns:a16="http://schemas.microsoft.com/office/drawing/2014/main" id="{20CDC0DB-BF9B-42BD-AF15-33FDD8020A2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8" name="Freeform 231">
                <a:extLst>
                  <a:ext uri="{FF2B5EF4-FFF2-40B4-BE49-F238E27FC236}">
                    <a16:creationId xmlns:a16="http://schemas.microsoft.com/office/drawing/2014/main" id="{2DE9CF74-9343-4A07-A986-199300BD72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9" name="Freeform 232">
                <a:extLst>
                  <a:ext uri="{FF2B5EF4-FFF2-40B4-BE49-F238E27FC236}">
                    <a16:creationId xmlns:a16="http://schemas.microsoft.com/office/drawing/2014/main" id="{A195157C-78D9-46E7-AB29-BC1E356278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0" name="Freeform 233">
                <a:extLst>
                  <a:ext uri="{FF2B5EF4-FFF2-40B4-BE49-F238E27FC236}">
                    <a16:creationId xmlns:a16="http://schemas.microsoft.com/office/drawing/2014/main" id="{D433820E-C6F1-4176-9C21-CED25895DD3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1" name="Freeform 234">
                <a:extLst>
                  <a:ext uri="{FF2B5EF4-FFF2-40B4-BE49-F238E27FC236}">
                    <a16:creationId xmlns:a16="http://schemas.microsoft.com/office/drawing/2014/main" id="{07E2471A-08CB-45C7-AC92-50920E80D0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2" name="Freeform 235">
                <a:extLst>
                  <a:ext uri="{FF2B5EF4-FFF2-40B4-BE49-F238E27FC236}">
                    <a16:creationId xmlns:a16="http://schemas.microsoft.com/office/drawing/2014/main" id="{D2C007B1-37E1-4532-B065-81348BB5461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3" name="Freeform 236">
                <a:extLst>
                  <a:ext uri="{FF2B5EF4-FFF2-40B4-BE49-F238E27FC236}">
                    <a16:creationId xmlns:a16="http://schemas.microsoft.com/office/drawing/2014/main" id="{CD28A12E-B7E4-4EC8-9BD2-0C6146BF152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4" name="Rectangle 237">
                <a:extLst>
                  <a:ext uri="{FF2B5EF4-FFF2-40B4-BE49-F238E27FC236}">
                    <a16:creationId xmlns:a16="http://schemas.microsoft.com/office/drawing/2014/main" id="{8179725F-18D8-4F02-A3E5-3E08615287DA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645" name="Freeform 238">
                <a:extLst>
                  <a:ext uri="{FF2B5EF4-FFF2-40B4-BE49-F238E27FC236}">
                    <a16:creationId xmlns:a16="http://schemas.microsoft.com/office/drawing/2014/main" id="{03A5CB0B-55F5-4ADC-855A-739ADC2886D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6" name="Freeform 239">
                <a:extLst>
                  <a:ext uri="{FF2B5EF4-FFF2-40B4-BE49-F238E27FC236}">
                    <a16:creationId xmlns:a16="http://schemas.microsoft.com/office/drawing/2014/main" id="{29AA1E12-0F28-45CB-B53E-3C32D16E61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7" name="Freeform 240">
                <a:extLst>
                  <a:ext uri="{FF2B5EF4-FFF2-40B4-BE49-F238E27FC236}">
                    <a16:creationId xmlns:a16="http://schemas.microsoft.com/office/drawing/2014/main" id="{33EEC2E9-380D-41D0-91D1-850A09A4C83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8" name="Freeform 241">
                <a:extLst>
                  <a:ext uri="{FF2B5EF4-FFF2-40B4-BE49-F238E27FC236}">
                    <a16:creationId xmlns:a16="http://schemas.microsoft.com/office/drawing/2014/main" id="{DF831772-7B40-4287-AC12-522B1266C9E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9" name="Freeform 242">
                <a:extLst>
                  <a:ext uri="{FF2B5EF4-FFF2-40B4-BE49-F238E27FC236}">
                    <a16:creationId xmlns:a16="http://schemas.microsoft.com/office/drawing/2014/main" id="{E731A37B-D87C-4677-93BF-23498A97CC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0" name="Freeform 243">
                <a:extLst>
                  <a:ext uri="{FF2B5EF4-FFF2-40B4-BE49-F238E27FC236}">
                    <a16:creationId xmlns:a16="http://schemas.microsoft.com/office/drawing/2014/main" id="{2EC59BC1-41AD-4D9F-BFE7-53E446B74EB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1" name="Freeform 244">
                <a:extLst>
                  <a:ext uri="{FF2B5EF4-FFF2-40B4-BE49-F238E27FC236}">
                    <a16:creationId xmlns:a16="http://schemas.microsoft.com/office/drawing/2014/main" id="{8EED5B64-5958-4C09-BF41-8C9332C6EDF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2" name="Freeform 245">
                <a:extLst>
                  <a:ext uri="{FF2B5EF4-FFF2-40B4-BE49-F238E27FC236}">
                    <a16:creationId xmlns:a16="http://schemas.microsoft.com/office/drawing/2014/main" id="{227F55DE-C31E-471F-BAA4-3B43299255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3" name="Freeform 246">
                <a:extLst>
                  <a:ext uri="{FF2B5EF4-FFF2-40B4-BE49-F238E27FC236}">
                    <a16:creationId xmlns:a16="http://schemas.microsoft.com/office/drawing/2014/main" id="{FE59D50F-BE7F-4D8A-B16D-61EA37A0C9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4" name="Freeform 247">
                <a:extLst>
                  <a:ext uri="{FF2B5EF4-FFF2-40B4-BE49-F238E27FC236}">
                    <a16:creationId xmlns:a16="http://schemas.microsoft.com/office/drawing/2014/main" id="{D467862B-BC1C-4C0E-B7F0-2017209F70C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5" name="Freeform 248">
                <a:extLst>
                  <a:ext uri="{FF2B5EF4-FFF2-40B4-BE49-F238E27FC236}">
                    <a16:creationId xmlns:a16="http://schemas.microsoft.com/office/drawing/2014/main" id="{D4F18C92-074F-4977-80F9-FE4D900861E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6" name="Freeform 249">
                <a:extLst>
                  <a:ext uri="{FF2B5EF4-FFF2-40B4-BE49-F238E27FC236}">
                    <a16:creationId xmlns:a16="http://schemas.microsoft.com/office/drawing/2014/main" id="{CCC07FE0-8CDF-45E3-B8D0-7131B39C96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7" name="Freeform 250">
                <a:extLst>
                  <a:ext uri="{FF2B5EF4-FFF2-40B4-BE49-F238E27FC236}">
                    <a16:creationId xmlns:a16="http://schemas.microsoft.com/office/drawing/2014/main" id="{9B33E534-EE47-426B-87FC-39C95F91297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8" name="Freeform 251">
                <a:extLst>
                  <a:ext uri="{FF2B5EF4-FFF2-40B4-BE49-F238E27FC236}">
                    <a16:creationId xmlns:a16="http://schemas.microsoft.com/office/drawing/2014/main" id="{857944E7-1606-4D2B-8059-7FD73D8C69A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9" name="Freeform 252">
                <a:extLst>
                  <a:ext uri="{FF2B5EF4-FFF2-40B4-BE49-F238E27FC236}">
                    <a16:creationId xmlns:a16="http://schemas.microsoft.com/office/drawing/2014/main" id="{636CDA6F-672A-4C40-8521-DCE6BBA493D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0" name="Freeform 253">
                <a:extLst>
                  <a:ext uri="{FF2B5EF4-FFF2-40B4-BE49-F238E27FC236}">
                    <a16:creationId xmlns:a16="http://schemas.microsoft.com/office/drawing/2014/main" id="{9A17CE12-023E-4EF4-9EF1-37A82951993D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1" name="Freeform 254">
                <a:extLst>
                  <a:ext uri="{FF2B5EF4-FFF2-40B4-BE49-F238E27FC236}">
                    <a16:creationId xmlns:a16="http://schemas.microsoft.com/office/drawing/2014/main" id="{8F9C4687-7BEA-4FDD-BEB5-98DAC8469DD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2" name="Freeform 255">
                <a:extLst>
                  <a:ext uri="{FF2B5EF4-FFF2-40B4-BE49-F238E27FC236}">
                    <a16:creationId xmlns:a16="http://schemas.microsoft.com/office/drawing/2014/main" id="{0F715804-FD63-4C52-AE07-5814AACBACC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3" name="Freeform 256">
                <a:extLst>
                  <a:ext uri="{FF2B5EF4-FFF2-40B4-BE49-F238E27FC236}">
                    <a16:creationId xmlns:a16="http://schemas.microsoft.com/office/drawing/2014/main" id="{600B800C-FE24-47E7-BD62-B5B0F100988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4" name="Freeform 257">
                <a:extLst>
                  <a:ext uri="{FF2B5EF4-FFF2-40B4-BE49-F238E27FC236}">
                    <a16:creationId xmlns:a16="http://schemas.microsoft.com/office/drawing/2014/main" id="{BB5A5948-4D40-4A71-BCDE-624EC898B64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5" name="Freeform 258">
                <a:extLst>
                  <a:ext uri="{FF2B5EF4-FFF2-40B4-BE49-F238E27FC236}">
                    <a16:creationId xmlns:a16="http://schemas.microsoft.com/office/drawing/2014/main" id="{7E5F90A4-B98D-4D7B-955A-4CA6A36FD3C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6" name="Freeform 259">
                <a:extLst>
                  <a:ext uri="{FF2B5EF4-FFF2-40B4-BE49-F238E27FC236}">
                    <a16:creationId xmlns:a16="http://schemas.microsoft.com/office/drawing/2014/main" id="{486876E0-F965-40F6-8E3F-48A9AAD52CA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7" name="Freeform 260">
                <a:extLst>
                  <a:ext uri="{FF2B5EF4-FFF2-40B4-BE49-F238E27FC236}">
                    <a16:creationId xmlns:a16="http://schemas.microsoft.com/office/drawing/2014/main" id="{76FE4151-B8DD-4DCF-ABBD-8FAC423BAA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581" name="Freeform 29">
              <a:extLst>
                <a:ext uri="{FF2B5EF4-FFF2-40B4-BE49-F238E27FC236}">
                  <a16:creationId xmlns:a16="http://schemas.microsoft.com/office/drawing/2014/main" id="{90FD48C0-6C1E-49A1-B3C4-13AFDCE78E65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2" name="Freeform 38">
              <a:extLst>
                <a:ext uri="{FF2B5EF4-FFF2-40B4-BE49-F238E27FC236}">
                  <a16:creationId xmlns:a16="http://schemas.microsoft.com/office/drawing/2014/main" id="{FB5A1598-3737-4148-A72F-B2030FDCFDFD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3" name="Freeform 40">
              <a:extLst>
                <a:ext uri="{FF2B5EF4-FFF2-40B4-BE49-F238E27FC236}">
                  <a16:creationId xmlns:a16="http://schemas.microsoft.com/office/drawing/2014/main" id="{3D15D10F-C94E-4223-BC5C-8B99EE8998FA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4" name="Freeform 41">
              <a:extLst>
                <a:ext uri="{FF2B5EF4-FFF2-40B4-BE49-F238E27FC236}">
                  <a16:creationId xmlns:a16="http://schemas.microsoft.com/office/drawing/2014/main" id="{DD5D655F-199A-4D03-9195-8593ED468D52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5" name="Freeform 42">
              <a:extLst>
                <a:ext uri="{FF2B5EF4-FFF2-40B4-BE49-F238E27FC236}">
                  <a16:creationId xmlns:a16="http://schemas.microsoft.com/office/drawing/2014/main" id="{F1D19DD0-0582-4EB1-98F6-C0F5385F17B4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6" name="Freeform 43">
              <a:extLst>
                <a:ext uri="{FF2B5EF4-FFF2-40B4-BE49-F238E27FC236}">
                  <a16:creationId xmlns:a16="http://schemas.microsoft.com/office/drawing/2014/main" id="{2F4EC07E-A4F0-47FD-82E2-8994FE301F5D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7" name="Freeform 44">
              <a:extLst>
                <a:ext uri="{FF2B5EF4-FFF2-40B4-BE49-F238E27FC236}">
                  <a16:creationId xmlns:a16="http://schemas.microsoft.com/office/drawing/2014/main" id="{C6E6AAD1-6380-4301-B6E9-88300787A1F6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8" name="Freeform 45">
              <a:extLst>
                <a:ext uri="{FF2B5EF4-FFF2-40B4-BE49-F238E27FC236}">
                  <a16:creationId xmlns:a16="http://schemas.microsoft.com/office/drawing/2014/main" id="{97C9152D-225B-415C-95BD-DFFDEE517056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9" name="Freeform 49">
              <a:extLst>
                <a:ext uri="{FF2B5EF4-FFF2-40B4-BE49-F238E27FC236}">
                  <a16:creationId xmlns:a16="http://schemas.microsoft.com/office/drawing/2014/main" id="{B86F623D-4FC2-4A02-BCD0-2D6F28AF9321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0" name="Freeform 50">
              <a:extLst>
                <a:ext uri="{FF2B5EF4-FFF2-40B4-BE49-F238E27FC236}">
                  <a16:creationId xmlns:a16="http://schemas.microsoft.com/office/drawing/2014/main" id="{C4A606A1-3157-4B3F-B89D-0BB78C4D0ADA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1" name="Freeform 55">
              <a:extLst>
                <a:ext uri="{FF2B5EF4-FFF2-40B4-BE49-F238E27FC236}">
                  <a16:creationId xmlns:a16="http://schemas.microsoft.com/office/drawing/2014/main" id="{02FC1DE5-3DF1-4621-926E-6228686E6376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2" name="Freeform 56">
              <a:extLst>
                <a:ext uri="{FF2B5EF4-FFF2-40B4-BE49-F238E27FC236}">
                  <a16:creationId xmlns:a16="http://schemas.microsoft.com/office/drawing/2014/main" id="{E74B6637-A804-4731-8BF0-BE65DB6D89FA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3" name="Freeform 57">
              <a:extLst>
                <a:ext uri="{FF2B5EF4-FFF2-40B4-BE49-F238E27FC236}">
                  <a16:creationId xmlns:a16="http://schemas.microsoft.com/office/drawing/2014/main" id="{F3DA6826-7C69-4D16-9188-D24C9A4063D4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4" name="Freeform 58">
              <a:extLst>
                <a:ext uri="{FF2B5EF4-FFF2-40B4-BE49-F238E27FC236}">
                  <a16:creationId xmlns:a16="http://schemas.microsoft.com/office/drawing/2014/main" id="{2999EB88-E199-47BC-9F2B-59556099E007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5" name="Freeform 59">
              <a:extLst>
                <a:ext uri="{FF2B5EF4-FFF2-40B4-BE49-F238E27FC236}">
                  <a16:creationId xmlns:a16="http://schemas.microsoft.com/office/drawing/2014/main" id="{88759D9D-DFC2-43D5-AD36-F609320DD4B2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6" name="Freeform 60">
              <a:extLst>
                <a:ext uri="{FF2B5EF4-FFF2-40B4-BE49-F238E27FC236}">
                  <a16:creationId xmlns:a16="http://schemas.microsoft.com/office/drawing/2014/main" id="{D7B98930-CDFA-4156-8754-95510FAD3C92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7" name="Freeform 61">
              <a:extLst>
                <a:ext uri="{FF2B5EF4-FFF2-40B4-BE49-F238E27FC236}">
                  <a16:creationId xmlns:a16="http://schemas.microsoft.com/office/drawing/2014/main" id="{4A3A3DA0-4551-401F-AA5C-CB4F7BB53944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8" name="Freeform 73">
              <a:extLst>
                <a:ext uri="{FF2B5EF4-FFF2-40B4-BE49-F238E27FC236}">
                  <a16:creationId xmlns:a16="http://schemas.microsoft.com/office/drawing/2014/main" id="{F1401A0A-0103-4FC2-A025-C97903B7DC54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9" name="Freeform 74">
              <a:extLst>
                <a:ext uri="{FF2B5EF4-FFF2-40B4-BE49-F238E27FC236}">
                  <a16:creationId xmlns:a16="http://schemas.microsoft.com/office/drawing/2014/main" id="{217C5B3B-F7E7-446F-B716-F2D1FF860FC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0" name="Freeform 75">
              <a:extLst>
                <a:ext uri="{FF2B5EF4-FFF2-40B4-BE49-F238E27FC236}">
                  <a16:creationId xmlns:a16="http://schemas.microsoft.com/office/drawing/2014/main" id="{E761958A-DBFE-4520-BDDC-1A22538325F0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1" name="Freeform 76">
              <a:extLst>
                <a:ext uri="{FF2B5EF4-FFF2-40B4-BE49-F238E27FC236}">
                  <a16:creationId xmlns:a16="http://schemas.microsoft.com/office/drawing/2014/main" id="{445D938A-1FA9-46CD-8273-A543A9EC97E1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2" name="Freeform 78">
              <a:extLst>
                <a:ext uri="{FF2B5EF4-FFF2-40B4-BE49-F238E27FC236}">
                  <a16:creationId xmlns:a16="http://schemas.microsoft.com/office/drawing/2014/main" id="{C65477BA-7A3C-441E-BCB5-76BE1F9930E9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3" name="Freeform 79">
              <a:extLst>
                <a:ext uri="{FF2B5EF4-FFF2-40B4-BE49-F238E27FC236}">
                  <a16:creationId xmlns:a16="http://schemas.microsoft.com/office/drawing/2014/main" id="{F02BA6C4-8729-4E17-A553-FF76B5C48536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4" name="Freeform 81">
              <a:extLst>
                <a:ext uri="{FF2B5EF4-FFF2-40B4-BE49-F238E27FC236}">
                  <a16:creationId xmlns:a16="http://schemas.microsoft.com/office/drawing/2014/main" id="{9556F7E2-4E99-47C4-AFCC-7CE22EC39ED2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5" name="Freeform 83">
              <a:extLst>
                <a:ext uri="{FF2B5EF4-FFF2-40B4-BE49-F238E27FC236}">
                  <a16:creationId xmlns:a16="http://schemas.microsoft.com/office/drawing/2014/main" id="{B552863F-51C3-49C8-957D-60ACBB7B7F86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6" name="Freeform 84">
              <a:extLst>
                <a:ext uri="{FF2B5EF4-FFF2-40B4-BE49-F238E27FC236}">
                  <a16:creationId xmlns:a16="http://schemas.microsoft.com/office/drawing/2014/main" id="{C6BBCC56-5285-411B-A45B-8BBDCD4BBBE6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7" name="Freeform 91">
              <a:extLst>
                <a:ext uri="{FF2B5EF4-FFF2-40B4-BE49-F238E27FC236}">
                  <a16:creationId xmlns:a16="http://schemas.microsoft.com/office/drawing/2014/main" id="{EFBFA905-B48A-4D2B-A98C-BDD7C0D1D6F5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8" name="Freeform 95">
              <a:extLst>
                <a:ext uri="{FF2B5EF4-FFF2-40B4-BE49-F238E27FC236}">
                  <a16:creationId xmlns:a16="http://schemas.microsoft.com/office/drawing/2014/main" id="{7F80F259-316E-4AF1-90AD-E806E2ECD75C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9" name="Freeform 96">
              <a:extLst>
                <a:ext uri="{FF2B5EF4-FFF2-40B4-BE49-F238E27FC236}">
                  <a16:creationId xmlns:a16="http://schemas.microsoft.com/office/drawing/2014/main" id="{5C6205E9-7EB5-4CEF-BC99-89544677E0C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10" name="Freeform 98">
              <a:extLst>
                <a:ext uri="{FF2B5EF4-FFF2-40B4-BE49-F238E27FC236}">
                  <a16:creationId xmlns:a16="http://schemas.microsoft.com/office/drawing/2014/main" id="{EF34C3D3-BD6E-4138-99EA-68CC2A7F0517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grpSp>
        <xdr:nvGrpSpPr>
          <xdr:cNvPr id="292" name="Title Border" descr="Flourish pattern" title="Title Border">
            <a:extLst>
              <a:ext uri="{FF2B5EF4-FFF2-40B4-BE49-F238E27FC236}">
                <a16:creationId xmlns:a16="http://schemas.microsoft.com/office/drawing/2014/main" id="{28310435-17C2-4A7E-93BD-D50EB5CA9A50}"/>
              </a:ext>
            </a:extLst>
          </xdr:cNvPr>
          <xdr:cNvGrpSpPr/>
        </xdr:nvGrpSpPr>
        <xdr:grpSpPr>
          <a:xfrm>
            <a:off x="5139267" y="8466"/>
            <a:ext cx="5154612" cy="177800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293" name="Group 3">
              <a:extLst>
                <a:ext uri="{FF2B5EF4-FFF2-40B4-BE49-F238E27FC236}">
                  <a16:creationId xmlns:a16="http://schemas.microsoft.com/office/drawing/2014/main" id="{A9E3B3AE-6981-491F-8EEF-E65511C325AE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324" name="Group 204">
                <a:extLst>
                  <a:ext uri="{FF2B5EF4-FFF2-40B4-BE49-F238E27FC236}">
                    <a16:creationId xmlns:a16="http://schemas.microsoft.com/office/drawing/2014/main" id="{4D7401D4-D7B8-48EF-A88B-6B913C8AC711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381" name="Freeform 5">
                  <a:extLst>
                    <a:ext uri="{FF2B5EF4-FFF2-40B4-BE49-F238E27FC236}">
                      <a16:creationId xmlns:a16="http://schemas.microsoft.com/office/drawing/2014/main" id="{4C03C6BF-813D-4E85-8E29-D0AF59CFC1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2" name="Freeform 6">
                  <a:extLst>
                    <a:ext uri="{FF2B5EF4-FFF2-40B4-BE49-F238E27FC236}">
                      <a16:creationId xmlns:a16="http://schemas.microsoft.com/office/drawing/2014/main" id="{3E6F7934-1171-4201-83BC-ED1E00F5C8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3" name="Freeform 7">
                  <a:extLst>
                    <a:ext uri="{FF2B5EF4-FFF2-40B4-BE49-F238E27FC236}">
                      <a16:creationId xmlns:a16="http://schemas.microsoft.com/office/drawing/2014/main" id="{97B415A3-1406-4B20-B088-3E632B85566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4" name="Freeform 8">
                  <a:extLst>
                    <a:ext uri="{FF2B5EF4-FFF2-40B4-BE49-F238E27FC236}">
                      <a16:creationId xmlns:a16="http://schemas.microsoft.com/office/drawing/2014/main" id="{CA4BF582-965D-462C-867E-69D97B5A57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5" name="Freeform 9">
                  <a:extLst>
                    <a:ext uri="{FF2B5EF4-FFF2-40B4-BE49-F238E27FC236}">
                      <a16:creationId xmlns:a16="http://schemas.microsoft.com/office/drawing/2014/main" id="{B33E58CD-5689-456B-983F-4187AF997F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6" name="Freeform 10">
                  <a:extLst>
                    <a:ext uri="{FF2B5EF4-FFF2-40B4-BE49-F238E27FC236}">
                      <a16:creationId xmlns:a16="http://schemas.microsoft.com/office/drawing/2014/main" id="{E6C16C8D-1878-4BA8-A22D-971F8B4F3F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7" name="Freeform 11">
                  <a:extLst>
                    <a:ext uri="{FF2B5EF4-FFF2-40B4-BE49-F238E27FC236}">
                      <a16:creationId xmlns:a16="http://schemas.microsoft.com/office/drawing/2014/main" id="{F3F9481B-F742-4CFF-A92C-1B32758B76F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8" name="Freeform 12">
                  <a:extLst>
                    <a:ext uri="{FF2B5EF4-FFF2-40B4-BE49-F238E27FC236}">
                      <a16:creationId xmlns:a16="http://schemas.microsoft.com/office/drawing/2014/main" id="{1812ED3B-FD68-4E1D-AA38-CB27A37051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9" name="Freeform 13">
                  <a:extLst>
                    <a:ext uri="{FF2B5EF4-FFF2-40B4-BE49-F238E27FC236}">
                      <a16:creationId xmlns:a16="http://schemas.microsoft.com/office/drawing/2014/main" id="{B0379116-0DC8-434D-A4AC-8B5A90DFF35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0" name="Freeform 14">
                  <a:extLst>
                    <a:ext uri="{FF2B5EF4-FFF2-40B4-BE49-F238E27FC236}">
                      <a16:creationId xmlns:a16="http://schemas.microsoft.com/office/drawing/2014/main" id="{30AB66E2-D051-4721-9F27-223C20EC4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1" name="Freeform 15">
                  <a:extLst>
                    <a:ext uri="{FF2B5EF4-FFF2-40B4-BE49-F238E27FC236}">
                      <a16:creationId xmlns:a16="http://schemas.microsoft.com/office/drawing/2014/main" id="{065F5AB5-AEA7-49B3-B985-4214E3EEE7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2" name="Freeform 16">
                  <a:extLst>
                    <a:ext uri="{FF2B5EF4-FFF2-40B4-BE49-F238E27FC236}">
                      <a16:creationId xmlns:a16="http://schemas.microsoft.com/office/drawing/2014/main" id="{5BC199E5-CAF6-42D4-95C9-05D2216B21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3" name="Freeform 17">
                  <a:extLst>
                    <a:ext uri="{FF2B5EF4-FFF2-40B4-BE49-F238E27FC236}">
                      <a16:creationId xmlns:a16="http://schemas.microsoft.com/office/drawing/2014/main" id="{07710CA3-C7A2-41AE-9117-5A0D326800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4" name="Freeform 18">
                  <a:extLst>
                    <a:ext uri="{FF2B5EF4-FFF2-40B4-BE49-F238E27FC236}">
                      <a16:creationId xmlns:a16="http://schemas.microsoft.com/office/drawing/2014/main" id="{CE9F16F1-A2B0-45C3-950B-36C9C377A1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5" name="Freeform 19">
                  <a:extLst>
                    <a:ext uri="{FF2B5EF4-FFF2-40B4-BE49-F238E27FC236}">
                      <a16:creationId xmlns:a16="http://schemas.microsoft.com/office/drawing/2014/main" id="{A00D3671-079C-4D1B-9DB5-91989F37EC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6" name="Freeform 20">
                  <a:extLst>
                    <a:ext uri="{FF2B5EF4-FFF2-40B4-BE49-F238E27FC236}">
                      <a16:creationId xmlns:a16="http://schemas.microsoft.com/office/drawing/2014/main" id="{FFB743EA-9C9E-4AF1-9386-F3A6BF90FC5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7" name="Freeform 21">
                  <a:extLst>
                    <a:ext uri="{FF2B5EF4-FFF2-40B4-BE49-F238E27FC236}">
                      <a16:creationId xmlns:a16="http://schemas.microsoft.com/office/drawing/2014/main" id="{9511C683-93BC-4642-8E1F-03A1B9269F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8" name="Freeform 22">
                  <a:extLst>
                    <a:ext uri="{FF2B5EF4-FFF2-40B4-BE49-F238E27FC236}">
                      <a16:creationId xmlns:a16="http://schemas.microsoft.com/office/drawing/2014/main" id="{0C8AF386-1676-4EE8-A543-FA3A81F30A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9" name="Freeform 23">
                  <a:extLst>
                    <a:ext uri="{FF2B5EF4-FFF2-40B4-BE49-F238E27FC236}">
                      <a16:creationId xmlns:a16="http://schemas.microsoft.com/office/drawing/2014/main" id="{805371CC-AE17-45FE-9D34-5A3F565F038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0" name="Freeform 24">
                  <a:extLst>
                    <a:ext uri="{FF2B5EF4-FFF2-40B4-BE49-F238E27FC236}">
                      <a16:creationId xmlns:a16="http://schemas.microsoft.com/office/drawing/2014/main" id="{92620AAA-142B-4F17-BE33-705AAE7D00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1" name="Freeform 25">
                  <a:extLst>
                    <a:ext uri="{FF2B5EF4-FFF2-40B4-BE49-F238E27FC236}">
                      <a16:creationId xmlns:a16="http://schemas.microsoft.com/office/drawing/2014/main" id="{AF7677F1-6457-4782-B493-AB099723D7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2" name="Freeform 26">
                  <a:extLst>
                    <a:ext uri="{FF2B5EF4-FFF2-40B4-BE49-F238E27FC236}">
                      <a16:creationId xmlns:a16="http://schemas.microsoft.com/office/drawing/2014/main" id="{FF2E2C78-11E4-412C-8656-D02B83CBEB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3" name="Freeform 27">
                  <a:extLst>
                    <a:ext uri="{FF2B5EF4-FFF2-40B4-BE49-F238E27FC236}">
                      <a16:creationId xmlns:a16="http://schemas.microsoft.com/office/drawing/2014/main" id="{3012B460-960C-423A-820F-6CC24A5AA38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4" name="Freeform 28">
                  <a:extLst>
                    <a:ext uri="{FF2B5EF4-FFF2-40B4-BE49-F238E27FC236}">
                      <a16:creationId xmlns:a16="http://schemas.microsoft.com/office/drawing/2014/main" id="{7ED66B13-7E01-4204-98DE-FBB23B7DFEF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5" name="Freeform 29">
                  <a:extLst>
                    <a:ext uri="{FF2B5EF4-FFF2-40B4-BE49-F238E27FC236}">
                      <a16:creationId xmlns:a16="http://schemas.microsoft.com/office/drawing/2014/main" id="{5FD865CE-724D-4311-BED3-0C5D319A45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6" name="Freeform 30">
                  <a:extLst>
                    <a:ext uri="{FF2B5EF4-FFF2-40B4-BE49-F238E27FC236}">
                      <a16:creationId xmlns:a16="http://schemas.microsoft.com/office/drawing/2014/main" id="{BCFE5DD3-6204-4BCC-A2DB-E8E1EDF00EE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7" name="Freeform 31">
                  <a:extLst>
                    <a:ext uri="{FF2B5EF4-FFF2-40B4-BE49-F238E27FC236}">
                      <a16:creationId xmlns:a16="http://schemas.microsoft.com/office/drawing/2014/main" id="{5F463536-CEE0-4CC1-881E-2C736D8A1E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8" name="Freeform 32">
                  <a:extLst>
                    <a:ext uri="{FF2B5EF4-FFF2-40B4-BE49-F238E27FC236}">
                      <a16:creationId xmlns:a16="http://schemas.microsoft.com/office/drawing/2014/main" id="{2D9EB6E1-2C71-4A04-9C43-7F2D73ACA26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9" name="Freeform 33">
                  <a:extLst>
                    <a:ext uri="{FF2B5EF4-FFF2-40B4-BE49-F238E27FC236}">
                      <a16:creationId xmlns:a16="http://schemas.microsoft.com/office/drawing/2014/main" id="{917779A2-936A-4A4A-84DA-79D84387BB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0" name="Freeform 34">
                  <a:extLst>
                    <a:ext uri="{FF2B5EF4-FFF2-40B4-BE49-F238E27FC236}">
                      <a16:creationId xmlns:a16="http://schemas.microsoft.com/office/drawing/2014/main" id="{D710F914-89F0-4144-9AEA-3580A659662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1" name="Freeform 35">
                  <a:extLst>
                    <a:ext uri="{FF2B5EF4-FFF2-40B4-BE49-F238E27FC236}">
                      <a16:creationId xmlns:a16="http://schemas.microsoft.com/office/drawing/2014/main" id="{6886795F-477A-4A72-9C35-24D2388FFA7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2" name="Freeform 36">
                  <a:extLst>
                    <a:ext uri="{FF2B5EF4-FFF2-40B4-BE49-F238E27FC236}">
                      <a16:creationId xmlns:a16="http://schemas.microsoft.com/office/drawing/2014/main" id="{53339085-BB4B-458A-87F3-933CC4DFD1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3" name="Freeform 37">
                  <a:extLst>
                    <a:ext uri="{FF2B5EF4-FFF2-40B4-BE49-F238E27FC236}">
                      <a16:creationId xmlns:a16="http://schemas.microsoft.com/office/drawing/2014/main" id="{802314D4-4FAE-402D-897A-4F2E0ACA168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4" name="Freeform 38">
                  <a:extLst>
                    <a:ext uri="{FF2B5EF4-FFF2-40B4-BE49-F238E27FC236}">
                      <a16:creationId xmlns:a16="http://schemas.microsoft.com/office/drawing/2014/main" id="{EB5A163F-1046-4072-9693-033BEFA7E8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5" name="Freeform 39">
                  <a:extLst>
                    <a:ext uri="{FF2B5EF4-FFF2-40B4-BE49-F238E27FC236}">
                      <a16:creationId xmlns:a16="http://schemas.microsoft.com/office/drawing/2014/main" id="{78AF0CCD-E15A-4C3A-8981-FFCFDD0533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6" name="Freeform 40">
                  <a:extLst>
                    <a:ext uri="{FF2B5EF4-FFF2-40B4-BE49-F238E27FC236}">
                      <a16:creationId xmlns:a16="http://schemas.microsoft.com/office/drawing/2014/main" id="{8F7F4654-74FA-4005-A94A-84992DC10B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7" name="Freeform 41">
                  <a:extLst>
                    <a:ext uri="{FF2B5EF4-FFF2-40B4-BE49-F238E27FC236}">
                      <a16:creationId xmlns:a16="http://schemas.microsoft.com/office/drawing/2014/main" id="{CDBD0F8E-3BA7-4EB7-9994-8A0AFE2383A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8" name="Freeform 42">
                  <a:extLst>
                    <a:ext uri="{FF2B5EF4-FFF2-40B4-BE49-F238E27FC236}">
                      <a16:creationId xmlns:a16="http://schemas.microsoft.com/office/drawing/2014/main" id="{BEF1E7F3-8F16-472A-9EA3-F2C121D6D1D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9" name="Freeform 43">
                  <a:extLst>
                    <a:ext uri="{FF2B5EF4-FFF2-40B4-BE49-F238E27FC236}">
                      <a16:creationId xmlns:a16="http://schemas.microsoft.com/office/drawing/2014/main" id="{9AF1845B-5A19-45EA-8C9B-C338B7E49E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0" name="Freeform 44">
                  <a:extLst>
                    <a:ext uri="{FF2B5EF4-FFF2-40B4-BE49-F238E27FC236}">
                      <a16:creationId xmlns:a16="http://schemas.microsoft.com/office/drawing/2014/main" id="{AFA0C64F-CC57-4704-84E5-9C32C35A72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1" name="Freeform 45">
                  <a:extLst>
                    <a:ext uri="{FF2B5EF4-FFF2-40B4-BE49-F238E27FC236}">
                      <a16:creationId xmlns:a16="http://schemas.microsoft.com/office/drawing/2014/main" id="{9A829E57-2639-4AA5-9DC4-59A46656D9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2" name="Freeform 46">
                  <a:extLst>
                    <a:ext uri="{FF2B5EF4-FFF2-40B4-BE49-F238E27FC236}">
                      <a16:creationId xmlns:a16="http://schemas.microsoft.com/office/drawing/2014/main" id="{58C15D5B-502E-4FEB-A91A-B18574C8D6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3" name="Freeform 47">
                  <a:extLst>
                    <a:ext uri="{FF2B5EF4-FFF2-40B4-BE49-F238E27FC236}">
                      <a16:creationId xmlns:a16="http://schemas.microsoft.com/office/drawing/2014/main" id="{8A182EEA-0851-4E1C-B24C-1A7E245A5A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4" name="Freeform 48">
                  <a:extLst>
                    <a:ext uri="{FF2B5EF4-FFF2-40B4-BE49-F238E27FC236}">
                      <a16:creationId xmlns:a16="http://schemas.microsoft.com/office/drawing/2014/main" id="{E57B4189-397A-459D-9142-176AA37643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5" name="Freeform 49">
                  <a:extLst>
                    <a:ext uri="{FF2B5EF4-FFF2-40B4-BE49-F238E27FC236}">
                      <a16:creationId xmlns:a16="http://schemas.microsoft.com/office/drawing/2014/main" id="{0487DCE4-3DBA-49F7-84A9-C7807810E6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6" name="Freeform 50">
                  <a:extLst>
                    <a:ext uri="{FF2B5EF4-FFF2-40B4-BE49-F238E27FC236}">
                      <a16:creationId xmlns:a16="http://schemas.microsoft.com/office/drawing/2014/main" id="{D99FF92F-D997-4259-99C0-54BAA196C1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7" name="Freeform 51">
                  <a:extLst>
                    <a:ext uri="{FF2B5EF4-FFF2-40B4-BE49-F238E27FC236}">
                      <a16:creationId xmlns:a16="http://schemas.microsoft.com/office/drawing/2014/main" id="{97909401-6519-4F43-AB07-FD104615CC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8" name="Freeform 52">
                  <a:extLst>
                    <a:ext uri="{FF2B5EF4-FFF2-40B4-BE49-F238E27FC236}">
                      <a16:creationId xmlns:a16="http://schemas.microsoft.com/office/drawing/2014/main" id="{893F777A-9B5A-4341-BD9F-3900C8D8ED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9" name="Freeform 53">
                  <a:extLst>
                    <a:ext uri="{FF2B5EF4-FFF2-40B4-BE49-F238E27FC236}">
                      <a16:creationId xmlns:a16="http://schemas.microsoft.com/office/drawing/2014/main" id="{C60E2623-4460-458B-9D2E-2EA2BD29AC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0" name="Freeform 54">
                  <a:extLst>
                    <a:ext uri="{FF2B5EF4-FFF2-40B4-BE49-F238E27FC236}">
                      <a16:creationId xmlns:a16="http://schemas.microsoft.com/office/drawing/2014/main" id="{E48A1BFF-0C67-414D-8329-4E14C38875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1" name="Freeform 55">
                  <a:extLst>
                    <a:ext uri="{FF2B5EF4-FFF2-40B4-BE49-F238E27FC236}">
                      <a16:creationId xmlns:a16="http://schemas.microsoft.com/office/drawing/2014/main" id="{B80E77B2-5027-41A9-9F9D-B81B2199ADC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2" name="Freeform 56">
                  <a:extLst>
                    <a:ext uri="{FF2B5EF4-FFF2-40B4-BE49-F238E27FC236}">
                      <a16:creationId xmlns:a16="http://schemas.microsoft.com/office/drawing/2014/main" id="{B9B1B6F5-14D5-4465-B41A-B1FC534C5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3" name="Freeform 57">
                  <a:extLst>
                    <a:ext uri="{FF2B5EF4-FFF2-40B4-BE49-F238E27FC236}">
                      <a16:creationId xmlns:a16="http://schemas.microsoft.com/office/drawing/2014/main" id="{F1FBD318-9A1E-4255-B06A-1E242FAB0F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4" name="Freeform 58">
                  <a:extLst>
                    <a:ext uri="{FF2B5EF4-FFF2-40B4-BE49-F238E27FC236}">
                      <a16:creationId xmlns:a16="http://schemas.microsoft.com/office/drawing/2014/main" id="{EDA319A4-F3DB-41A9-92F8-989FB6BFE6C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5" name="Freeform 59">
                  <a:extLst>
                    <a:ext uri="{FF2B5EF4-FFF2-40B4-BE49-F238E27FC236}">
                      <a16:creationId xmlns:a16="http://schemas.microsoft.com/office/drawing/2014/main" id="{1EC83BF5-7C73-45F1-9564-CA17E71950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6" name="Freeform 60">
                  <a:extLst>
                    <a:ext uri="{FF2B5EF4-FFF2-40B4-BE49-F238E27FC236}">
                      <a16:creationId xmlns:a16="http://schemas.microsoft.com/office/drawing/2014/main" id="{E2E92A27-EDB6-443C-B048-363109FEA4B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7" name="Freeform 61">
                  <a:extLst>
                    <a:ext uri="{FF2B5EF4-FFF2-40B4-BE49-F238E27FC236}">
                      <a16:creationId xmlns:a16="http://schemas.microsoft.com/office/drawing/2014/main" id="{3DB57CD7-DB37-4A03-BD48-3AD05F08B2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8" name="Freeform 62">
                  <a:extLst>
                    <a:ext uri="{FF2B5EF4-FFF2-40B4-BE49-F238E27FC236}">
                      <a16:creationId xmlns:a16="http://schemas.microsoft.com/office/drawing/2014/main" id="{FA50D5AC-29F1-41FB-AC3F-0FDD2EA3256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9" name="Freeform 63">
                  <a:extLst>
                    <a:ext uri="{FF2B5EF4-FFF2-40B4-BE49-F238E27FC236}">
                      <a16:creationId xmlns:a16="http://schemas.microsoft.com/office/drawing/2014/main" id="{F291B019-1D96-402A-9EC4-44388C8876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0" name="Freeform 64">
                  <a:extLst>
                    <a:ext uri="{FF2B5EF4-FFF2-40B4-BE49-F238E27FC236}">
                      <a16:creationId xmlns:a16="http://schemas.microsoft.com/office/drawing/2014/main" id="{F4C13360-D09A-4E7A-A577-DDBE60B75FD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1" name="Freeform 65">
                  <a:extLst>
                    <a:ext uri="{FF2B5EF4-FFF2-40B4-BE49-F238E27FC236}">
                      <a16:creationId xmlns:a16="http://schemas.microsoft.com/office/drawing/2014/main" id="{AF357D23-4D36-434A-B60B-7E76B1B0D69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2" name="Freeform 66">
                  <a:extLst>
                    <a:ext uri="{FF2B5EF4-FFF2-40B4-BE49-F238E27FC236}">
                      <a16:creationId xmlns:a16="http://schemas.microsoft.com/office/drawing/2014/main" id="{1E96A4CD-E75F-4B99-81C5-1BF83C5F8B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3" name="Freeform 67">
                  <a:extLst>
                    <a:ext uri="{FF2B5EF4-FFF2-40B4-BE49-F238E27FC236}">
                      <a16:creationId xmlns:a16="http://schemas.microsoft.com/office/drawing/2014/main" id="{93F6A1E9-E24F-491D-AE00-54B65B41D5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4" name="Freeform 68">
                  <a:extLst>
                    <a:ext uri="{FF2B5EF4-FFF2-40B4-BE49-F238E27FC236}">
                      <a16:creationId xmlns:a16="http://schemas.microsoft.com/office/drawing/2014/main" id="{CBB246FF-EB87-40FD-9AF4-6FF7E166320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5" name="Freeform 69">
                  <a:extLst>
                    <a:ext uri="{FF2B5EF4-FFF2-40B4-BE49-F238E27FC236}">
                      <a16:creationId xmlns:a16="http://schemas.microsoft.com/office/drawing/2014/main" id="{A56E0D43-05AA-40E5-BADF-4B1FBE7FD4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6" name="Freeform 70">
                  <a:extLst>
                    <a:ext uri="{FF2B5EF4-FFF2-40B4-BE49-F238E27FC236}">
                      <a16:creationId xmlns:a16="http://schemas.microsoft.com/office/drawing/2014/main" id="{33D98CE0-C8D3-4641-88DF-5B872C5F37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7" name="Freeform 71">
                  <a:extLst>
                    <a:ext uri="{FF2B5EF4-FFF2-40B4-BE49-F238E27FC236}">
                      <a16:creationId xmlns:a16="http://schemas.microsoft.com/office/drawing/2014/main" id="{A4319C05-9AE0-4E45-A959-9EC15C1B079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8" name="Freeform 72">
                  <a:extLst>
                    <a:ext uri="{FF2B5EF4-FFF2-40B4-BE49-F238E27FC236}">
                      <a16:creationId xmlns:a16="http://schemas.microsoft.com/office/drawing/2014/main" id="{2A15FD08-4F67-4255-83C5-2FDC24A8A4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9" name="Freeform 73">
                  <a:extLst>
                    <a:ext uri="{FF2B5EF4-FFF2-40B4-BE49-F238E27FC236}">
                      <a16:creationId xmlns:a16="http://schemas.microsoft.com/office/drawing/2014/main" id="{96E8D3AA-E9C6-47B7-BBE5-5EDF65D624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0" name="Freeform 74">
                  <a:extLst>
                    <a:ext uri="{FF2B5EF4-FFF2-40B4-BE49-F238E27FC236}">
                      <a16:creationId xmlns:a16="http://schemas.microsoft.com/office/drawing/2014/main" id="{E1FB4E6D-C222-47DE-BDF1-807A78A8CC6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1" name="Freeform 75">
                  <a:extLst>
                    <a:ext uri="{FF2B5EF4-FFF2-40B4-BE49-F238E27FC236}">
                      <a16:creationId xmlns:a16="http://schemas.microsoft.com/office/drawing/2014/main" id="{304687AE-ECA8-4A43-9145-B4374165A8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2" name="Freeform 76">
                  <a:extLst>
                    <a:ext uri="{FF2B5EF4-FFF2-40B4-BE49-F238E27FC236}">
                      <a16:creationId xmlns:a16="http://schemas.microsoft.com/office/drawing/2014/main" id="{F426FED8-ADE8-45EF-A842-ABAD39D970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3" name="Freeform 77">
                  <a:extLst>
                    <a:ext uri="{FF2B5EF4-FFF2-40B4-BE49-F238E27FC236}">
                      <a16:creationId xmlns:a16="http://schemas.microsoft.com/office/drawing/2014/main" id="{D9929D14-7D79-4F45-87EE-18995E03B8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4" name="Freeform 78">
                  <a:extLst>
                    <a:ext uri="{FF2B5EF4-FFF2-40B4-BE49-F238E27FC236}">
                      <a16:creationId xmlns:a16="http://schemas.microsoft.com/office/drawing/2014/main" id="{DFBB27EB-4181-4DE0-8146-19827C41D6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5" name="Freeform 79">
                  <a:extLst>
                    <a:ext uri="{FF2B5EF4-FFF2-40B4-BE49-F238E27FC236}">
                      <a16:creationId xmlns:a16="http://schemas.microsoft.com/office/drawing/2014/main" id="{40B707C3-C362-43AA-8836-F4D4495BDD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6" name="Freeform 80">
                  <a:extLst>
                    <a:ext uri="{FF2B5EF4-FFF2-40B4-BE49-F238E27FC236}">
                      <a16:creationId xmlns:a16="http://schemas.microsoft.com/office/drawing/2014/main" id="{28012D60-A103-4DBE-AADD-192037E937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7" name="Freeform 81">
                  <a:extLst>
                    <a:ext uri="{FF2B5EF4-FFF2-40B4-BE49-F238E27FC236}">
                      <a16:creationId xmlns:a16="http://schemas.microsoft.com/office/drawing/2014/main" id="{E0502CF5-3A1D-4B6D-AC27-535A0B48E3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8" name="Freeform 82">
                  <a:extLst>
                    <a:ext uri="{FF2B5EF4-FFF2-40B4-BE49-F238E27FC236}">
                      <a16:creationId xmlns:a16="http://schemas.microsoft.com/office/drawing/2014/main" id="{2A6FD713-0918-4B17-AA43-BB71CFEFFCD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9" name="Freeform 83">
                  <a:extLst>
                    <a:ext uri="{FF2B5EF4-FFF2-40B4-BE49-F238E27FC236}">
                      <a16:creationId xmlns:a16="http://schemas.microsoft.com/office/drawing/2014/main" id="{1998C11F-C47E-4199-AF2F-94A0644D92F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0" name="Freeform 84">
                  <a:extLst>
                    <a:ext uri="{FF2B5EF4-FFF2-40B4-BE49-F238E27FC236}">
                      <a16:creationId xmlns:a16="http://schemas.microsoft.com/office/drawing/2014/main" id="{B3787A6D-6E8E-4607-ADC5-52000F17CD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1" name="Freeform 85">
                  <a:extLst>
                    <a:ext uri="{FF2B5EF4-FFF2-40B4-BE49-F238E27FC236}">
                      <a16:creationId xmlns:a16="http://schemas.microsoft.com/office/drawing/2014/main" id="{5D8FA6E0-E11A-40EE-8F63-DDEB041895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2" name="Freeform 86">
                  <a:extLst>
                    <a:ext uri="{FF2B5EF4-FFF2-40B4-BE49-F238E27FC236}">
                      <a16:creationId xmlns:a16="http://schemas.microsoft.com/office/drawing/2014/main" id="{BEFC4D49-2021-48E1-BAD5-F4020337B9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3" name="Freeform 87">
                  <a:extLst>
                    <a:ext uri="{FF2B5EF4-FFF2-40B4-BE49-F238E27FC236}">
                      <a16:creationId xmlns:a16="http://schemas.microsoft.com/office/drawing/2014/main" id="{D2480A93-E3FD-4F02-A02E-5F1CED3A8D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4" name="Freeform 88">
                  <a:extLst>
                    <a:ext uri="{FF2B5EF4-FFF2-40B4-BE49-F238E27FC236}">
                      <a16:creationId xmlns:a16="http://schemas.microsoft.com/office/drawing/2014/main" id="{528E13E5-A136-4AA9-BDBC-1C7F7A50BDE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5" name="Freeform 89">
                  <a:extLst>
                    <a:ext uri="{FF2B5EF4-FFF2-40B4-BE49-F238E27FC236}">
                      <a16:creationId xmlns:a16="http://schemas.microsoft.com/office/drawing/2014/main" id="{90B15B83-CC20-4CB5-B3E3-EDE2276999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6" name="Freeform 90">
                  <a:extLst>
                    <a:ext uri="{FF2B5EF4-FFF2-40B4-BE49-F238E27FC236}">
                      <a16:creationId xmlns:a16="http://schemas.microsoft.com/office/drawing/2014/main" id="{B3137B0F-59A4-4BE3-8EA0-2F9973861D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7" name="Freeform 91">
                  <a:extLst>
                    <a:ext uri="{FF2B5EF4-FFF2-40B4-BE49-F238E27FC236}">
                      <a16:creationId xmlns:a16="http://schemas.microsoft.com/office/drawing/2014/main" id="{404D1145-8639-4D34-BED3-027A1BE6A2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8" name="Freeform 92">
                  <a:extLst>
                    <a:ext uri="{FF2B5EF4-FFF2-40B4-BE49-F238E27FC236}">
                      <a16:creationId xmlns:a16="http://schemas.microsoft.com/office/drawing/2014/main" id="{13855BBA-4198-47F1-9E5F-468BA4E213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9" name="Freeform 93">
                  <a:extLst>
                    <a:ext uri="{FF2B5EF4-FFF2-40B4-BE49-F238E27FC236}">
                      <a16:creationId xmlns:a16="http://schemas.microsoft.com/office/drawing/2014/main" id="{82B26E24-E320-4C4C-9476-D8226F55A928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0" name="Freeform 94">
                  <a:extLst>
                    <a:ext uri="{FF2B5EF4-FFF2-40B4-BE49-F238E27FC236}">
                      <a16:creationId xmlns:a16="http://schemas.microsoft.com/office/drawing/2014/main" id="{36C3CD7F-EAA8-4FCE-ACCD-23360D2390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1" name="Freeform 95">
                  <a:extLst>
                    <a:ext uri="{FF2B5EF4-FFF2-40B4-BE49-F238E27FC236}">
                      <a16:creationId xmlns:a16="http://schemas.microsoft.com/office/drawing/2014/main" id="{B1A7E55B-BA53-404D-BDDF-500CFD4E76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2" name="Freeform 96">
                  <a:extLst>
                    <a:ext uri="{FF2B5EF4-FFF2-40B4-BE49-F238E27FC236}">
                      <a16:creationId xmlns:a16="http://schemas.microsoft.com/office/drawing/2014/main" id="{F31D2E40-5506-4A1B-93AB-E9925E909028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3" name="Freeform 97">
                  <a:extLst>
                    <a:ext uri="{FF2B5EF4-FFF2-40B4-BE49-F238E27FC236}">
                      <a16:creationId xmlns:a16="http://schemas.microsoft.com/office/drawing/2014/main" id="{09FB0969-8F8F-4282-A7DB-C1966F1836A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4" name="Freeform 98">
                  <a:extLst>
                    <a:ext uri="{FF2B5EF4-FFF2-40B4-BE49-F238E27FC236}">
                      <a16:creationId xmlns:a16="http://schemas.microsoft.com/office/drawing/2014/main" id="{9498FEA1-7305-4D49-9DAD-5CC345C29F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5" name="Freeform 99">
                  <a:extLst>
                    <a:ext uri="{FF2B5EF4-FFF2-40B4-BE49-F238E27FC236}">
                      <a16:creationId xmlns:a16="http://schemas.microsoft.com/office/drawing/2014/main" id="{92B63CC1-6BC4-4DD4-BD74-E33F304FE76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6" name="Freeform 100">
                  <a:extLst>
                    <a:ext uri="{FF2B5EF4-FFF2-40B4-BE49-F238E27FC236}">
                      <a16:creationId xmlns:a16="http://schemas.microsoft.com/office/drawing/2014/main" id="{00A4271F-53FE-43F3-BBE1-EA064B7C72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7" name="Freeform 101">
                  <a:extLst>
                    <a:ext uri="{FF2B5EF4-FFF2-40B4-BE49-F238E27FC236}">
                      <a16:creationId xmlns:a16="http://schemas.microsoft.com/office/drawing/2014/main" id="{35BA045C-764B-4ADB-A02A-977E20C75C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8" name="Freeform 102">
                  <a:extLst>
                    <a:ext uri="{FF2B5EF4-FFF2-40B4-BE49-F238E27FC236}">
                      <a16:creationId xmlns:a16="http://schemas.microsoft.com/office/drawing/2014/main" id="{FD9563AC-E25C-4093-9D8F-67EFA3E51A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9" name="Freeform 103">
                  <a:extLst>
                    <a:ext uri="{FF2B5EF4-FFF2-40B4-BE49-F238E27FC236}">
                      <a16:creationId xmlns:a16="http://schemas.microsoft.com/office/drawing/2014/main" id="{4DD5A02F-8AB0-4610-87A0-5BA98DE423F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0" name="Freeform 104">
                  <a:extLst>
                    <a:ext uri="{FF2B5EF4-FFF2-40B4-BE49-F238E27FC236}">
                      <a16:creationId xmlns:a16="http://schemas.microsoft.com/office/drawing/2014/main" id="{F80678A4-B26D-41A6-897E-40C27EE3B0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1" name="Freeform 105">
                  <a:extLst>
                    <a:ext uri="{FF2B5EF4-FFF2-40B4-BE49-F238E27FC236}">
                      <a16:creationId xmlns:a16="http://schemas.microsoft.com/office/drawing/2014/main" id="{197329E0-9E9F-4A4B-90F8-E0DD5E3AD7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2" name="Freeform 106">
                  <a:extLst>
                    <a:ext uri="{FF2B5EF4-FFF2-40B4-BE49-F238E27FC236}">
                      <a16:creationId xmlns:a16="http://schemas.microsoft.com/office/drawing/2014/main" id="{F14A62D9-AEB3-4528-8409-073D6BE0AE1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3" name="Freeform 107">
                  <a:extLst>
                    <a:ext uri="{FF2B5EF4-FFF2-40B4-BE49-F238E27FC236}">
                      <a16:creationId xmlns:a16="http://schemas.microsoft.com/office/drawing/2014/main" id="{D8653EB1-8665-4D3A-ACE6-DFF8E9C2E5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4" name="Freeform 108">
                  <a:extLst>
                    <a:ext uri="{FF2B5EF4-FFF2-40B4-BE49-F238E27FC236}">
                      <a16:creationId xmlns:a16="http://schemas.microsoft.com/office/drawing/2014/main" id="{9EEE90DE-1E33-4438-914C-EA900E9C5F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5" name="Freeform 109">
                  <a:extLst>
                    <a:ext uri="{FF2B5EF4-FFF2-40B4-BE49-F238E27FC236}">
                      <a16:creationId xmlns:a16="http://schemas.microsoft.com/office/drawing/2014/main" id="{0A7B0D62-D2B6-4C01-8EE1-7B819F8FBA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6" name="Freeform 110">
                  <a:extLst>
                    <a:ext uri="{FF2B5EF4-FFF2-40B4-BE49-F238E27FC236}">
                      <a16:creationId xmlns:a16="http://schemas.microsoft.com/office/drawing/2014/main" id="{7FE21567-0063-450C-84E3-07C18C100A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7" name="Freeform 111">
                  <a:extLst>
                    <a:ext uri="{FF2B5EF4-FFF2-40B4-BE49-F238E27FC236}">
                      <a16:creationId xmlns:a16="http://schemas.microsoft.com/office/drawing/2014/main" id="{A4A6CA64-5C21-4AB8-B4DD-887AFD9376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8" name="Freeform 112">
                  <a:extLst>
                    <a:ext uri="{FF2B5EF4-FFF2-40B4-BE49-F238E27FC236}">
                      <a16:creationId xmlns:a16="http://schemas.microsoft.com/office/drawing/2014/main" id="{5105BAEC-39D6-4D9E-BC4F-C6A1FDB088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9" name="Freeform 113">
                  <a:extLst>
                    <a:ext uri="{FF2B5EF4-FFF2-40B4-BE49-F238E27FC236}">
                      <a16:creationId xmlns:a16="http://schemas.microsoft.com/office/drawing/2014/main" id="{418B3A2E-AC63-49CF-B82A-9F8E8A79EF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" name="Freeform 114">
                  <a:extLst>
                    <a:ext uri="{FF2B5EF4-FFF2-40B4-BE49-F238E27FC236}">
                      <a16:creationId xmlns:a16="http://schemas.microsoft.com/office/drawing/2014/main" id="{ADE13C65-543C-4799-8EF0-A96CC1BE65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1" name="Freeform 115">
                  <a:extLst>
                    <a:ext uri="{FF2B5EF4-FFF2-40B4-BE49-F238E27FC236}">
                      <a16:creationId xmlns:a16="http://schemas.microsoft.com/office/drawing/2014/main" id="{8324F1FA-A7F0-4F25-8F21-37B219776B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2" name="Freeform 116">
                  <a:extLst>
                    <a:ext uri="{FF2B5EF4-FFF2-40B4-BE49-F238E27FC236}">
                      <a16:creationId xmlns:a16="http://schemas.microsoft.com/office/drawing/2014/main" id="{C1B893AB-AA26-4CE7-AE7B-D56E3AE857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3" name="Freeform 117">
                  <a:extLst>
                    <a:ext uri="{FF2B5EF4-FFF2-40B4-BE49-F238E27FC236}">
                      <a16:creationId xmlns:a16="http://schemas.microsoft.com/office/drawing/2014/main" id="{AA191621-8CDF-4DAF-BECC-860094EAE8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4" name="Freeform 118">
                  <a:extLst>
                    <a:ext uri="{FF2B5EF4-FFF2-40B4-BE49-F238E27FC236}">
                      <a16:creationId xmlns:a16="http://schemas.microsoft.com/office/drawing/2014/main" id="{1834444F-B385-4101-B975-84CD4B1BDE8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5" name="Freeform 119">
                  <a:extLst>
                    <a:ext uri="{FF2B5EF4-FFF2-40B4-BE49-F238E27FC236}">
                      <a16:creationId xmlns:a16="http://schemas.microsoft.com/office/drawing/2014/main" id="{A7962035-8F27-42A4-920A-7559803475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6" name="Freeform 120">
                  <a:extLst>
                    <a:ext uri="{FF2B5EF4-FFF2-40B4-BE49-F238E27FC236}">
                      <a16:creationId xmlns:a16="http://schemas.microsoft.com/office/drawing/2014/main" id="{A97DE4A5-6DC7-4471-8118-232F65DE96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7" name="Freeform 121">
                  <a:extLst>
                    <a:ext uri="{FF2B5EF4-FFF2-40B4-BE49-F238E27FC236}">
                      <a16:creationId xmlns:a16="http://schemas.microsoft.com/office/drawing/2014/main" id="{979FA1B9-3BC4-4177-B7B0-EC007B5156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8" name="Freeform 122">
                  <a:extLst>
                    <a:ext uri="{FF2B5EF4-FFF2-40B4-BE49-F238E27FC236}">
                      <a16:creationId xmlns:a16="http://schemas.microsoft.com/office/drawing/2014/main" id="{6CA45F94-668E-4E02-AAF4-C1C64A80F8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9" name="Freeform 123">
                  <a:extLst>
                    <a:ext uri="{FF2B5EF4-FFF2-40B4-BE49-F238E27FC236}">
                      <a16:creationId xmlns:a16="http://schemas.microsoft.com/office/drawing/2014/main" id="{0BB2D08D-5DB2-4B5B-9C15-CE08F1F041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0" name="Freeform 124">
                  <a:extLst>
                    <a:ext uri="{FF2B5EF4-FFF2-40B4-BE49-F238E27FC236}">
                      <a16:creationId xmlns:a16="http://schemas.microsoft.com/office/drawing/2014/main" id="{7C45179F-3B7F-4F25-BB32-2DCC3C9AA8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1" name="Freeform 125">
                  <a:extLst>
                    <a:ext uri="{FF2B5EF4-FFF2-40B4-BE49-F238E27FC236}">
                      <a16:creationId xmlns:a16="http://schemas.microsoft.com/office/drawing/2014/main" id="{05058443-04FF-4385-8E0B-49081D6176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2" name="Freeform 126">
                  <a:extLst>
                    <a:ext uri="{FF2B5EF4-FFF2-40B4-BE49-F238E27FC236}">
                      <a16:creationId xmlns:a16="http://schemas.microsoft.com/office/drawing/2014/main" id="{CE48AD3F-059D-4A72-9FBB-0334CCA241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3" name="Freeform 127">
                  <a:extLst>
                    <a:ext uri="{FF2B5EF4-FFF2-40B4-BE49-F238E27FC236}">
                      <a16:creationId xmlns:a16="http://schemas.microsoft.com/office/drawing/2014/main" id="{3174FCB0-4647-4C97-AB3B-FE4913A7464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4" name="Freeform 128">
                  <a:extLst>
                    <a:ext uri="{FF2B5EF4-FFF2-40B4-BE49-F238E27FC236}">
                      <a16:creationId xmlns:a16="http://schemas.microsoft.com/office/drawing/2014/main" id="{744F10AF-2EA6-4E9B-AC01-CDD6D80D41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5" name="Freeform 129">
                  <a:extLst>
                    <a:ext uri="{FF2B5EF4-FFF2-40B4-BE49-F238E27FC236}">
                      <a16:creationId xmlns:a16="http://schemas.microsoft.com/office/drawing/2014/main" id="{E7035314-B73A-4192-9ABA-D6F330B0D13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6" name="Freeform 130">
                  <a:extLst>
                    <a:ext uri="{FF2B5EF4-FFF2-40B4-BE49-F238E27FC236}">
                      <a16:creationId xmlns:a16="http://schemas.microsoft.com/office/drawing/2014/main" id="{D1A346B9-16A2-4794-BA4B-405A3F7D1D2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7" name="Freeform 131">
                  <a:extLst>
                    <a:ext uri="{FF2B5EF4-FFF2-40B4-BE49-F238E27FC236}">
                      <a16:creationId xmlns:a16="http://schemas.microsoft.com/office/drawing/2014/main" id="{083C8270-25D1-4AB4-ABFF-962365EA99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8" name="Freeform 132">
                  <a:extLst>
                    <a:ext uri="{FF2B5EF4-FFF2-40B4-BE49-F238E27FC236}">
                      <a16:creationId xmlns:a16="http://schemas.microsoft.com/office/drawing/2014/main" id="{6219E10E-B48D-4726-A822-F0D575E497F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9" name="Freeform 133">
                  <a:extLst>
                    <a:ext uri="{FF2B5EF4-FFF2-40B4-BE49-F238E27FC236}">
                      <a16:creationId xmlns:a16="http://schemas.microsoft.com/office/drawing/2014/main" id="{E673B82E-84F2-4A9A-A829-0434F2C710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0" name="Freeform 134">
                  <a:extLst>
                    <a:ext uri="{FF2B5EF4-FFF2-40B4-BE49-F238E27FC236}">
                      <a16:creationId xmlns:a16="http://schemas.microsoft.com/office/drawing/2014/main" id="{5FFF2F3D-620C-49F0-8EF2-B6F9A5A7D3D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1" name="Freeform 135">
                  <a:extLst>
                    <a:ext uri="{FF2B5EF4-FFF2-40B4-BE49-F238E27FC236}">
                      <a16:creationId xmlns:a16="http://schemas.microsoft.com/office/drawing/2014/main" id="{19715150-7677-4548-80DB-193618E31FE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2" name="Freeform 136">
                  <a:extLst>
                    <a:ext uri="{FF2B5EF4-FFF2-40B4-BE49-F238E27FC236}">
                      <a16:creationId xmlns:a16="http://schemas.microsoft.com/office/drawing/2014/main" id="{9ABCAE19-F831-4BB7-B26E-298844F791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3" name="Freeform 137">
                  <a:extLst>
                    <a:ext uri="{FF2B5EF4-FFF2-40B4-BE49-F238E27FC236}">
                      <a16:creationId xmlns:a16="http://schemas.microsoft.com/office/drawing/2014/main" id="{7AA65579-5ED0-4008-9724-89EB0BB9BC6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4" name="Freeform 138">
                  <a:extLst>
                    <a:ext uri="{FF2B5EF4-FFF2-40B4-BE49-F238E27FC236}">
                      <a16:creationId xmlns:a16="http://schemas.microsoft.com/office/drawing/2014/main" id="{638FE479-A4F6-4F8D-8B74-8E2D663B1F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5" name="Freeform 139">
                  <a:extLst>
                    <a:ext uri="{FF2B5EF4-FFF2-40B4-BE49-F238E27FC236}">
                      <a16:creationId xmlns:a16="http://schemas.microsoft.com/office/drawing/2014/main" id="{B8EC7B17-73BB-4AC8-95D8-9CEE120FE5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6" name="Freeform 140">
                  <a:extLst>
                    <a:ext uri="{FF2B5EF4-FFF2-40B4-BE49-F238E27FC236}">
                      <a16:creationId xmlns:a16="http://schemas.microsoft.com/office/drawing/2014/main" id="{59EFD167-BCC0-4AD7-8CC6-53F53227E49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7" name="Freeform 141">
                  <a:extLst>
                    <a:ext uri="{FF2B5EF4-FFF2-40B4-BE49-F238E27FC236}">
                      <a16:creationId xmlns:a16="http://schemas.microsoft.com/office/drawing/2014/main" id="{26865C8B-6D66-4BC8-82EC-DED298E149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8" name="Freeform 142">
                  <a:extLst>
                    <a:ext uri="{FF2B5EF4-FFF2-40B4-BE49-F238E27FC236}">
                      <a16:creationId xmlns:a16="http://schemas.microsoft.com/office/drawing/2014/main" id="{E0A75F7A-13BD-4A54-B80E-441BEEC7D3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9" name="Freeform 143">
                  <a:extLst>
                    <a:ext uri="{FF2B5EF4-FFF2-40B4-BE49-F238E27FC236}">
                      <a16:creationId xmlns:a16="http://schemas.microsoft.com/office/drawing/2014/main" id="{8E3E3217-461B-4DBC-823B-B21C756E56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0" name="Freeform 144">
                  <a:extLst>
                    <a:ext uri="{FF2B5EF4-FFF2-40B4-BE49-F238E27FC236}">
                      <a16:creationId xmlns:a16="http://schemas.microsoft.com/office/drawing/2014/main" id="{2E5CB0CC-12CA-48C2-9D96-BCA70467C6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1" name="Freeform 145">
                  <a:extLst>
                    <a:ext uri="{FF2B5EF4-FFF2-40B4-BE49-F238E27FC236}">
                      <a16:creationId xmlns:a16="http://schemas.microsoft.com/office/drawing/2014/main" id="{056974C0-6256-4BD2-A14C-2EDC8A494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2" name="Freeform 146">
                  <a:extLst>
                    <a:ext uri="{FF2B5EF4-FFF2-40B4-BE49-F238E27FC236}">
                      <a16:creationId xmlns:a16="http://schemas.microsoft.com/office/drawing/2014/main" id="{58F9D8B2-E8D3-44A7-A145-DA5FE9829B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3" name="Freeform 147">
                  <a:extLst>
                    <a:ext uri="{FF2B5EF4-FFF2-40B4-BE49-F238E27FC236}">
                      <a16:creationId xmlns:a16="http://schemas.microsoft.com/office/drawing/2014/main" id="{2B7A38D4-3115-4546-8A57-7C5513D292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4" name="Freeform 148">
                  <a:extLst>
                    <a:ext uri="{FF2B5EF4-FFF2-40B4-BE49-F238E27FC236}">
                      <a16:creationId xmlns:a16="http://schemas.microsoft.com/office/drawing/2014/main" id="{8E30513D-2AA3-4D0B-A433-63E6932D30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5" name="Freeform 149">
                  <a:extLst>
                    <a:ext uri="{FF2B5EF4-FFF2-40B4-BE49-F238E27FC236}">
                      <a16:creationId xmlns:a16="http://schemas.microsoft.com/office/drawing/2014/main" id="{36750400-E690-4AD4-A72B-7AAA95428E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6" name="Freeform 150">
                  <a:extLst>
                    <a:ext uri="{FF2B5EF4-FFF2-40B4-BE49-F238E27FC236}">
                      <a16:creationId xmlns:a16="http://schemas.microsoft.com/office/drawing/2014/main" id="{A1260F0D-2D5B-4408-AEB2-A383D0767C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7" name="Freeform 151">
                  <a:extLst>
                    <a:ext uri="{FF2B5EF4-FFF2-40B4-BE49-F238E27FC236}">
                      <a16:creationId xmlns:a16="http://schemas.microsoft.com/office/drawing/2014/main" id="{DCE7A4D8-8499-4424-BAD8-9E00DD5632C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8" name="Freeform 152">
                  <a:extLst>
                    <a:ext uri="{FF2B5EF4-FFF2-40B4-BE49-F238E27FC236}">
                      <a16:creationId xmlns:a16="http://schemas.microsoft.com/office/drawing/2014/main" id="{9FCF4C7E-F7BB-40E1-9965-AF1DA4E03D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9" name="Freeform 153">
                  <a:extLst>
                    <a:ext uri="{FF2B5EF4-FFF2-40B4-BE49-F238E27FC236}">
                      <a16:creationId xmlns:a16="http://schemas.microsoft.com/office/drawing/2014/main" id="{092B9A34-58A1-47B3-9AB1-D8B37DCA2D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0" name="Freeform 154">
                  <a:extLst>
                    <a:ext uri="{FF2B5EF4-FFF2-40B4-BE49-F238E27FC236}">
                      <a16:creationId xmlns:a16="http://schemas.microsoft.com/office/drawing/2014/main" id="{9578E0FB-0B31-45B3-8AF0-DD77DECC33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1" name="Freeform 155">
                  <a:extLst>
                    <a:ext uri="{FF2B5EF4-FFF2-40B4-BE49-F238E27FC236}">
                      <a16:creationId xmlns:a16="http://schemas.microsoft.com/office/drawing/2014/main" id="{A01E5CB1-68EF-413D-9325-D5405677665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2" name="Freeform 156">
                  <a:extLst>
                    <a:ext uri="{FF2B5EF4-FFF2-40B4-BE49-F238E27FC236}">
                      <a16:creationId xmlns:a16="http://schemas.microsoft.com/office/drawing/2014/main" id="{96E194CA-9836-4CD3-B2D2-F85BF40B4C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3" name="Freeform 157">
                  <a:extLst>
                    <a:ext uri="{FF2B5EF4-FFF2-40B4-BE49-F238E27FC236}">
                      <a16:creationId xmlns:a16="http://schemas.microsoft.com/office/drawing/2014/main" id="{5C9C8749-AD98-4BB3-B94F-213BBF1B99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4" name="Freeform 158">
                  <a:extLst>
                    <a:ext uri="{FF2B5EF4-FFF2-40B4-BE49-F238E27FC236}">
                      <a16:creationId xmlns:a16="http://schemas.microsoft.com/office/drawing/2014/main" id="{71C57C23-23F3-4F83-B684-2D3D100A4A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5" name="Freeform 159">
                  <a:extLst>
                    <a:ext uri="{FF2B5EF4-FFF2-40B4-BE49-F238E27FC236}">
                      <a16:creationId xmlns:a16="http://schemas.microsoft.com/office/drawing/2014/main" id="{EC53BDA0-66F9-432A-8F83-715E6B00E5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6" name="Freeform 160">
                  <a:extLst>
                    <a:ext uri="{FF2B5EF4-FFF2-40B4-BE49-F238E27FC236}">
                      <a16:creationId xmlns:a16="http://schemas.microsoft.com/office/drawing/2014/main" id="{BFBB3D53-66F6-4600-85CB-33F251E3EF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7" name="Freeform 161">
                  <a:extLst>
                    <a:ext uri="{FF2B5EF4-FFF2-40B4-BE49-F238E27FC236}">
                      <a16:creationId xmlns:a16="http://schemas.microsoft.com/office/drawing/2014/main" id="{CFFA2800-DAE0-4DA3-87A0-445E10C4233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8" name="Freeform 162">
                  <a:extLst>
                    <a:ext uri="{FF2B5EF4-FFF2-40B4-BE49-F238E27FC236}">
                      <a16:creationId xmlns:a16="http://schemas.microsoft.com/office/drawing/2014/main" id="{3D208586-E47D-493E-B43B-03E6E247991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9" name="Freeform 163">
                  <a:extLst>
                    <a:ext uri="{FF2B5EF4-FFF2-40B4-BE49-F238E27FC236}">
                      <a16:creationId xmlns:a16="http://schemas.microsoft.com/office/drawing/2014/main" id="{D0E99822-7B53-4FBD-96A0-1412F7B826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0" name="Freeform 164">
                  <a:extLst>
                    <a:ext uri="{FF2B5EF4-FFF2-40B4-BE49-F238E27FC236}">
                      <a16:creationId xmlns:a16="http://schemas.microsoft.com/office/drawing/2014/main" id="{201403A7-65CA-4AF5-B5AE-B5679AB232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1" name="Freeform 165">
                  <a:extLst>
                    <a:ext uri="{FF2B5EF4-FFF2-40B4-BE49-F238E27FC236}">
                      <a16:creationId xmlns:a16="http://schemas.microsoft.com/office/drawing/2014/main" id="{2316C991-387C-4425-BA26-880B86149B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2" name="Freeform 166">
                  <a:extLst>
                    <a:ext uri="{FF2B5EF4-FFF2-40B4-BE49-F238E27FC236}">
                      <a16:creationId xmlns:a16="http://schemas.microsoft.com/office/drawing/2014/main" id="{D1AED329-6E3F-4CCA-969C-79530D362B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3" name="Freeform 167">
                  <a:extLst>
                    <a:ext uri="{FF2B5EF4-FFF2-40B4-BE49-F238E27FC236}">
                      <a16:creationId xmlns:a16="http://schemas.microsoft.com/office/drawing/2014/main" id="{2ED61601-6145-4AE8-BC46-3D76FBF14C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4" name="Freeform 168">
                  <a:extLst>
                    <a:ext uri="{FF2B5EF4-FFF2-40B4-BE49-F238E27FC236}">
                      <a16:creationId xmlns:a16="http://schemas.microsoft.com/office/drawing/2014/main" id="{58E25A54-A10B-4E67-AC5D-6AF911993C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5" name="Freeform 169">
                  <a:extLst>
                    <a:ext uri="{FF2B5EF4-FFF2-40B4-BE49-F238E27FC236}">
                      <a16:creationId xmlns:a16="http://schemas.microsoft.com/office/drawing/2014/main" id="{5C54B07B-4E59-4C3E-BE99-60155ADC59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6" name="Freeform 170">
                  <a:extLst>
                    <a:ext uri="{FF2B5EF4-FFF2-40B4-BE49-F238E27FC236}">
                      <a16:creationId xmlns:a16="http://schemas.microsoft.com/office/drawing/2014/main" id="{46E5A46E-2FD6-44E1-B064-6F7284FD6F5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7" name="Freeform 171">
                  <a:extLst>
                    <a:ext uri="{FF2B5EF4-FFF2-40B4-BE49-F238E27FC236}">
                      <a16:creationId xmlns:a16="http://schemas.microsoft.com/office/drawing/2014/main" id="{E677FDAC-30F5-4C2F-A333-F202BCC403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8" name="Freeform 172">
                  <a:extLst>
                    <a:ext uri="{FF2B5EF4-FFF2-40B4-BE49-F238E27FC236}">
                      <a16:creationId xmlns:a16="http://schemas.microsoft.com/office/drawing/2014/main" id="{2BF7712D-F39A-4FC9-B9E2-D0A97A29E7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9" name="Freeform 173">
                  <a:extLst>
                    <a:ext uri="{FF2B5EF4-FFF2-40B4-BE49-F238E27FC236}">
                      <a16:creationId xmlns:a16="http://schemas.microsoft.com/office/drawing/2014/main" id="{38D96D8C-C65B-427B-A1BD-732A14FF66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0" name="Freeform 174">
                  <a:extLst>
                    <a:ext uri="{FF2B5EF4-FFF2-40B4-BE49-F238E27FC236}">
                      <a16:creationId xmlns:a16="http://schemas.microsoft.com/office/drawing/2014/main" id="{9D49E1D8-84FE-449A-9BAC-2CDD701332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1" name="Freeform 175">
                  <a:extLst>
                    <a:ext uri="{FF2B5EF4-FFF2-40B4-BE49-F238E27FC236}">
                      <a16:creationId xmlns:a16="http://schemas.microsoft.com/office/drawing/2014/main" id="{D227FB9F-EDDB-405F-850B-D8E8BA3EA6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2" name="Freeform 176">
                  <a:extLst>
                    <a:ext uri="{FF2B5EF4-FFF2-40B4-BE49-F238E27FC236}">
                      <a16:creationId xmlns:a16="http://schemas.microsoft.com/office/drawing/2014/main" id="{CD45E929-7E23-49E2-81F2-3C9DA49A76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3" name="Freeform 177">
                  <a:extLst>
                    <a:ext uri="{FF2B5EF4-FFF2-40B4-BE49-F238E27FC236}">
                      <a16:creationId xmlns:a16="http://schemas.microsoft.com/office/drawing/2014/main" id="{31929418-8B23-4F00-9B63-F8E237C11B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4" name="Freeform 178">
                  <a:extLst>
                    <a:ext uri="{FF2B5EF4-FFF2-40B4-BE49-F238E27FC236}">
                      <a16:creationId xmlns:a16="http://schemas.microsoft.com/office/drawing/2014/main" id="{E810021D-DA96-4EE7-84CE-EE3240CAF4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5" name="Freeform 179">
                  <a:extLst>
                    <a:ext uri="{FF2B5EF4-FFF2-40B4-BE49-F238E27FC236}">
                      <a16:creationId xmlns:a16="http://schemas.microsoft.com/office/drawing/2014/main" id="{C9399D5D-B2EA-48E2-8692-05FB334FB5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6" name="Freeform 180">
                  <a:extLst>
                    <a:ext uri="{FF2B5EF4-FFF2-40B4-BE49-F238E27FC236}">
                      <a16:creationId xmlns:a16="http://schemas.microsoft.com/office/drawing/2014/main" id="{EE3E85ED-1B25-4BA7-97CC-84C1DECD79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7" name="Freeform 181">
                  <a:extLst>
                    <a:ext uri="{FF2B5EF4-FFF2-40B4-BE49-F238E27FC236}">
                      <a16:creationId xmlns:a16="http://schemas.microsoft.com/office/drawing/2014/main" id="{2D801D55-E155-42C8-B823-18F55BEA3DA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8" name="Freeform 182">
                  <a:extLst>
                    <a:ext uri="{FF2B5EF4-FFF2-40B4-BE49-F238E27FC236}">
                      <a16:creationId xmlns:a16="http://schemas.microsoft.com/office/drawing/2014/main" id="{1285CAD1-18B6-4458-BE8C-EE82CAF147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9" name="Freeform 183">
                  <a:extLst>
                    <a:ext uri="{FF2B5EF4-FFF2-40B4-BE49-F238E27FC236}">
                      <a16:creationId xmlns:a16="http://schemas.microsoft.com/office/drawing/2014/main" id="{4D435B30-E738-49C0-BFA2-3ACAA577E5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0" name="Freeform 184">
                  <a:extLst>
                    <a:ext uri="{FF2B5EF4-FFF2-40B4-BE49-F238E27FC236}">
                      <a16:creationId xmlns:a16="http://schemas.microsoft.com/office/drawing/2014/main" id="{194D6AEA-680A-4F0D-8D1D-819545D1C0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1" name="Freeform 185">
                  <a:extLst>
                    <a:ext uri="{FF2B5EF4-FFF2-40B4-BE49-F238E27FC236}">
                      <a16:creationId xmlns:a16="http://schemas.microsoft.com/office/drawing/2014/main" id="{C37B8052-0702-4F9C-9AA3-923836CB09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2" name="Freeform 186">
                  <a:extLst>
                    <a:ext uri="{FF2B5EF4-FFF2-40B4-BE49-F238E27FC236}">
                      <a16:creationId xmlns:a16="http://schemas.microsoft.com/office/drawing/2014/main" id="{9292469B-94FF-476F-B071-14B401C129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3" name="Freeform 187">
                  <a:extLst>
                    <a:ext uri="{FF2B5EF4-FFF2-40B4-BE49-F238E27FC236}">
                      <a16:creationId xmlns:a16="http://schemas.microsoft.com/office/drawing/2014/main" id="{41DB5171-52C6-4746-9A15-31AE12249BB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4" name="Freeform 188">
                  <a:extLst>
                    <a:ext uri="{FF2B5EF4-FFF2-40B4-BE49-F238E27FC236}">
                      <a16:creationId xmlns:a16="http://schemas.microsoft.com/office/drawing/2014/main" id="{A69DF68B-B10B-466F-9A06-1E500E430C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5" name="Freeform 189">
                  <a:extLst>
                    <a:ext uri="{FF2B5EF4-FFF2-40B4-BE49-F238E27FC236}">
                      <a16:creationId xmlns:a16="http://schemas.microsoft.com/office/drawing/2014/main" id="{ABB77656-B475-42FB-86D4-18E13215D9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6" name="Freeform 190">
                  <a:extLst>
                    <a:ext uri="{FF2B5EF4-FFF2-40B4-BE49-F238E27FC236}">
                      <a16:creationId xmlns:a16="http://schemas.microsoft.com/office/drawing/2014/main" id="{B169E91E-9C13-4882-8EB0-1A61E01251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7" name="Freeform 191">
                  <a:extLst>
                    <a:ext uri="{FF2B5EF4-FFF2-40B4-BE49-F238E27FC236}">
                      <a16:creationId xmlns:a16="http://schemas.microsoft.com/office/drawing/2014/main" id="{962E8E17-BF9A-4BE4-A3A1-B1AB4A9414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8" name="Freeform 192">
                  <a:extLst>
                    <a:ext uri="{FF2B5EF4-FFF2-40B4-BE49-F238E27FC236}">
                      <a16:creationId xmlns:a16="http://schemas.microsoft.com/office/drawing/2014/main" id="{BF9FD2F4-C660-4135-8309-6F8BAEA572C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9" name="Freeform 193">
                  <a:extLst>
                    <a:ext uri="{FF2B5EF4-FFF2-40B4-BE49-F238E27FC236}">
                      <a16:creationId xmlns:a16="http://schemas.microsoft.com/office/drawing/2014/main" id="{CBA376FB-830D-43CD-A414-1DEF1AD045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0" name="Freeform 194">
                  <a:extLst>
                    <a:ext uri="{FF2B5EF4-FFF2-40B4-BE49-F238E27FC236}">
                      <a16:creationId xmlns:a16="http://schemas.microsoft.com/office/drawing/2014/main" id="{C763F4D5-63D2-4BEE-959D-136FC67D2F8F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1" name="Freeform 195">
                  <a:extLst>
                    <a:ext uri="{FF2B5EF4-FFF2-40B4-BE49-F238E27FC236}">
                      <a16:creationId xmlns:a16="http://schemas.microsoft.com/office/drawing/2014/main" id="{E6078E72-5903-4CDA-BEDA-AE84CE0343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2" name="Freeform 196">
                  <a:extLst>
                    <a:ext uri="{FF2B5EF4-FFF2-40B4-BE49-F238E27FC236}">
                      <a16:creationId xmlns:a16="http://schemas.microsoft.com/office/drawing/2014/main" id="{63F010AD-CD39-4593-A823-2128DDF816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3" name="Freeform 197">
                  <a:extLst>
                    <a:ext uri="{FF2B5EF4-FFF2-40B4-BE49-F238E27FC236}">
                      <a16:creationId xmlns:a16="http://schemas.microsoft.com/office/drawing/2014/main" id="{4A95895D-BE2B-4051-B48C-F179BD91DE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4" name="Freeform 198">
                  <a:extLst>
                    <a:ext uri="{FF2B5EF4-FFF2-40B4-BE49-F238E27FC236}">
                      <a16:creationId xmlns:a16="http://schemas.microsoft.com/office/drawing/2014/main" id="{B5557C70-A8BD-45AD-99D3-D2753EECA1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5" name="Freeform 199">
                  <a:extLst>
                    <a:ext uri="{FF2B5EF4-FFF2-40B4-BE49-F238E27FC236}">
                      <a16:creationId xmlns:a16="http://schemas.microsoft.com/office/drawing/2014/main" id="{69B47043-8362-4AC0-BE25-EC54466CC3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6" name="Freeform 200">
                  <a:extLst>
                    <a:ext uri="{FF2B5EF4-FFF2-40B4-BE49-F238E27FC236}">
                      <a16:creationId xmlns:a16="http://schemas.microsoft.com/office/drawing/2014/main" id="{479661B7-B90A-46B4-9508-06B40F9F28E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7" name="Freeform 201">
                  <a:extLst>
                    <a:ext uri="{FF2B5EF4-FFF2-40B4-BE49-F238E27FC236}">
                      <a16:creationId xmlns:a16="http://schemas.microsoft.com/office/drawing/2014/main" id="{6C36F2BD-15C6-4676-9BE9-FB0D15A2E9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8" name="Freeform 202">
                  <a:extLst>
                    <a:ext uri="{FF2B5EF4-FFF2-40B4-BE49-F238E27FC236}">
                      <a16:creationId xmlns:a16="http://schemas.microsoft.com/office/drawing/2014/main" id="{087AC837-3139-486E-B349-263CB7EF42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9" name="Freeform 203">
                  <a:extLst>
                    <a:ext uri="{FF2B5EF4-FFF2-40B4-BE49-F238E27FC236}">
                      <a16:creationId xmlns:a16="http://schemas.microsoft.com/office/drawing/2014/main" id="{066B616A-99EA-43BD-81A2-F05F0806A3E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25" name="Freeform 205">
                <a:extLst>
                  <a:ext uri="{FF2B5EF4-FFF2-40B4-BE49-F238E27FC236}">
                    <a16:creationId xmlns:a16="http://schemas.microsoft.com/office/drawing/2014/main" id="{CF78F616-897E-41AA-9374-7F4030B7053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" name="Freeform 206">
                <a:extLst>
                  <a:ext uri="{FF2B5EF4-FFF2-40B4-BE49-F238E27FC236}">
                    <a16:creationId xmlns:a16="http://schemas.microsoft.com/office/drawing/2014/main" id="{AF8F44EE-6C42-4213-91B4-2471FE41F07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7" name="Freeform 207">
                <a:extLst>
                  <a:ext uri="{FF2B5EF4-FFF2-40B4-BE49-F238E27FC236}">
                    <a16:creationId xmlns:a16="http://schemas.microsoft.com/office/drawing/2014/main" id="{F0083B15-8601-4754-A41C-C8CB817FC2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8" name="Freeform 208">
                <a:extLst>
                  <a:ext uri="{FF2B5EF4-FFF2-40B4-BE49-F238E27FC236}">
                    <a16:creationId xmlns:a16="http://schemas.microsoft.com/office/drawing/2014/main" id="{CE18FB0C-A8EA-4446-9537-9AB0AC8AE0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9" name="Freeform 209">
                <a:extLst>
                  <a:ext uri="{FF2B5EF4-FFF2-40B4-BE49-F238E27FC236}">
                    <a16:creationId xmlns:a16="http://schemas.microsoft.com/office/drawing/2014/main" id="{7A1F9D42-19A8-4469-BB2E-9969FA1D96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0" name="Freeform 210">
                <a:extLst>
                  <a:ext uri="{FF2B5EF4-FFF2-40B4-BE49-F238E27FC236}">
                    <a16:creationId xmlns:a16="http://schemas.microsoft.com/office/drawing/2014/main" id="{AC4D77F3-B9F9-4F83-9C1A-6A95290501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1" name="Freeform 211">
                <a:extLst>
                  <a:ext uri="{FF2B5EF4-FFF2-40B4-BE49-F238E27FC236}">
                    <a16:creationId xmlns:a16="http://schemas.microsoft.com/office/drawing/2014/main" id="{7902C065-325E-4ED1-959F-1B5098CAEA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2" name="Freeform 212">
                <a:extLst>
                  <a:ext uri="{FF2B5EF4-FFF2-40B4-BE49-F238E27FC236}">
                    <a16:creationId xmlns:a16="http://schemas.microsoft.com/office/drawing/2014/main" id="{BEA15B7E-3EC3-47DC-BCA7-BAEA10AEB7C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3" name="Freeform 213">
                <a:extLst>
                  <a:ext uri="{FF2B5EF4-FFF2-40B4-BE49-F238E27FC236}">
                    <a16:creationId xmlns:a16="http://schemas.microsoft.com/office/drawing/2014/main" id="{B07A3E6F-6D20-4746-A468-5C9375E77C4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4" name="Freeform 214">
                <a:extLst>
                  <a:ext uri="{FF2B5EF4-FFF2-40B4-BE49-F238E27FC236}">
                    <a16:creationId xmlns:a16="http://schemas.microsoft.com/office/drawing/2014/main" id="{6C7E9DE2-6D84-4D59-BDD0-34581DD781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5" name="Freeform 215">
                <a:extLst>
                  <a:ext uri="{FF2B5EF4-FFF2-40B4-BE49-F238E27FC236}">
                    <a16:creationId xmlns:a16="http://schemas.microsoft.com/office/drawing/2014/main" id="{97D8C5E0-139C-47FC-93D3-0CA19C994C2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6" name="Freeform 216">
                <a:extLst>
                  <a:ext uri="{FF2B5EF4-FFF2-40B4-BE49-F238E27FC236}">
                    <a16:creationId xmlns:a16="http://schemas.microsoft.com/office/drawing/2014/main" id="{78441A6B-3A30-4FE0-A1D1-AF3164F6BF0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7" name="Freeform 217">
                <a:extLst>
                  <a:ext uri="{FF2B5EF4-FFF2-40B4-BE49-F238E27FC236}">
                    <a16:creationId xmlns:a16="http://schemas.microsoft.com/office/drawing/2014/main" id="{342A12E4-247E-4B9B-B301-E287DFA7B81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8" name="Freeform 218">
                <a:extLst>
                  <a:ext uri="{FF2B5EF4-FFF2-40B4-BE49-F238E27FC236}">
                    <a16:creationId xmlns:a16="http://schemas.microsoft.com/office/drawing/2014/main" id="{E8BB19BA-6C42-4819-91D7-D3B7ACF1E69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9" name="Freeform 219">
                <a:extLst>
                  <a:ext uri="{FF2B5EF4-FFF2-40B4-BE49-F238E27FC236}">
                    <a16:creationId xmlns:a16="http://schemas.microsoft.com/office/drawing/2014/main" id="{CCB81E14-FA4B-455A-A513-D44978AAE26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0" name="Freeform 220">
                <a:extLst>
                  <a:ext uri="{FF2B5EF4-FFF2-40B4-BE49-F238E27FC236}">
                    <a16:creationId xmlns:a16="http://schemas.microsoft.com/office/drawing/2014/main" id="{0493B301-D053-436D-B9D8-53DB0E4BDE2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1" name="Freeform 221">
                <a:extLst>
                  <a:ext uri="{FF2B5EF4-FFF2-40B4-BE49-F238E27FC236}">
                    <a16:creationId xmlns:a16="http://schemas.microsoft.com/office/drawing/2014/main" id="{0C0EF556-FD4C-4C0D-A200-5F3FF7F86AC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2" name="Freeform 222">
                <a:extLst>
                  <a:ext uri="{FF2B5EF4-FFF2-40B4-BE49-F238E27FC236}">
                    <a16:creationId xmlns:a16="http://schemas.microsoft.com/office/drawing/2014/main" id="{B1E2C231-56E8-4274-8D08-23EE33267F4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3" name="Freeform 223">
                <a:extLst>
                  <a:ext uri="{FF2B5EF4-FFF2-40B4-BE49-F238E27FC236}">
                    <a16:creationId xmlns:a16="http://schemas.microsoft.com/office/drawing/2014/main" id="{78F14A66-BF65-4658-A4BA-8124C34C15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4" name="Freeform 224">
                <a:extLst>
                  <a:ext uri="{FF2B5EF4-FFF2-40B4-BE49-F238E27FC236}">
                    <a16:creationId xmlns:a16="http://schemas.microsoft.com/office/drawing/2014/main" id="{E8C7B273-FD96-4912-9A40-FD2E5CDBEE7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5" name="Freeform 225">
                <a:extLst>
                  <a:ext uri="{FF2B5EF4-FFF2-40B4-BE49-F238E27FC236}">
                    <a16:creationId xmlns:a16="http://schemas.microsoft.com/office/drawing/2014/main" id="{776B303E-BE65-40EF-8BAE-80DAB6905E2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6" name="Freeform 226">
                <a:extLst>
                  <a:ext uri="{FF2B5EF4-FFF2-40B4-BE49-F238E27FC236}">
                    <a16:creationId xmlns:a16="http://schemas.microsoft.com/office/drawing/2014/main" id="{020D1E76-E3CD-4C92-B780-A5DA9963400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7" name="Freeform 227">
                <a:extLst>
                  <a:ext uri="{FF2B5EF4-FFF2-40B4-BE49-F238E27FC236}">
                    <a16:creationId xmlns:a16="http://schemas.microsoft.com/office/drawing/2014/main" id="{DC470AAC-6E1E-4FA5-B26F-59A930C181E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8" name="Freeform 228">
                <a:extLst>
                  <a:ext uri="{FF2B5EF4-FFF2-40B4-BE49-F238E27FC236}">
                    <a16:creationId xmlns:a16="http://schemas.microsoft.com/office/drawing/2014/main" id="{40CE724A-C1F0-4EBC-85D2-B58A7CBB0D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9" name="Freeform 229">
                <a:extLst>
                  <a:ext uri="{FF2B5EF4-FFF2-40B4-BE49-F238E27FC236}">
                    <a16:creationId xmlns:a16="http://schemas.microsoft.com/office/drawing/2014/main" id="{BAF943D0-F1FD-4597-8150-20DF54DC6C5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0" name="Freeform 230">
                <a:extLst>
                  <a:ext uri="{FF2B5EF4-FFF2-40B4-BE49-F238E27FC236}">
                    <a16:creationId xmlns:a16="http://schemas.microsoft.com/office/drawing/2014/main" id="{97B43D44-D9BB-4C6A-B42A-C941DF76757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1" name="Freeform 231">
                <a:extLst>
                  <a:ext uri="{FF2B5EF4-FFF2-40B4-BE49-F238E27FC236}">
                    <a16:creationId xmlns:a16="http://schemas.microsoft.com/office/drawing/2014/main" id="{2AF69AC1-7C46-44DC-A833-CDAD4418D9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2" name="Freeform 232">
                <a:extLst>
                  <a:ext uri="{FF2B5EF4-FFF2-40B4-BE49-F238E27FC236}">
                    <a16:creationId xmlns:a16="http://schemas.microsoft.com/office/drawing/2014/main" id="{EED4083D-B308-4D51-8445-01631B32DAE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3" name="Freeform 233">
                <a:extLst>
                  <a:ext uri="{FF2B5EF4-FFF2-40B4-BE49-F238E27FC236}">
                    <a16:creationId xmlns:a16="http://schemas.microsoft.com/office/drawing/2014/main" id="{FD6AB52F-F672-477E-8FD5-447972959F44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4" name="Freeform 234">
                <a:extLst>
                  <a:ext uri="{FF2B5EF4-FFF2-40B4-BE49-F238E27FC236}">
                    <a16:creationId xmlns:a16="http://schemas.microsoft.com/office/drawing/2014/main" id="{2DDAFE4F-AF92-435F-840A-2958323415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5" name="Freeform 235">
                <a:extLst>
                  <a:ext uri="{FF2B5EF4-FFF2-40B4-BE49-F238E27FC236}">
                    <a16:creationId xmlns:a16="http://schemas.microsoft.com/office/drawing/2014/main" id="{34FD0B78-0045-4DCA-8A40-B486C1C9485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6" name="Freeform 236">
                <a:extLst>
                  <a:ext uri="{FF2B5EF4-FFF2-40B4-BE49-F238E27FC236}">
                    <a16:creationId xmlns:a16="http://schemas.microsoft.com/office/drawing/2014/main" id="{7D42A6F7-F2DD-4A83-A34E-4F16759174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7" name="Rectangle 237">
                <a:extLst>
                  <a:ext uri="{FF2B5EF4-FFF2-40B4-BE49-F238E27FC236}">
                    <a16:creationId xmlns:a16="http://schemas.microsoft.com/office/drawing/2014/main" id="{EB04F37A-F8D3-41A6-8F2B-FD4B3419553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358" name="Freeform 238">
                <a:extLst>
                  <a:ext uri="{FF2B5EF4-FFF2-40B4-BE49-F238E27FC236}">
                    <a16:creationId xmlns:a16="http://schemas.microsoft.com/office/drawing/2014/main" id="{8B07CAF8-7885-49AB-A143-8F4D8F5D54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9" name="Freeform 239">
                <a:extLst>
                  <a:ext uri="{FF2B5EF4-FFF2-40B4-BE49-F238E27FC236}">
                    <a16:creationId xmlns:a16="http://schemas.microsoft.com/office/drawing/2014/main" id="{71958173-E070-47F8-B304-61D6DA9B351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0" name="Freeform 240">
                <a:extLst>
                  <a:ext uri="{FF2B5EF4-FFF2-40B4-BE49-F238E27FC236}">
                    <a16:creationId xmlns:a16="http://schemas.microsoft.com/office/drawing/2014/main" id="{35754800-0204-48A1-B828-BCE0470ABD6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1" name="Freeform 241">
                <a:extLst>
                  <a:ext uri="{FF2B5EF4-FFF2-40B4-BE49-F238E27FC236}">
                    <a16:creationId xmlns:a16="http://schemas.microsoft.com/office/drawing/2014/main" id="{A4E71770-62DF-47E5-B1AF-3B09AAF4164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2" name="Freeform 242">
                <a:extLst>
                  <a:ext uri="{FF2B5EF4-FFF2-40B4-BE49-F238E27FC236}">
                    <a16:creationId xmlns:a16="http://schemas.microsoft.com/office/drawing/2014/main" id="{3D4E953A-34D2-42CA-8BE2-C973585511D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3" name="Freeform 243">
                <a:extLst>
                  <a:ext uri="{FF2B5EF4-FFF2-40B4-BE49-F238E27FC236}">
                    <a16:creationId xmlns:a16="http://schemas.microsoft.com/office/drawing/2014/main" id="{D6452C50-EB53-4C79-BF39-90C928C2AA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4" name="Freeform 244">
                <a:extLst>
                  <a:ext uri="{FF2B5EF4-FFF2-40B4-BE49-F238E27FC236}">
                    <a16:creationId xmlns:a16="http://schemas.microsoft.com/office/drawing/2014/main" id="{F79F4D0C-7CF4-4827-BAA4-935861FFBF7B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5" name="Freeform 245">
                <a:extLst>
                  <a:ext uri="{FF2B5EF4-FFF2-40B4-BE49-F238E27FC236}">
                    <a16:creationId xmlns:a16="http://schemas.microsoft.com/office/drawing/2014/main" id="{D6E99CB6-8F07-4828-BFAA-83AFD1B6C58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6" name="Freeform 246">
                <a:extLst>
                  <a:ext uri="{FF2B5EF4-FFF2-40B4-BE49-F238E27FC236}">
                    <a16:creationId xmlns:a16="http://schemas.microsoft.com/office/drawing/2014/main" id="{5DF09438-6317-4541-BCC1-9E7B85BF60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7" name="Freeform 247">
                <a:extLst>
                  <a:ext uri="{FF2B5EF4-FFF2-40B4-BE49-F238E27FC236}">
                    <a16:creationId xmlns:a16="http://schemas.microsoft.com/office/drawing/2014/main" id="{5E64ECF0-DBAC-4C2B-B7A5-701A5C84FB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8" name="Freeform 248">
                <a:extLst>
                  <a:ext uri="{FF2B5EF4-FFF2-40B4-BE49-F238E27FC236}">
                    <a16:creationId xmlns:a16="http://schemas.microsoft.com/office/drawing/2014/main" id="{33E04EB3-3D93-4799-862D-29F5A602703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9" name="Freeform 249">
                <a:extLst>
                  <a:ext uri="{FF2B5EF4-FFF2-40B4-BE49-F238E27FC236}">
                    <a16:creationId xmlns:a16="http://schemas.microsoft.com/office/drawing/2014/main" id="{05971EA5-0DF1-470E-BBD2-C91321A92E8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0" name="Freeform 250">
                <a:extLst>
                  <a:ext uri="{FF2B5EF4-FFF2-40B4-BE49-F238E27FC236}">
                    <a16:creationId xmlns:a16="http://schemas.microsoft.com/office/drawing/2014/main" id="{50CCCC6E-BB7F-45B9-AB1A-0DEE5D634B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1" name="Freeform 251">
                <a:extLst>
                  <a:ext uri="{FF2B5EF4-FFF2-40B4-BE49-F238E27FC236}">
                    <a16:creationId xmlns:a16="http://schemas.microsoft.com/office/drawing/2014/main" id="{3B9065CD-A2F0-40B5-9430-9175E3A4D0A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2" name="Freeform 252">
                <a:extLst>
                  <a:ext uri="{FF2B5EF4-FFF2-40B4-BE49-F238E27FC236}">
                    <a16:creationId xmlns:a16="http://schemas.microsoft.com/office/drawing/2014/main" id="{AA428CC0-5AD0-4D4A-806B-CBB0CB58E74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3" name="Freeform 253">
                <a:extLst>
                  <a:ext uri="{FF2B5EF4-FFF2-40B4-BE49-F238E27FC236}">
                    <a16:creationId xmlns:a16="http://schemas.microsoft.com/office/drawing/2014/main" id="{BC5A167B-3F57-439A-A3C5-EF2674DCC0E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4" name="Freeform 254">
                <a:extLst>
                  <a:ext uri="{FF2B5EF4-FFF2-40B4-BE49-F238E27FC236}">
                    <a16:creationId xmlns:a16="http://schemas.microsoft.com/office/drawing/2014/main" id="{8A3D79EE-A9DE-46D3-9E64-AEE3FEA5CC2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5" name="Freeform 255">
                <a:extLst>
                  <a:ext uri="{FF2B5EF4-FFF2-40B4-BE49-F238E27FC236}">
                    <a16:creationId xmlns:a16="http://schemas.microsoft.com/office/drawing/2014/main" id="{48932614-01BE-4824-933F-C2B02CCED0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6" name="Freeform 256">
                <a:extLst>
                  <a:ext uri="{FF2B5EF4-FFF2-40B4-BE49-F238E27FC236}">
                    <a16:creationId xmlns:a16="http://schemas.microsoft.com/office/drawing/2014/main" id="{39054BAF-9801-46BA-8BC2-71DB19A7144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7" name="Freeform 257">
                <a:extLst>
                  <a:ext uri="{FF2B5EF4-FFF2-40B4-BE49-F238E27FC236}">
                    <a16:creationId xmlns:a16="http://schemas.microsoft.com/office/drawing/2014/main" id="{CA078F1B-AED1-4694-B789-90D738B5D74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8" name="Freeform 258">
                <a:extLst>
                  <a:ext uri="{FF2B5EF4-FFF2-40B4-BE49-F238E27FC236}">
                    <a16:creationId xmlns:a16="http://schemas.microsoft.com/office/drawing/2014/main" id="{5CDB0E66-442A-410B-BDFB-E51D74AF4AB8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9" name="Freeform 259">
                <a:extLst>
                  <a:ext uri="{FF2B5EF4-FFF2-40B4-BE49-F238E27FC236}">
                    <a16:creationId xmlns:a16="http://schemas.microsoft.com/office/drawing/2014/main" id="{8B90786B-918E-4C9C-9410-1056D23588A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80" name="Freeform 260">
                <a:extLst>
                  <a:ext uri="{FF2B5EF4-FFF2-40B4-BE49-F238E27FC236}">
                    <a16:creationId xmlns:a16="http://schemas.microsoft.com/office/drawing/2014/main" id="{7FB9AD6C-8540-4DD3-BB22-79F5B7321B5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294" name="Freeform 29">
              <a:extLst>
                <a:ext uri="{FF2B5EF4-FFF2-40B4-BE49-F238E27FC236}">
                  <a16:creationId xmlns:a16="http://schemas.microsoft.com/office/drawing/2014/main" id="{51F21271-A86F-428A-B08F-378E2F655D9B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5" name="Freeform 38">
              <a:extLst>
                <a:ext uri="{FF2B5EF4-FFF2-40B4-BE49-F238E27FC236}">
                  <a16:creationId xmlns:a16="http://schemas.microsoft.com/office/drawing/2014/main" id="{B72C3367-8B02-4C07-BF69-46C481DF1753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6" name="Freeform 40">
              <a:extLst>
                <a:ext uri="{FF2B5EF4-FFF2-40B4-BE49-F238E27FC236}">
                  <a16:creationId xmlns:a16="http://schemas.microsoft.com/office/drawing/2014/main" id="{4E0A6EC1-4377-425F-82D1-6EEF51A8EC75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7" name="Freeform 41">
              <a:extLst>
                <a:ext uri="{FF2B5EF4-FFF2-40B4-BE49-F238E27FC236}">
                  <a16:creationId xmlns:a16="http://schemas.microsoft.com/office/drawing/2014/main" id="{90C66FC8-3426-4B6B-891E-D924A34892E3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8" name="Freeform 42">
              <a:extLst>
                <a:ext uri="{FF2B5EF4-FFF2-40B4-BE49-F238E27FC236}">
                  <a16:creationId xmlns:a16="http://schemas.microsoft.com/office/drawing/2014/main" id="{73302725-F7A5-42EA-BCDE-577B5550E80C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9" name="Freeform 43">
              <a:extLst>
                <a:ext uri="{FF2B5EF4-FFF2-40B4-BE49-F238E27FC236}">
                  <a16:creationId xmlns:a16="http://schemas.microsoft.com/office/drawing/2014/main" id="{8380B316-3E6B-413E-914E-391A7BA932F6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0" name="Freeform 44">
              <a:extLst>
                <a:ext uri="{FF2B5EF4-FFF2-40B4-BE49-F238E27FC236}">
                  <a16:creationId xmlns:a16="http://schemas.microsoft.com/office/drawing/2014/main" id="{DA464E03-20AD-463A-ADBC-72ADD733906E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1" name="Freeform 45">
              <a:extLst>
                <a:ext uri="{FF2B5EF4-FFF2-40B4-BE49-F238E27FC236}">
                  <a16:creationId xmlns:a16="http://schemas.microsoft.com/office/drawing/2014/main" id="{8D1CFBE3-F450-436D-9F1A-C176CEC09C4D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2" name="Freeform 49">
              <a:extLst>
                <a:ext uri="{FF2B5EF4-FFF2-40B4-BE49-F238E27FC236}">
                  <a16:creationId xmlns:a16="http://schemas.microsoft.com/office/drawing/2014/main" id="{65F94E5E-9102-4990-BD64-98230CE8491E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3" name="Freeform 50">
              <a:extLst>
                <a:ext uri="{FF2B5EF4-FFF2-40B4-BE49-F238E27FC236}">
                  <a16:creationId xmlns:a16="http://schemas.microsoft.com/office/drawing/2014/main" id="{45F89E62-34BD-49BD-939A-8A7A978F608B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4" name="Freeform 55">
              <a:extLst>
                <a:ext uri="{FF2B5EF4-FFF2-40B4-BE49-F238E27FC236}">
                  <a16:creationId xmlns:a16="http://schemas.microsoft.com/office/drawing/2014/main" id="{B3413341-EFCD-4B4F-8BD3-E8AC73AA5289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5" name="Freeform 56">
              <a:extLst>
                <a:ext uri="{FF2B5EF4-FFF2-40B4-BE49-F238E27FC236}">
                  <a16:creationId xmlns:a16="http://schemas.microsoft.com/office/drawing/2014/main" id="{ACD04D60-898F-449A-B20D-16E6DC5AEA5B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6" name="Freeform 57">
              <a:extLst>
                <a:ext uri="{FF2B5EF4-FFF2-40B4-BE49-F238E27FC236}">
                  <a16:creationId xmlns:a16="http://schemas.microsoft.com/office/drawing/2014/main" id="{D7008D69-2C4A-478A-80AA-3E9BE3180E4F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7" name="Freeform 58">
              <a:extLst>
                <a:ext uri="{FF2B5EF4-FFF2-40B4-BE49-F238E27FC236}">
                  <a16:creationId xmlns:a16="http://schemas.microsoft.com/office/drawing/2014/main" id="{6C94EB6D-2457-445D-8892-A9C8EA0901B2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8" name="Freeform 59">
              <a:extLst>
                <a:ext uri="{FF2B5EF4-FFF2-40B4-BE49-F238E27FC236}">
                  <a16:creationId xmlns:a16="http://schemas.microsoft.com/office/drawing/2014/main" id="{F2257319-1A64-4712-B753-0D5B5A4DE74C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9" name="Freeform 60">
              <a:extLst>
                <a:ext uri="{FF2B5EF4-FFF2-40B4-BE49-F238E27FC236}">
                  <a16:creationId xmlns:a16="http://schemas.microsoft.com/office/drawing/2014/main" id="{F843C214-0380-46AF-82C4-5528A4AD9272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0" name="Freeform 61">
              <a:extLst>
                <a:ext uri="{FF2B5EF4-FFF2-40B4-BE49-F238E27FC236}">
                  <a16:creationId xmlns:a16="http://schemas.microsoft.com/office/drawing/2014/main" id="{46D6F5A7-CC8C-4231-BCDA-7E6290FD7989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1" name="Freeform 73">
              <a:extLst>
                <a:ext uri="{FF2B5EF4-FFF2-40B4-BE49-F238E27FC236}">
                  <a16:creationId xmlns:a16="http://schemas.microsoft.com/office/drawing/2014/main" id="{69D492C7-4353-4677-8E80-40933E4137DF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2" name="Freeform 74">
              <a:extLst>
                <a:ext uri="{FF2B5EF4-FFF2-40B4-BE49-F238E27FC236}">
                  <a16:creationId xmlns:a16="http://schemas.microsoft.com/office/drawing/2014/main" id="{0C22DB3B-BD3C-4EF7-9607-25350A64841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3" name="Freeform 75">
              <a:extLst>
                <a:ext uri="{FF2B5EF4-FFF2-40B4-BE49-F238E27FC236}">
                  <a16:creationId xmlns:a16="http://schemas.microsoft.com/office/drawing/2014/main" id="{A748BE04-89C4-46A6-85A2-59C595E913EC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4" name="Freeform 76">
              <a:extLst>
                <a:ext uri="{FF2B5EF4-FFF2-40B4-BE49-F238E27FC236}">
                  <a16:creationId xmlns:a16="http://schemas.microsoft.com/office/drawing/2014/main" id="{3108D106-D85A-4706-8598-66763AA6F3DC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5" name="Freeform 78">
              <a:extLst>
                <a:ext uri="{FF2B5EF4-FFF2-40B4-BE49-F238E27FC236}">
                  <a16:creationId xmlns:a16="http://schemas.microsoft.com/office/drawing/2014/main" id="{D5109309-135F-499E-9101-B3A92A1AB097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6" name="Freeform 79">
              <a:extLst>
                <a:ext uri="{FF2B5EF4-FFF2-40B4-BE49-F238E27FC236}">
                  <a16:creationId xmlns:a16="http://schemas.microsoft.com/office/drawing/2014/main" id="{C8A0D55C-A171-43AF-B67D-BF96136EF238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7" name="Freeform 81">
              <a:extLst>
                <a:ext uri="{FF2B5EF4-FFF2-40B4-BE49-F238E27FC236}">
                  <a16:creationId xmlns:a16="http://schemas.microsoft.com/office/drawing/2014/main" id="{840E7CDF-CCDC-413C-A64B-A4B5ACB63A54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8" name="Freeform 83">
              <a:extLst>
                <a:ext uri="{FF2B5EF4-FFF2-40B4-BE49-F238E27FC236}">
                  <a16:creationId xmlns:a16="http://schemas.microsoft.com/office/drawing/2014/main" id="{A21834BE-839D-4424-A55B-BDBB8A834A72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9" name="Freeform 84">
              <a:extLst>
                <a:ext uri="{FF2B5EF4-FFF2-40B4-BE49-F238E27FC236}">
                  <a16:creationId xmlns:a16="http://schemas.microsoft.com/office/drawing/2014/main" id="{10FB62AF-E068-4FEE-815B-2C941B85F4D3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0" name="Freeform 91">
              <a:extLst>
                <a:ext uri="{FF2B5EF4-FFF2-40B4-BE49-F238E27FC236}">
                  <a16:creationId xmlns:a16="http://schemas.microsoft.com/office/drawing/2014/main" id="{BF7F8B73-4E32-4269-8A48-950C05350B4D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1" name="Freeform 95">
              <a:extLst>
                <a:ext uri="{FF2B5EF4-FFF2-40B4-BE49-F238E27FC236}">
                  <a16:creationId xmlns:a16="http://schemas.microsoft.com/office/drawing/2014/main" id="{C27A550E-67FB-4495-981F-FB55E33ED2CA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2" name="Freeform 96">
              <a:extLst>
                <a:ext uri="{FF2B5EF4-FFF2-40B4-BE49-F238E27FC236}">
                  <a16:creationId xmlns:a16="http://schemas.microsoft.com/office/drawing/2014/main" id="{FFA46B71-A7FB-4546-9FF2-F4216A73597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3" name="Freeform 98">
              <a:extLst>
                <a:ext uri="{FF2B5EF4-FFF2-40B4-BE49-F238E27FC236}">
                  <a16:creationId xmlns:a16="http://schemas.microsoft.com/office/drawing/2014/main" id="{A6A5DBCD-DF18-4EB2-B64E-9FF1973250C7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84413-2478-4F19-BF30-750B5D840478}" name="ClientDB" displayName="ClientDB" ref="A6:R368" headerRowDxfId="26" dataDxfId="25">
  <sortState xmlns:xlrd2="http://schemas.microsoft.com/office/spreadsheetml/2017/richdata2" ref="A7:R368">
    <sortCondition ref="A6:A368"/>
  </sortState>
  <tableColumns count="18">
    <tableColumn id="1" xr3:uid="{27723DA1-AFA4-4B5D-95CE-135C2A329BE7}" name="Client ID" totalsRowLabel="Total" dataDxfId="24" totalsRowDxfId="23"/>
    <tableColumn id="2" xr3:uid="{FF723E2F-1550-4F40-8ECB-D0211AE07D11}" name="First Name"/>
    <tableColumn id="3" xr3:uid="{3EE0C05B-079D-4E29-AA5E-2A13CEB66EC2}" name="Last Name"/>
    <tableColumn id="5" xr3:uid="{64141CCD-43EA-44E3-B8E4-8C5A86650588}" name="Start Date" dataDxfId="22" totalsRowDxfId="21"/>
    <tableColumn id="17" xr3:uid="{E012D79B-48F0-4DA9-969B-AB3CA8180292}" name="Start Year" dataDxfId="20" totalsRowDxfId="19">
      <calculatedColumnFormula>YEAR(ClientDB[[#This Row],[Start Date]])</calculatedColumnFormula>
    </tableColumn>
    <tableColumn id="13" xr3:uid="{B540CB7C-0240-4DD7-8295-5E4FD7F83060}" name="Org Code" dataDxfId="18"/>
    <tableColumn id="4" xr3:uid="{C3C729DB-F2F8-4E53-8DA6-6D4D5AE65BA0}" name="Organisation" dataDxfId="1">
      <calculatedColumnFormula>VLOOKUP(ClientDB[[#This Row],[Org Code]],'Lookup Lists'!$A$7:$B$52,2,0)</calculatedColumnFormula>
    </tableColumn>
    <tableColumn id="7" xr3:uid="{D0168852-6033-4FA1-A83D-A7B7D3E1B8B7}" name="Country Code" dataDxfId="17" totalsRowDxfId="16"/>
    <tableColumn id="14" xr3:uid="{C5FDD723-0E43-4AE2-8512-A94BF494CFD0}" name="Country" dataDxfId="2">
      <calculatedColumnFormula>VLOOKUP(ClientDB[[#This Row],[Country Code]],'Lookup Lists'!$D$7:$E$59,2,0)</calculatedColumnFormula>
    </tableColumn>
    <tableColumn id="8" xr3:uid="{B60A2D05-D9EA-4581-8FE6-1B1B04FCF996}" name="Events" dataDxfId="15" totalsRowDxfId="14"/>
    <tableColumn id="9" xr3:uid="{F164C450-C121-4388-B4F2-FC818B8AA1B9}" name="New*" dataDxfId="9">
      <calculatedColumnFormula>IF(ClientDB[[#This Row],[Start Date]]&gt;=$U$14,"New","")</calculatedColumnFormula>
    </tableColumn>
    <tableColumn id="11" xr3:uid="{9370A329-6A81-4E6F-BCF9-319A9FD5D1D0}" name="Gift?" dataDxfId="8">
      <calculatedColumnFormula>IF(AND(ClientDB[[#This Row],[Start Year]]&lt;2016,ClientDB[[#This Row],[Events]]&gt;=6),"Gift","")</calculatedColumnFormula>
    </tableColumn>
    <tableColumn id="10" xr3:uid="{BF2AC1E4-A140-48E2-82FD-A0F175511716}" name="Status" dataDxfId="5">
      <calculatedColumnFormula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calculatedColumnFormula>
    </tableColumn>
    <tableColumn id="20" xr3:uid="{FAA450E2-6E77-4EF0-B986-B51C0A84A956}" name="Days" dataDxfId="13" totalsRowDxfId="12"/>
    <tableColumn id="21" xr3:uid="{E147439B-5EB3-4F49-B37E-49816E1B6C0A}" name="Price" totalsRowFunction="sum" dataDxfId="7">
      <calculatedColumnFormula>ClientDB[[#This Row],[Days]]*(IF(ClientDB[[#This Row],[Days]]&gt;1,300,350))</calculatedColumnFormula>
    </tableColumn>
    <tableColumn id="22" xr3:uid="{E2DE97A0-AC04-475A-9672-49F534DBBC4E}" name="After Discount" dataDxfId="6">
      <calculatedColumnFormula>(IF(ClientDB[[#This Row],[Events]]&gt;=10,ClientDB[[#This Row],[Price]]-ClientDB[[#This Row],[Price]]*20%,IF(AND(ClientDB[[#This Row],[Events]]&gt;=5,ClientDB[[#This Row],[Events]]&lt;=9),ClientDB[[#This Row],[Price]]-50,ClientDB[[#This Row],[Price]])))</calculatedColumnFormula>
    </tableColumn>
    <tableColumn id="16" xr3:uid="{F1789CFB-8C45-4F90-91F0-D468DE406811}" name="Meal" dataDxfId="11" totalsRowDxfId="10"/>
    <tableColumn id="15" xr3:uid="{3C9BF50B-D63B-4FAD-AB84-A8D3F6577159}" name="Seating" dataDxfId="0">
      <calculatedColumnFormula>INDEX('Lookup Lists'!$H$7:$K$59,MATCH(ClientDB[[#This Row],[Country Code]],'Lookup Lists'!$G$7:$G$59,0),(MATCH(ClientDB[[#This Row],[Meal]],'Lookup Lists'!$H$6:$K$6,0)))</calculatedColumnFormula>
    </tableColumn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Depth">
  <a:themeElements>
    <a:clrScheme name="Depth">
      <a:dk1>
        <a:sysClr val="windowText" lastClr="000000"/>
      </a:dk1>
      <a:lt1>
        <a:sysClr val="window" lastClr="FFFFFF"/>
      </a:lt1>
      <a:dk2>
        <a:srgbClr val="455F51"/>
      </a:dk2>
      <a:lt2>
        <a:srgbClr val="94D7E4"/>
      </a:lt2>
      <a:accent1>
        <a:srgbClr val="41AEBD"/>
      </a:accent1>
      <a:accent2>
        <a:srgbClr val="97E9D5"/>
      </a:accent2>
      <a:accent3>
        <a:srgbClr val="A2CF49"/>
      </a:accent3>
      <a:accent4>
        <a:srgbClr val="608F3D"/>
      </a:accent4>
      <a:accent5>
        <a:srgbClr val="F4DE3A"/>
      </a:accent5>
      <a:accent6>
        <a:srgbClr val="FCB11C"/>
      </a:accent6>
      <a:hlink>
        <a:srgbClr val="FBCA98"/>
      </a:hlink>
      <a:folHlink>
        <a:srgbClr val="D3B86D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epth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pth" id="{7BEAFC2A-325C-49C4-AC08-2B765DA903F9}" vid="{1735E755-43E6-43AA-ABA2-C989ECC79AF5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4EE6-830B-4EFF-8796-0BE0F8FFE090}">
  <dimension ref="A1:W368"/>
  <sheetViews>
    <sheetView showGridLines="0" tabSelected="1" topLeftCell="I18" zoomScaleNormal="100" workbookViewId="0">
      <selection activeCell="U34" sqref="U34"/>
    </sheetView>
  </sheetViews>
  <sheetFormatPr defaultRowHeight="14.25" x14ac:dyDescent="0.2"/>
  <cols>
    <col min="1" max="1" width="10.25" style="10" customWidth="1"/>
    <col min="2" max="2" width="13.875" customWidth="1"/>
    <col min="3" max="3" width="14.375" style="1" customWidth="1"/>
    <col min="4" max="4" width="11.375" style="1" customWidth="1"/>
    <col min="5" max="5" width="9.75" style="1" customWidth="1"/>
    <col min="6" max="6" width="9.625" style="19" customWidth="1"/>
    <col min="7" max="7" width="18.25" style="1" bestFit="1" customWidth="1"/>
    <col min="8" max="8" width="12.875" style="19" customWidth="1"/>
    <col min="9" max="9" width="17.125" style="19" customWidth="1"/>
    <col min="10" max="15" width="10" style="16" customWidth="1"/>
    <col min="16" max="16" width="12.625" style="16" bestFit="1" customWidth="1"/>
    <col min="17" max="17" width="10" style="16" customWidth="1"/>
    <col min="18" max="18" width="10" style="15" customWidth="1"/>
    <col min="19" max="19" width="5.5" customWidth="1"/>
    <col min="20" max="20" width="14.125" bestFit="1" customWidth="1"/>
    <col min="21" max="21" width="12.875" customWidth="1"/>
  </cols>
  <sheetData>
    <row r="1" spans="1:23" s="2" customFormat="1" x14ac:dyDescent="0.2">
      <c r="A1" s="6"/>
      <c r="F1" s="6"/>
      <c r="H1" s="6"/>
      <c r="I1" s="6"/>
      <c r="J1" s="11"/>
      <c r="K1" s="11"/>
      <c r="L1" s="11"/>
      <c r="M1" s="11"/>
      <c r="N1" s="11"/>
      <c r="O1" s="11"/>
      <c r="P1" s="11"/>
      <c r="Q1" s="11"/>
      <c r="R1" s="11"/>
    </row>
    <row r="2" spans="1:23" s="2" customFormat="1" ht="6" customHeight="1" x14ac:dyDescent="0.2">
      <c r="A2" s="7"/>
      <c r="B2" s="3"/>
      <c r="C2" s="3"/>
      <c r="D2" s="3"/>
      <c r="E2" s="3"/>
      <c r="F2" s="7"/>
      <c r="G2" s="3"/>
      <c r="H2" s="7"/>
      <c r="I2" s="7"/>
      <c r="J2" s="12"/>
      <c r="K2" s="12"/>
      <c r="L2" s="12"/>
      <c r="M2" s="12"/>
      <c r="N2" s="12"/>
      <c r="O2" s="12"/>
      <c r="P2" s="12"/>
      <c r="Q2" s="12"/>
      <c r="R2" s="12"/>
      <c r="S2"/>
    </row>
    <row r="3" spans="1:23" s="2" customFormat="1" ht="53.25" customHeight="1" x14ac:dyDescent="0.2">
      <c r="A3" s="8" t="s">
        <v>896</v>
      </c>
      <c r="B3" s="4"/>
      <c r="C3" s="4"/>
      <c r="D3" s="4"/>
      <c r="E3" s="4"/>
      <c r="F3" s="17"/>
      <c r="G3" s="4"/>
      <c r="H3" s="17"/>
      <c r="I3" s="17"/>
      <c r="J3" s="13"/>
      <c r="K3" s="13"/>
      <c r="L3" s="13"/>
      <c r="M3" s="13"/>
      <c r="N3" s="13"/>
      <c r="O3" s="13"/>
      <c r="P3" s="13"/>
      <c r="Q3" s="13"/>
      <c r="R3" s="13"/>
    </row>
    <row r="4" spans="1:23" s="2" customFormat="1" ht="14.25" customHeight="1" x14ac:dyDescent="0.2">
      <c r="A4" s="7"/>
      <c r="B4" s="3"/>
      <c r="C4" s="3"/>
      <c r="D4" s="3"/>
      <c r="E4" s="3"/>
      <c r="F4" s="7"/>
      <c r="G4" s="3"/>
      <c r="H4" s="7"/>
      <c r="I4" s="7"/>
      <c r="J4" s="12"/>
      <c r="K4" s="12"/>
      <c r="L4" s="12"/>
      <c r="M4" s="12"/>
      <c r="N4" s="12"/>
      <c r="O4" s="12"/>
      <c r="P4" s="12"/>
      <c r="Q4" s="12"/>
      <c r="R4" s="12"/>
    </row>
    <row r="5" spans="1:23" x14ac:dyDescent="0.2">
      <c r="F5" s="18"/>
    </row>
    <row r="6" spans="1:23" ht="16.5" thickBot="1" x14ac:dyDescent="0.25">
      <c r="A6" s="9" t="s">
        <v>770</v>
      </c>
      <c r="B6" s="5" t="s">
        <v>0</v>
      </c>
      <c r="C6" s="5" t="s">
        <v>1</v>
      </c>
      <c r="D6" s="9" t="s">
        <v>777</v>
      </c>
      <c r="E6" s="9" t="s">
        <v>897</v>
      </c>
      <c r="F6" s="5" t="s">
        <v>841</v>
      </c>
      <c r="G6" s="5" t="s">
        <v>2</v>
      </c>
      <c r="H6" s="9" t="s">
        <v>792</v>
      </c>
      <c r="I6" s="9" t="s">
        <v>3</v>
      </c>
      <c r="J6" s="14" t="s">
        <v>778</v>
      </c>
      <c r="K6" s="14" t="s">
        <v>779</v>
      </c>
      <c r="L6" s="14" t="s">
        <v>791</v>
      </c>
      <c r="M6" s="14" t="s">
        <v>773</v>
      </c>
      <c r="N6" s="14" t="s">
        <v>904</v>
      </c>
      <c r="O6" s="14" t="s">
        <v>906</v>
      </c>
      <c r="P6" s="14" t="s">
        <v>907</v>
      </c>
      <c r="Q6" s="14" t="s">
        <v>898</v>
      </c>
      <c r="R6" s="14" t="s">
        <v>903</v>
      </c>
      <c r="T6" s="9" t="s">
        <v>905</v>
      </c>
      <c r="U6" s="20"/>
      <c r="V6" s="20" t="s">
        <v>910</v>
      </c>
    </row>
    <row r="7" spans="1:23" x14ac:dyDescent="0.2">
      <c r="A7" s="10">
        <v>10130</v>
      </c>
      <c r="B7" t="s">
        <v>164</v>
      </c>
      <c r="C7" t="s">
        <v>165</v>
      </c>
      <c r="D7" s="18">
        <v>42701</v>
      </c>
      <c r="E7" s="37">
        <f>YEAR(ClientDB[[#This Row],[Start Date]])</f>
        <v>2016</v>
      </c>
      <c r="F7" t="s">
        <v>834</v>
      </c>
      <c r="G7" t="str">
        <f>VLOOKUP(ClientDB[[#This Row],[Org Code]],'Lookup Lists'!$A$7:$B$52,2,0)</f>
        <v>Verisize</v>
      </c>
      <c r="H7" s="10" t="s">
        <v>34</v>
      </c>
      <c r="I7" s="10" t="str">
        <f>VLOOKUP(ClientDB[[#This Row],[Country Code]],'Lookup Lists'!$D$7:$E$59,2,0)</f>
        <v>United States</v>
      </c>
      <c r="J7" s="15">
        <v>7</v>
      </c>
      <c r="K7" s="15" t="str">
        <f>IF(ClientDB[[#This Row],[Start Date]]&gt;=$U$14,"New","")</f>
        <v/>
      </c>
      <c r="L7" s="15" t="str">
        <f>IF(AND(ClientDB[[#This Row],[Start Year]]&lt;2016,ClientDB[[#This Row],[Events]]&gt;=6),"Gift","")</f>
        <v/>
      </c>
      <c r="M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7" s="15">
        <v>3</v>
      </c>
      <c r="O7" s="38">
        <f>ClientDB[[#This Row],[Days]]*(IF(ClientDB[[#This Row],[Days]]&gt;1,300,350))</f>
        <v>900</v>
      </c>
      <c r="P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7" s="15" t="s">
        <v>899</v>
      </c>
      <c r="R7" s="15" t="str">
        <f>INDEX('Lookup Lists'!$H$7:$K$59,MATCH(ClientDB[[#This Row],[Country Code]],'Lookup Lists'!$G$7:$G$59,0),(MATCH(ClientDB[[#This Row],[Meal]],'Lookup Lists'!$H$6:$K$6,0)))</f>
        <v>F</v>
      </c>
      <c r="T7" s="39" t="s">
        <v>911</v>
      </c>
      <c r="U7" s="29"/>
      <c r="V7" s="30">
        <v>350</v>
      </c>
    </row>
    <row r="8" spans="1:23" ht="15" thickBot="1" x14ac:dyDescent="0.25">
      <c r="A8" s="10">
        <v>10195</v>
      </c>
      <c r="B8" t="s">
        <v>199</v>
      </c>
      <c r="C8" t="s">
        <v>200</v>
      </c>
      <c r="D8" s="18">
        <v>43692</v>
      </c>
      <c r="E8" s="37">
        <f>YEAR(ClientDB[[#This Row],[Start Date]])</f>
        <v>2019</v>
      </c>
      <c r="F8" t="s">
        <v>817</v>
      </c>
      <c r="G8" t="str">
        <f>VLOOKUP(ClientDB[[#This Row],[Org Code]],'Lookup Lists'!$A$7:$B$52,2,0)</f>
        <v>LACNE</v>
      </c>
      <c r="H8" s="10" t="s">
        <v>15</v>
      </c>
      <c r="I8" s="10" t="str">
        <f>VLOOKUP(ClientDB[[#This Row],[Country Code]],'Lookup Lists'!$D$7:$E$59,2,0)</f>
        <v>United Kingdom</v>
      </c>
      <c r="J8" s="15">
        <v>2</v>
      </c>
      <c r="K8" s="15" t="str">
        <f>IF(ClientDB[[#This Row],[Start Date]]&gt;=$U$14,"New","")</f>
        <v/>
      </c>
      <c r="L8" s="15" t="str">
        <f>IF(AND(ClientDB[[#This Row],[Start Year]]&lt;2016,ClientDB[[#This Row],[Events]]&gt;=6),"Gift","")</f>
        <v/>
      </c>
      <c r="M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8" s="15">
        <v>2</v>
      </c>
      <c r="O8" s="38">
        <f>ClientDB[[#This Row],[Days]]*(IF(ClientDB[[#This Row],[Days]]&gt;1,300,350))</f>
        <v>600</v>
      </c>
      <c r="P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8" s="15" t="s">
        <v>901</v>
      </c>
      <c r="R8" s="15" t="str">
        <f>INDEX('Lookup Lists'!$H$7:$K$59,MATCH(ClientDB[[#This Row],[Country Code]],'Lookup Lists'!$G$7:$G$59,0),(MATCH(ClientDB[[#This Row],[Meal]],'Lookup Lists'!$H$6:$K$6,0)))</f>
        <v>E</v>
      </c>
      <c r="T8" s="40" t="s">
        <v>912</v>
      </c>
      <c r="U8" s="33"/>
      <c r="V8" s="43">
        <v>300</v>
      </c>
    </row>
    <row r="9" spans="1:23" x14ac:dyDescent="0.2">
      <c r="A9" s="10">
        <v>10315</v>
      </c>
      <c r="B9" t="s">
        <v>127</v>
      </c>
      <c r="C9" t="s">
        <v>128</v>
      </c>
      <c r="D9" s="18">
        <v>43719</v>
      </c>
      <c r="E9" s="37">
        <f>YEAR(ClientDB[[#This Row],[Start Date]])</f>
        <v>2019</v>
      </c>
      <c r="F9" t="s">
        <v>815</v>
      </c>
      <c r="G9" t="str">
        <f>VLOOKUP(ClientDB[[#This Row],[Org Code]],'Lookup Lists'!$A$7:$B$52,2,0)</f>
        <v>Intelligence Systems</v>
      </c>
      <c r="H9" s="10" t="s">
        <v>7</v>
      </c>
      <c r="I9" s="10" t="str">
        <f>VLOOKUP(ClientDB[[#This Row],[Country Code]],'Lookup Lists'!$D$7:$E$59,2,0)</f>
        <v>Iran</v>
      </c>
      <c r="J9" s="15">
        <v>3</v>
      </c>
      <c r="K9" s="15" t="str">
        <f>IF(ClientDB[[#This Row],[Start Date]]&gt;=$U$14,"New","")</f>
        <v/>
      </c>
      <c r="L9" s="45" t="str">
        <f>IF(AND(ClientDB[[#This Row],[Start Year]]&lt;2016,ClientDB[[#This Row],[Events]]&gt;=6),"Gift","")</f>
        <v/>
      </c>
      <c r="M9" s="4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9" s="15">
        <v>1</v>
      </c>
      <c r="O9" s="38">
        <f>ClientDB[[#This Row],[Days]]*(IF(ClientDB[[#This Row],[Days]]&gt;1,300,350))</f>
        <v>350</v>
      </c>
      <c r="P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9" s="15" t="s">
        <v>901</v>
      </c>
      <c r="R9" s="15" t="str">
        <f>INDEX('Lookup Lists'!$H$7:$K$59,MATCH(ClientDB[[#This Row],[Country Code]],'Lookup Lists'!$G$7:$G$59,0),(MATCH(ClientDB[[#This Row],[Meal]],'Lookup Lists'!$H$6:$K$6,0)))</f>
        <v>F</v>
      </c>
    </row>
    <row r="10" spans="1:23" ht="16.5" thickBot="1" x14ac:dyDescent="0.25">
      <c r="A10" s="10">
        <v>10540</v>
      </c>
      <c r="B10" t="s">
        <v>106</v>
      </c>
      <c r="C10" t="s">
        <v>107</v>
      </c>
      <c r="D10" s="18">
        <v>44011</v>
      </c>
      <c r="E10" s="37">
        <f>YEAR(ClientDB[[#This Row],[Start Date]])</f>
        <v>2020</v>
      </c>
      <c r="F10" t="s">
        <v>802</v>
      </c>
      <c r="G10" t="str">
        <f>VLOOKUP(ClientDB[[#This Row],[Org Code]],'Lookup Lists'!$A$7:$B$52,2,0)</f>
        <v>Colot</v>
      </c>
      <c r="H10" s="10" t="s">
        <v>109</v>
      </c>
      <c r="I10" s="10" t="str">
        <f>VLOOKUP(ClientDB[[#This Row],[Country Code]],'Lookup Lists'!$D$7:$E$59,2,0)</f>
        <v>Greece</v>
      </c>
      <c r="J10" s="15">
        <v>2</v>
      </c>
      <c r="K10" s="15" t="str">
        <f>IF(ClientDB[[#This Row],[Start Date]]&gt;=$U$14,"New","")</f>
        <v>New</v>
      </c>
      <c r="L10" s="45" t="str">
        <f>IF(AND(ClientDB[[#This Row],[Start Year]]&lt;2016,ClientDB[[#This Row],[Events]]&gt;=6),"Gift","")</f>
        <v/>
      </c>
      <c r="M10" s="4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0" s="15">
        <v>3</v>
      </c>
      <c r="O10" s="38">
        <f>ClientDB[[#This Row],[Days]]*(IF(ClientDB[[#This Row],[Days]]&gt;1,300,350))</f>
        <v>900</v>
      </c>
      <c r="P1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10" s="15" t="s">
        <v>900</v>
      </c>
      <c r="R10" s="15" t="str">
        <f>INDEX('Lookup Lists'!$H$7:$K$59,MATCH(ClientDB[[#This Row],[Country Code]],'Lookup Lists'!$G$7:$G$59,0),(MATCH(ClientDB[[#This Row],[Meal]],'Lookup Lists'!$H$6:$K$6,0)))</f>
        <v>A</v>
      </c>
      <c r="T10" s="14" t="s">
        <v>780</v>
      </c>
      <c r="U10" s="20"/>
      <c r="V10" s="20" t="s">
        <v>913</v>
      </c>
    </row>
    <row r="11" spans="1:23" x14ac:dyDescent="0.2">
      <c r="A11" s="10">
        <v>10639</v>
      </c>
      <c r="B11" t="s">
        <v>644</v>
      </c>
      <c r="C11" t="s">
        <v>645</v>
      </c>
      <c r="D11" s="18">
        <v>43596</v>
      </c>
      <c r="E11" s="37">
        <f>YEAR(ClientDB[[#This Row],[Start Date]])</f>
        <v>2019</v>
      </c>
      <c r="F11" t="s">
        <v>803</v>
      </c>
      <c r="G11" t="str">
        <f>VLOOKUP(ClientDB[[#This Row],[Org Code]],'Lookup Lists'!$A$7:$B$52,2,0)</f>
        <v>CTX</v>
      </c>
      <c r="H11" s="10" t="s">
        <v>175</v>
      </c>
      <c r="I11" s="10" t="str">
        <f>VLOOKUP(ClientDB[[#This Row],[Country Code]],'Lookup Lists'!$D$7:$E$59,2,0)</f>
        <v>Australia</v>
      </c>
      <c r="J11" s="15">
        <v>5</v>
      </c>
      <c r="K11" s="15" t="str">
        <f>IF(ClientDB[[#This Row],[Start Date]]&gt;=$U$14,"New","")</f>
        <v/>
      </c>
      <c r="L11" s="45" t="str">
        <f>IF(AND(ClientDB[[#This Row],[Start Year]]&lt;2016,ClientDB[[#This Row],[Events]]&gt;=6),"Gift","")</f>
        <v/>
      </c>
      <c r="M11" s="4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1" s="15">
        <v>3</v>
      </c>
      <c r="O11" s="38">
        <f>ClientDB[[#This Row],[Days]]*(IF(ClientDB[[#This Row],[Days]]&gt;1,300,350))</f>
        <v>900</v>
      </c>
      <c r="P1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11" s="15" t="s">
        <v>901</v>
      </c>
      <c r="R11" s="15" t="str">
        <f>INDEX('Lookup Lists'!$H$7:$K$59,MATCH(ClientDB[[#This Row],[Country Code]],'Lookup Lists'!$G$7:$G$59,0),(MATCH(ClientDB[[#This Row],[Meal]],'Lookup Lists'!$H$6:$K$6,0)))</f>
        <v>D</v>
      </c>
      <c r="T11" s="39" t="s">
        <v>914</v>
      </c>
      <c r="U11" s="29"/>
      <c r="V11" s="42">
        <v>0.2</v>
      </c>
    </row>
    <row r="12" spans="1:23" ht="15" thickBot="1" x14ac:dyDescent="0.25">
      <c r="A12" s="10">
        <v>10679</v>
      </c>
      <c r="B12" t="s">
        <v>523</v>
      </c>
      <c r="C12" t="s">
        <v>524</v>
      </c>
      <c r="D12" s="18">
        <v>43784</v>
      </c>
      <c r="E12" s="37">
        <f>YEAR(ClientDB[[#This Row],[Start Date]])</f>
        <v>2019</v>
      </c>
      <c r="F12" t="s">
        <v>830</v>
      </c>
      <c r="G12" t="str">
        <f>VLOOKUP(ClientDB[[#This Row],[Org Code]],'Lookup Lists'!$A$7:$B$52,2,0)</f>
        <v>Steps IT Training</v>
      </c>
      <c r="H12" s="10" t="s">
        <v>46</v>
      </c>
      <c r="I12" s="10" t="str">
        <f>VLOOKUP(ClientDB[[#This Row],[Country Code]],'Lookup Lists'!$D$7:$E$59,2,0)</f>
        <v>Germany</v>
      </c>
      <c r="J12" s="15">
        <v>9</v>
      </c>
      <c r="K12" s="15" t="str">
        <f>IF(ClientDB[[#This Row],[Start Date]]&gt;=$U$14,"New","")</f>
        <v/>
      </c>
      <c r="L12" s="45" t="str">
        <f>IF(AND(ClientDB[[#This Row],[Start Year]]&lt;2016,ClientDB[[#This Row],[Events]]&gt;=6),"Gift","")</f>
        <v/>
      </c>
      <c r="M12" s="4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2" s="15">
        <v>2</v>
      </c>
      <c r="O12" s="38">
        <f>ClientDB[[#This Row],[Days]]*(IF(ClientDB[[#This Row],[Days]]&gt;1,300,350))</f>
        <v>600</v>
      </c>
      <c r="P1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12" s="15" t="s">
        <v>899</v>
      </c>
      <c r="R12" s="15" t="str">
        <f>INDEX('Lookup Lists'!$H$7:$K$59,MATCH(ClientDB[[#This Row],[Country Code]],'Lookup Lists'!$G$7:$G$59,0),(MATCH(ClientDB[[#This Row],[Meal]],'Lookup Lists'!$H$6:$K$6,0)))</f>
        <v>A</v>
      </c>
      <c r="T12" s="40" t="s">
        <v>915</v>
      </c>
      <c r="U12" s="33"/>
      <c r="V12" s="44">
        <v>50</v>
      </c>
    </row>
    <row r="13" spans="1:23" ht="15" thickBot="1" x14ac:dyDescent="0.25">
      <c r="A13" s="10">
        <v>10932</v>
      </c>
      <c r="B13" t="s">
        <v>454</v>
      </c>
      <c r="C13" t="s">
        <v>455</v>
      </c>
      <c r="D13" s="18">
        <v>43814</v>
      </c>
      <c r="E13" s="37">
        <f>YEAR(ClientDB[[#This Row],[Start Date]])</f>
        <v>2019</v>
      </c>
      <c r="F13" t="s">
        <v>829</v>
      </c>
      <c r="G13" t="str">
        <f>VLOOKUP(ClientDB[[#This Row],[Org Code]],'Lookup Lists'!$A$7:$B$52,2,0)</f>
        <v>StepAhead</v>
      </c>
      <c r="H13" s="10" t="s">
        <v>38</v>
      </c>
      <c r="I13" s="10" t="str">
        <f>VLOOKUP(ClientDB[[#This Row],[Country Code]],'Lookup Lists'!$D$7:$E$59,2,0)</f>
        <v>Czech Republic</v>
      </c>
      <c r="J13" s="15">
        <v>1</v>
      </c>
      <c r="K13" s="15" t="str">
        <f>IF(ClientDB[[#This Row],[Start Date]]&gt;=$U$14,"New","")</f>
        <v/>
      </c>
      <c r="L13" s="45" t="str">
        <f>IF(AND(ClientDB[[#This Row],[Start Year]]&lt;2016,ClientDB[[#This Row],[Events]]&gt;=6),"Gift","")</f>
        <v/>
      </c>
      <c r="M13" s="4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3" s="15">
        <v>3</v>
      </c>
      <c r="O13" s="38">
        <f>ClientDB[[#This Row],[Days]]*(IF(ClientDB[[#This Row],[Days]]&gt;1,300,350))</f>
        <v>900</v>
      </c>
      <c r="P1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13" s="15" t="s">
        <v>900</v>
      </c>
      <c r="R13" s="15" t="str">
        <f>INDEX('Lookup Lists'!$H$7:$K$59,MATCH(ClientDB[[#This Row],[Country Code]],'Lookup Lists'!$G$7:$G$59,0),(MATCH(ClientDB[[#This Row],[Meal]],'Lookup Lists'!$H$6:$K$6,0)))</f>
        <v>A</v>
      </c>
    </row>
    <row r="14" spans="1:23" ht="16.5" thickBot="1" x14ac:dyDescent="0.25">
      <c r="A14" s="10">
        <v>11230</v>
      </c>
      <c r="B14" t="s">
        <v>574</v>
      </c>
      <c r="C14" t="s">
        <v>575</v>
      </c>
      <c r="D14" s="18">
        <v>42643</v>
      </c>
      <c r="E14" s="37">
        <f>YEAR(ClientDB[[#This Row],[Start Date]])</f>
        <v>2016</v>
      </c>
      <c r="F14" t="s">
        <v>807</v>
      </c>
      <c r="G14" t="str">
        <f>VLOOKUP(ClientDB[[#This Row],[Org Code]],'Lookup Lists'!$A$7:$B$52,2,0)</f>
        <v>Duet</v>
      </c>
      <c r="H14" s="10" t="s">
        <v>15</v>
      </c>
      <c r="I14" s="10" t="str">
        <f>VLOOKUP(ClientDB[[#This Row],[Country Code]],'Lookup Lists'!$D$7:$E$59,2,0)</f>
        <v>United Kingdom</v>
      </c>
      <c r="J14" s="15">
        <v>13</v>
      </c>
      <c r="K14" s="15" t="str">
        <f>IF(ClientDB[[#This Row],[Start Date]]&gt;=$U$14,"New","")</f>
        <v/>
      </c>
      <c r="L14" s="45" t="str">
        <f>IF(AND(ClientDB[[#This Row],[Start Year]]&lt;2016,ClientDB[[#This Row],[Events]]&gt;=6),"Gift","")</f>
        <v/>
      </c>
      <c r="M14" s="4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14" s="15">
        <v>2</v>
      </c>
      <c r="O14" s="38">
        <f>ClientDB[[#This Row],[Days]]*(IF(ClientDB[[#This Row],[Days]]&gt;1,300,350))</f>
        <v>600</v>
      </c>
      <c r="P1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14" s="15" t="s">
        <v>902</v>
      </c>
      <c r="R14" s="15" t="str">
        <f>INDEX('Lookup Lists'!$H$7:$K$59,MATCH(ClientDB[[#This Row],[Country Code]],'Lookup Lists'!$G$7:$G$59,0),(MATCH(ClientDB[[#This Row],[Meal]],'Lookup Lists'!$H$6:$K$6,0)))</f>
        <v>B</v>
      </c>
      <c r="T14" s="9" t="s">
        <v>786</v>
      </c>
      <c r="U14" s="27">
        <v>43831</v>
      </c>
      <c r="V14" s="28">
        <f>COUNTIFS(K7:K368,"New")+COUNTIFS(K7:K368,0)+COUNTIFS(K7:K368,FALSE)+COUNTIFS(K7:K368," ")</f>
        <v>45</v>
      </c>
      <c r="W14" t="s">
        <v>916</v>
      </c>
    </row>
    <row r="15" spans="1:23" ht="16.5" thickBot="1" x14ac:dyDescent="0.25">
      <c r="A15" s="10">
        <v>11280</v>
      </c>
      <c r="B15" t="s">
        <v>656</v>
      </c>
      <c r="C15" t="s">
        <v>657</v>
      </c>
      <c r="D15" s="18">
        <v>43087</v>
      </c>
      <c r="E15" s="37">
        <f>YEAR(ClientDB[[#This Row],[Start Date]])</f>
        <v>2017</v>
      </c>
      <c r="F15" t="s">
        <v>832</v>
      </c>
      <c r="G15" t="str">
        <f>VLOOKUP(ClientDB[[#This Row],[Org Code]],'Lookup Lists'!$A$7:$B$52,2,0)</f>
        <v>TQ Processes</v>
      </c>
      <c r="H15" s="10" t="s">
        <v>658</v>
      </c>
      <c r="I15" s="10" t="str">
        <f>VLOOKUP(ClientDB[[#This Row],[Country Code]],'Lookup Lists'!$D$7:$E$59,2,0)</f>
        <v>Denmark</v>
      </c>
      <c r="J15" s="15">
        <v>6</v>
      </c>
      <c r="K15" s="15" t="str">
        <f>IF(ClientDB[[#This Row],[Start Date]]&gt;=$U$14,"New","")</f>
        <v/>
      </c>
      <c r="L15" s="45" t="str">
        <f>IF(AND(ClientDB[[#This Row],[Start Year]]&lt;2016,ClientDB[[#This Row],[Events]]&gt;=6),"Gift","")</f>
        <v/>
      </c>
      <c r="M15" s="4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5" s="15">
        <v>3</v>
      </c>
      <c r="O15" s="38">
        <f>ClientDB[[#This Row],[Days]]*(IF(ClientDB[[#This Row],[Days]]&gt;1,300,350))</f>
        <v>900</v>
      </c>
      <c r="P1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15" s="15" t="s">
        <v>901</v>
      </c>
      <c r="R15" s="15" t="str">
        <f>INDEX('Lookup Lists'!$H$7:$K$59,MATCH(ClientDB[[#This Row],[Country Code]],'Lookup Lists'!$G$7:$G$59,0),(MATCH(ClientDB[[#This Row],[Meal]],'Lookup Lists'!$H$6:$K$6,0)))</f>
        <v>D</v>
      </c>
      <c r="T15" s="9" t="s">
        <v>918</v>
      </c>
      <c r="U15" s="9" t="s">
        <v>108</v>
      </c>
      <c r="V15" s="28">
        <f>COUNTIFS(ClientDB[Organisation],U15)</f>
        <v>5</v>
      </c>
    </row>
    <row r="16" spans="1:23" ht="16.5" thickBot="1" x14ac:dyDescent="0.25">
      <c r="A16" s="10">
        <v>11325</v>
      </c>
      <c r="B16" t="s">
        <v>31</v>
      </c>
      <c r="C16" t="s">
        <v>640</v>
      </c>
      <c r="D16" s="18">
        <v>43263</v>
      </c>
      <c r="E16" s="37">
        <f>YEAR(ClientDB[[#This Row],[Start Date]])</f>
        <v>2018</v>
      </c>
      <c r="F16" t="s">
        <v>813</v>
      </c>
      <c r="G16" t="str">
        <f>VLOOKUP(ClientDB[[#This Row],[Org Code]],'Lookup Lists'!$A$7:$B$52,2,0)</f>
        <v>HeatProof</v>
      </c>
      <c r="H16" s="10" t="s">
        <v>685</v>
      </c>
      <c r="I16" s="10" t="str">
        <f>VLOOKUP(ClientDB[[#This Row],[Country Code]],'Lookup Lists'!$D$7:$E$59,2,0)</f>
        <v>Sudan</v>
      </c>
      <c r="J16" s="15">
        <v>3</v>
      </c>
      <c r="K16" s="15" t="str">
        <f>IF(ClientDB[[#This Row],[Start Date]]&gt;=$U$14,"New","")</f>
        <v/>
      </c>
      <c r="L16" s="15" t="str">
        <f>IF(AND(ClientDB[[#This Row],[Start Year]]&lt;2016,ClientDB[[#This Row],[Events]]&gt;=6),"Gift","")</f>
        <v/>
      </c>
      <c r="M1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6" s="15">
        <v>1</v>
      </c>
      <c r="O16" s="38">
        <f>ClientDB[[#This Row],[Days]]*(IF(ClientDB[[#This Row],[Days]]&gt;1,300,350))</f>
        <v>350</v>
      </c>
      <c r="P1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16" s="15" t="s">
        <v>901</v>
      </c>
      <c r="R16" s="15" t="str">
        <f>INDEX('Lookup Lists'!$H$7:$K$59,MATCH(ClientDB[[#This Row],[Country Code]],'Lookup Lists'!$G$7:$G$59,0),(MATCH(ClientDB[[#This Row],[Meal]],'Lookup Lists'!$H$6:$K$6,0)))</f>
        <v>G</v>
      </c>
      <c r="T16" s="9" t="s">
        <v>895</v>
      </c>
      <c r="U16" s="9"/>
      <c r="V16" s="28">
        <f>COUNTIFS(ClientDB[Country],"United Kingdom")+COUNTIFS(ClientDB[Country],"United States")</f>
        <v>111</v>
      </c>
    </row>
    <row r="17" spans="1:22" x14ac:dyDescent="0.2">
      <c r="A17" s="10">
        <v>11344</v>
      </c>
      <c r="B17" t="s">
        <v>391</v>
      </c>
      <c r="C17" t="s">
        <v>392</v>
      </c>
      <c r="D17" s="18">
        <v>42140</v>
      </c>
      <c r="E17" s="37">
        <f>YEAR(ClientDB[[#This Row],[Start Date]])</f>
        <v>2015</v>
      </c>
      <c r="F17" t="s">
        <v>826</v>
      </c>
      <c r="G17" t="str">
        <f>VLOOKUP(ClientDB[[#This Row],[Org Code]],'Lookup Lists'!$A$7:$B$52,2,0)</f>
        <v>Respira Networks</v>
      </c>
      <c r="H17" s="10" t="s">
        <v>59</v>
      </c>
      <c r="I17" s="10" t="str">
        <f>VLOOKUP(ClientDB[[#This Row],[Country Code]],'Lookup Lists'!$D$7:$E$59,2,0)</f>
        <v>Netherlands</v>
      </c>
      <c r="J17" s="15">
        <v>5</v>
      </c>
      <c r="K17" s="15" t="str">
        <f>IF(ClientDB[[#This Row],[Start Date]]&gt;=$U$14,"New","")</f>
        <v/>
      </c>
      <c r="L17" s="15" t="str">
        <f>IF(AND(ClientDB[[#This Row],[Start Year]]&lt;2016,ClientDB[[#This Row],[Events]]&gt;=6),"Gift","")</f>
        <v/>
      </c>
      <c r="M1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7" s="15">
        <v>3</v>
      </c>
      <c r="O17" s="38">
        <f>ClientDB[[#This Row],[Days]]*(IF(ClientDB[[#This Row],[Days]]&gt;1,300,350))</f>
        <v>900</v>
      </c>
      <c r="P1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17" s="15" t="s">
        <v>902</v>
      </c>
      <c r="R17" s="15" t="str">
        <f>INDEX('Lookup Lists'!$H$7:$K$59,MATCH(ClientDB[[#This Row],[Country Code]],'Lookup Lists'!$G$7:$G$59,0),(MATCH(ClientDB[[#This Row],[Meal]],'Lookup Lists'!$H$6:$K$6,0)))</f>
        <v>C</v>
      </c>
    </row>
    <row r="18" spans="1:22" ht="16.5" thickBot="1" x14ac:dyDescent="0.25">
      <c r="A18" s="10">
        <v>11365</v>
      </c>
      <c r="B18" t="s">
        <v>260</v>
      </c>
      <c r="C18" t="s">
        <v>261</v>
      </c>
      <c r="D18" s="18">
        <v>43247</v>
      </c>
      <c r="E18" s="37">
        <f>YEAR(ClientDB[[#This Row],[Start Date]])</f>
        <v>2018</v>
      </c>
      <c r="F18" t="s">
        <v>822</v>
      </c>
      <c r="G18" t="str">
        <f>VLOOKUP(ClientDB[[#This Row],[Org Code]],'Lookup Lists'!$A$7:$B$52,2,0)</f>
        <v>PicSure</v>
      </c>
      <c r="H18" s="10" t="s">
        <v>262</v>
      </c>
      <c r="I18" s="10" t="str">
        <f>VLOOKUP(ClientDB[[#This Row],[Country Code]],'Lookup Lists'!$D$7:$E$59,2,0)</f>
        <v>Poland</v>
      </c>
      <c r="J18" s="15">
        <v>2</v>
      </c>
      <c r="K18" s="15" t="str">
        <f>IF(ClientDB[[#This Row],[Start Date]]&gt;=$U$14,"New","")</f>
        <v/>
      </c>
      <c r="L18" s="15" t="str">
        <f>IF(AND(ClientDB[[#This Row],[Start Year]]&lt;2016,ClientDB[[#This Row],[Events]]&gt;=6),"Gift","")</f>
        <v/>
      </c>
      <c r="M1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8" s="15">
        <v>1</v>
      </c>
      <c r="O18" s="38">
        <f>ClientDB[[#This Row],[Days]]*(IF(ClientDB[[#This Row],[Days]]&gt;1,300,350))</f>
        <v>350</v>
      </c>
      <c r="P1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18" s="15" t="s">
        <v>901</v>
      </c>
      <c r="R18" s="15" t="str">
        <f>INDEX('Lookup Lists'!$H$7:$K$59,MATCH(ClientDB[[#This Row],[Country Code]],'Lookup Lists'!$G$7:$G$59,0),(MATCH(ClientDB[[#This Row],[Meal]],'Lookup Lists'!$H$6:$K$6,0)))</f>
        <v>F</v>
      </c>
      <c r="T18" s="14" t="s">
        <v>780</v>
      </c>
      <c r="U18" s="20" t="s">
        <v>773</v>
      </c>
      <c r="V18" s="20" t="s">
        <v>785</v>
      </c>
    </row>
    <row r="19" spans="1:22" x14ac:dyDescent="0.2">
      <c r="A19" s="10">
        <v>11584</v>
      </c>
      <c r="B19" t="s">
        <v>263</v>
      </c>
      <c r="C19" t="s">
        <v>343</v>
      </c>
      <c r="D19" s="18">
        <v>43460</v>
      </c>
      <c r="E19" s="37">
        <f>YEAR(ClientDB[[#This Row],[Start Date]])</f>
        <v>2018</v>
      </c>
      <c r="F19" t="s">
        <v>827</v>
      </c>
      <c r="G19" t="str">
        <f>VLOOKUP(ClientDB[[#This Row],[Org Code]],'Lookup Lists'!$A$7:$B$52,2,0)</f>
        <v>Ripple Com</v>
      </c>
      <c r="H19" s="10" t="s">
        <v>46</v>
      </c>
      <c r="I19" s="10" t="str">
        <f>VLOOKUP(ClientDB[[#This Row],[Country Code]],'Lookup Lists'!$D$7:$E$59,2,0)</f>
        <v>Germany</v>
      </c>
      <c r="J19" s="15">
        <v>6</v>
      </c>
      <c r="K19" s="15" t="str">
        <f>IF(ClientDB[[#This Row],[Start Date]]&gt;=$U$14,"New","")</f>
        <v/>
      </c>
      <c r="L19" s="15" t="str">
        <f>IF(AND(ClientDB[[#This Row],[Start Year]]&lt;2016,ClientDB[[#This Row],[Events]]&gt;=6),"Gift","")</f>
        <v/>
      </c>
      <c r="M1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9" s="15">
        <v>2</v>
      </c>
      <c r="O19" s="38">
        <f>ClientDB[[#This Row],[Days]]*(IF(ClientDB[[#This Row],[Days]]&gt;1,300,350))</f>
        <v>600</v>
      </c>
      <c r="P1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19" s="15" t="s">
        <v>901</v>
      </c>
      <c r="R19" s="15" t="str">
        <f>INDEX('Lookup Lists'!$H$7:$K$59,MATCH(ClientDB[[#This Row],[Country Code]],'Lookup Lists'!$G$7:$G$59,0),(MATCH(ClientDB[[#This Row],[Meal]],'Lookup Lists'!$H$6:$K$6,0)))</f>
        <v>D</v>
      </c>
      <c r="T19" s="21">
        <v>1</v>
      </c>
      <c r="U19" s="29" t="s">
        <v>781</v>
      </c>
      <c r="V19" s="30">
        <f>COUNTIFS($M$7:$M$368,U19)</f>
        <v>263</v>
      </c>
    </row>
    <row r="20" spans="1:22" x14ac:dyDescent="0.2">
      <c r="A20" s="10">
        <v>11646</v>
      </c>
      <c r="B20" t="s">
        <v>712</v>
      </c>
      <c r="C20" t="s">
        <v>67</v>
      </c>
      <c r="D20" s="18">
        <v>43551</v>
      </c>
      <c r="E20" s="37">
        <f>YEAR(ClientDB[[#This Row],[Start Date]])</f>
        <v>2019</v>
      </c>
      <c r="F20" t="s">
        <v>824</v>
      </c>
      <c r="G20" t="str">
        <f>VLOOKUP(ClientDB[[#This Row],[Org Code]],'Lookup Lists'!$A$7:$B$52,2,0)</f>
        <v>Pink Cloud Networks</v>
      </c>
      <c r="H20" s="10" t="s">
        <v>59</v>
      </c>
      <c r="I20" s="10" t="str">
        <f>VLOOKUP(ClientDB[[#This Row],[Country Code]],'Lookup Lists'!$D$7:$E$59,2,0)</f>
        <v>Netherlands</v>
      </c>
      <c r="J20" s="15">
        <v>9</v>
      </c>
      <c r="K20" s="15" t="str">
        <f>IF(ClientDB[[#This Row],[Start Date]]&gt;=$U$14,"New","")</f>
        <v/>
      </c>
      <c r="L20" s="15" t="str">
        <f>IF(AND(ClientDB[[#This Row],[Start Year]]&lt;2016,ClientDB[[#This Row],[Events]]&gt;=6),"Gift","")</f>
        <v/>
      </c>
      <c r="M2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0" s="15">
        <v>1</v>
      </c>
      <c r="O20" s="38">
        <f>ClientDB[[#This Row],[Days]]*(IF(ClientDB[[#This Row],[Days]]&gt;1,300,350))</f>
        <v>350</v>
      </c>
      <c r="P2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20" s="15" t="s">
        <v>901</v>
      </c>
      <c r="R20" s="15" t="str">
        <f>INDEX('Lookup Lists'!$H$7:$K$59,MATCH(ClientDB[[#This Row],[Country Code]],'Lookup Lists'!$G$7:$G$59,0),(MATCH(ClientDB[[#This Row],[Meal]],'Lookup Lists'!$H$6:$K$6,0)))</f>
        <v>F</v>
      </c>
      <c r="T20" s="23">
        <v>10</v>
      </c>
      <c r="U20" s="31" t="s">
        <v>782</v>
      </c>
      <c r="V20" s="32">
        <f>COUNTIFS($M$7:$M$368,U20)</f>
        <v>72</v>
      </c>
    </row>
    <row r="21" spans="1:22" x14ac:dyDescent="0.2">
      <c r="A21" s="10">
        <v>11762</v>
      </c>
      <c r="B21" t="s">
        <v>364</v>
      </c>
      <c r="C21" t="s">
        <v>365</v>
      </c>
      <c r="D21" s="18">
        <v>43821</v>
      </c>
      <c r="E21" s="37">
        <f>YEAR(ClientDB[[#This Row],[Start Date]])</f>
        <v>2019</v>
      </c>
      <c r="F21" t="s">
        <v>838</v>
      </c>
      <c r="G21" t="str">
        <f>VLOOKUP(ClientDB[[#This Row],[Org Code]],'Lookup Lists'!$A$7:$B$52,2,0)</f>
        <v>xLAN Internet Exchange</v>
      </c>
      <c r="H21" s="10" t="s">
        <v>15</v>
      </c>
      <c r="I21" s="10" t="str">
        <f>VLOOKUP(ClientDB[[#This Row],[Country Code]],'Lookup Lists'!$D$7:$E$59,2,0)</f>
        <v>United Kingdom</v>
      </c>
      <c r="J21" s="15">
        <v>3</v>
      </c>
      <c r="K21" s="15" t="str">
        <f>IF(ClientDB[[#This Row],[Start Date]]&gt;=$U$14,"New","")</f>
        <v/>
      </c>
      <c r="L21" s="15" t="str">
        <f>IF(AND(ClientDB[[#This Row],[Start Year]]&lt;2016,ClientDB[[#This Row],[Events]]&gt;=6),"Gift","")</f>
        <v/>
      </c>
      <c r="M2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1" s="15">
        <v>1</v>
      </c>
      <c r="O21" s="38">
        <f>ClientDB[[#This Row],[Days]]*(IF(ClientDB[[#This Row],[Days]]&gt;1,300,350))</f>
        <v>350</v>
      </c>
      <c r="P2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21" s="15" t="s">
        <v>901</v>
      </c>
      <c r="R21" s="15" t="str">
        <f>INDEX('Lookup Lists'!$H$7:$K$59,MATCH(ClientDB[[#This Row],[Country Code]],'Lookup Lists'!$G$7:$G$59,0),(MATCH(ClientDB[[#This Row],[Meal]],'Lookup Lists'!$H$6:$K$6,0)))</f>
        <v>E</v>
      </c>
      <c r="T21" s="23">
        <v>20</v>
      </c>
      <c r="U21" s="31" t="s">
        <v>783</v>
      </c>
      <c r="V21" s="32">
        <f>COUNTIFS($M$7:$M$368,U21)</f>
        <v>19</v>
      </c>
    </row>
    <row r="22" spans="1:22" ht="15" thickBot="1" x14ac:dyDescent="0.25">
      <c r="A22" s="10">
        <v>11854</v>
      </c>
      <c r="B22" t="s">
        <v>591</v>
      </c>
      <c r="C22" t="s">
        <v>592</v>
      </c>
      <c r="D22" s="18">
        <v>42788</v>
      </c>
      <c r="E22" s="37">
        <f>YEAR(ClientDB[[#This Row],[Start Date]])</f>
        <v>2017</v>
      </c>
      <c r="F22" t="s">
        <v>832</v>
      </c>
      <c r="G22" t="str">
        <f>VLOOKUP(ClientDB[[#This Row],[Org Code]],'Lookup Lists'!$A$7:$B$52,2,0)</f>
        <v>TQ Processes</v>
      </c>
      <c r="H22" s="10" t="s">
        <v>155</v>
      </c>
      <c r="I22" s="10" t="str">
        <f>VLOOKUP(ClientDB[[#This Row],[Country Code]],'Lookup Lists'!$D$7:$E$59,2,0)</f>
        <v>United Arab Emirates</v>
      </c>
      <c r="J22" s="15">
        <v>14</v>
      </c>
      <c r="K22" s="15" t="str">
        <f>IF(ClientDB[[#This Row],[Start Date]]&gt;=$U$14,"New","")</f>
        <v/>
      </c>
      <c r="L22" s="15" t="str">
        <f>IF(AND(ClientDB[[#This Row],[Start Year]]&lt;2016,ClientDB[[#This Row],[Events]]&gt;=6),"Gift","")</f>
        <v/>
      </c>
      <c r="M2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22" s="15">
        <v>1</v>
      </c>
      <c r="O22" s="38">
        <f>ClientDB[[#This Row],[Days]]*(IF(ClientDB[[#This Row],[Days]]&gt;1,300,350))</f>
        <v>350</v>
      </c>
      <c r="P2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22" s="15" t="s">
        <v>901</v>
      </c>
      <c r="R22" s="15" t="str">
        <f>INDEX('Lookup Lists'!$H$7:$K$59,MATCH(ClientDB[[#This Row],[Country Code]],'Lookup Lists'!$G$7:$G$59,0),(MATCH(ClientDB[[#This Row],[Meal]],'Lookup Lists'!$H$6:$K$6,0)))</f>
        <v>D</v>
      </c>
      <c r="T22" s="25">
        <v>30</v>
      </c>
      <c r="U22" s="33" t="s">
        <v>784</v>
      </c>
      <c r="V22" s="34">
        <f>COUNTIFS($M$7:$M$368,U22)</f>
        <v>8</v>
      </c>
    </row>
    <row r="23" spans="1:22" ht="15" thickBot="1" x14ac:dyDescent="0.25">
      <c r="A23" s="10">
        <v>11958</v>
      </c>
      <c r="B23" t="s">
        <v>359</v>
      </c>
      <c r="C23" t="s">
        <v>360</v>
      </c>
      <c r="D23" s="18">
        <v>42654</v>
      </c>
      <c r="E23" s="37">
        <f>YEAR(ClientDB[[#This Row],[Start Date]])</f>
        <v>2016</v>
      </c>
      <c r="F23" t="s">
        <v>803</v>
      </c>
      <c r="G23" t="str">
        <f>VLOOKUP(ClientDB[[#This Row],[Org Code]],'Lookup Lists'!$A$7:$B$52,2,0)</f>
        <v>CTX</v>
      </c>
      <c r="H23" s="10" t="s">
        <v>46</v>
      </c>
      <c r="I23" s="10" t="str">
        <f>VLOOKUP(ClientDB[[#This Row],[Country Code]],'Lookup Lists'!$D$7:$E$59,2,0)</f>
        <v>Germany</v>
      </c>
      <c r="J23" s="15">
        <v>19</v>
      </c>
      <c r="K23" s="15" t="str">
        <f>IF(ClientDB[[#This Row],[Start Date]]&gt;=$U$14,"New","")</f>
        <v/>
      </c>
      <c r="L23" s="15" t="str">
        <f>IF(AND(ClientDB[[#This Row],[Start Year]]&lt;2016,ClientDB[[#This Row],[Events]]&gt;=6),"Gift","")</f>
        <v/>
      </c>
      <c r="M2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23" s="15">
        <v>1</v>
      </c>
      <c r="O23" s="38">
        <f>ClientDB[[#This Row],[Days]]*(IF(ClientDB[[#This Row],[Days]]&gt;1,300,350))</f>
        <v>350</v>
      </c>
      <c r="P2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23" s="15" t="s">
        <v>902</v>
      </c>
      <c r="R23" s="15" t="str">
        <f>INDEX('Lookup Lists'!$H$7:$K$59,MATCH(ClientDB[[#This Row],[Country Code]],'Lookup Lists'!$G$7:$G$59,0),(MATCH(ClientDB[[#This Row],[Meal]],'Lookup Lists'!$H$6:$K$6,0)))</f>
        <v>B</v>
      </c>
    </row>
    <row r="24" spans="1:22" ht="16.5" thickBot="1" x14ac:dyDescent="0.25">
      <c r="A24" s="10">
        <v>12136</v>
      </c>
      <c r="B24" t="s">
        <v>94</v>
      </c>
      <c r="C24" t="s">
        <v>95</v>
      </c>
      <c r="D24" s="18">
        <v>42422</v>
      </c>
      <c r="E24" s="37">
        <f>YEAR(ClientDB[[#This Row],[Start Date]])</f>
        <v>2016</v>
      </c>
      <c r="F24" t="s">
        <v>813</v>
      </c>
      <c r="G24" t="str">
        <f>VLOOKUP(ClientDB[[#This Row],[Org Code]],'Lookup Lists'!$A$7:$B$52,2,0)</f>
        <v>HeatProof</v>
      </c>
      <c r="H24" s="10" t="s">
        <v>97</v>
      </c>
      <c r="I24" s="10" t="str">
        <f>VLOOKUP(ClientDB[[#This Row],[Country Code]],'Lookup Lists'!$D$7:$E$59,2,0)</f>
        <v>Ireland</v>
      </c>
      <c r="J24" s="15">
        <v>8</v>
      </c>
      <c r="K24" s="15" t="str">
        <f>IF(ClientDB[[#This Row],[Start Date]]&gt;=$U$14,"New","")</f>
        <v/>
      </c>
      <c r="L24" s="15" t="str">
        <f>IF(AND(ClientDB[[#This Row],[Start Year]]&lt;2016,ClientDB[[#This Row],[Events]]&gt;=6),"Gift","")</f>
        <v/>
      </c>
      <c r="M2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4" s="15">
        <v>1</v>
      </c>
      <c r="O24" s="38">
        <f>ClientDB[[#This Row],[Days]]*(IF(ClientDB[[#This Row],[Days]]&gt;1,300,350))</f>
        <v>350</v>
      </c>
      <c r="P2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24" s="15" t="s">
        <v>901</v>
      </c>
      <c r="R24" s="15" t="str">
        <f>INDEX('Lookup Lists'!$H$7:$K$59,MATCH(ClientDB[[#This Row],[Country Code]],'Lookup Lists'!$G$7:$G$59,0),(MATCH(ClientDB[[#This Row],[Meal]],'Lookup Lists'!$H$6:$K$6,0)))</f>
        <v>F</v>
      </c>
      <c r="T24" s="9" t="s">
        <v>917</v>
      </c>
      <c r="U24" s="35">
        <f>COUNTIFS(ClientDB[Gift?],"Gift")</f>
        <v>41</v>
      </c>
    </row>
    <row r="25" spans="1:22" ht="16.5" thickBot="1" x14ac:dyDescent="0.25">
      <c r="A25" s="10">
        <v>12141</v>
      </c>
      <c r="B25" t="s">
        <v>693</v>
      </c>
      <c r="C25" t="s">
        <v>694</v>
      </c>
      <c r="D25" s="18">
        <v>43015</v>
      </c>
      <c r="E25" s="37">
        <f>YEAR(ClientDB[[#This Row],[Start Date]])</f>
        <v>2017</v>
      </c>
      <c r="F25" t="s">
        <v>801</v>
      </c>
      <c r="G25" t="str">
        <f>VLOOKUP(ClientDB[[#This Row],[Org Code]],'Lookup Lists'!$A$7:$B$52,2,0)</f>
        <v>Collings University</v>
      </c>
      <c r="H25" s="10" t="s">
        <v>7</v>
      </c>
      <c r="I25" s="10" t="str">
        <f>VLOOKUP(ClientDB[[#This Row],[Country Code]],'Lookup Lists'!$D$7:$E$59,2,0)</f>
        <v>Iran</v>
      </c>
      <c r="J25" s="15">
        <v>2</v>
      </c>
      <c r="K25" s="15" t="str">
        <f>IF(ClientDB[[#This Row],[Start Date]]&gt;=$U$14,"New","")</f>
        <v/>
      </c>
      <c r="L25" s="15" t="str">
        <f>IF(AND(ClientDB[[#This Row],[Start Year]]&lt;2016,ClientDB[[#This Row],[Events]]&gt;=6),"Gift","")</f>
        <v/>
      </c>
      <c r="M2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5" s="15">
        <v>3</v>
      </c>
      <c r="O25" s="38">
        <f>ClientDB[[#This Row],[Days]]*(IF(ClientDB[[#This Row],[Days]]&gt;1,300,350))</f>
        <v>900</v>
      </c>
      <c r="P2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25" s="15" t="s">
        <v>901</v>
      </c>
      <c r="R25" s="15" t="str">
        <f>INDEX('Lookup Lists'!$H$7:$K$59,MATCH(ClientDB[[#This Row],[Country Code]],'Lookup Lists'!$G$7:$G$59,0),(MATCH(ClientDB[[#This Row],[Meal]],'Lookup Lists'!$H$6:$K$6,0)))</f>
        <v>F</v>
      </c>
      <c r="T25" s="9" t="s">
        <v>908</v>
      </c>
      <c r="U25" s="41">
        <f>SUM(ClientDB[Price])</f>
        <v>230050</v>
      </c>
    </row>
    <row r="26" spans="1:22" ht="16.5" thickBot="1" x14ac:dyDescent="0.25">
      <c r="A26" s="10">
        <v>12268</v>
      </c>
      <c r="B26" t="s">
        <v>67</v>
      </c>
      <c r="C26" t="s">
        <v>720</v>
      </c>
      <c r="D26" s="18">
        <v>42381</v>
      </c>
      <c r="E26" s="37">
        <f>YEAR(ClientDB[[#This Row],[Start Date]])</f>
        <v>2016</v>
      </c>
      <c r="F26" t="s">
        <v>803</v>
      </c>
      <c r="G26" t="str">
        <f>VLOOKUP(ClientDB[[#This Row],[Org Code]],'Lookup Lists'!$A$7:$B$52,2,0)</f>
        <v>CTX</v>
      </c>
      <c r="H26" s="10" t="s">
        <v>46</v>
      </c>
      <c r="I26" s="10" t="str">
        <f>VLOOKUP(ClientDB[[#This Row],[Country Code]],'Lookup Lists'!$D$7:$E$59,2,0)</f>
        <v>Germany</v>
      </c>
      <c r="J26" s="15">
        <v>23</v>
      </c>
      <c r="K26" s="15" t="str">
        <f>IF(ClientDB[[#This Row],[Start Date]]&gt;=$U$14,"New","")</f>
        <v/>
      </c>
      <c r="L26" s="15" t="str">
        <f>IF(AND(ClientDB[[#This Row],[Start Year]]&lt;2016,ClientDB[[#This Row],[Events]]&gt;=6),"Gift","")</f>
        <v/>
      </c>
      <c r="M2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Gold</v>
      </c>
      <c r="N26" s="15">
        <v>3</v>
      </c>
      <c r="O26" s="38">
        <f>ClientDB[[#This Row],[Days]]*(IF(ClientDB[[#This Row],[Days]]&gt;1,300,350))</f>
        <v>900</v>
      </c>
      <c r="P2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26" s="15" t="s">
        <v>902</v>
      </c>
      <c r="R26" s="15" t="str">
        <f>INDEX('Lookup Lists'!$H$7:$K$59,MATCH(ClientDB[[#This Row],[Country Code]],'Lookup Lists'!$G$7:$G$59,0),(MATCH(ClientDB[[#This Row],[Meal]],'Lookup Lists'!$H$6:$K$6,0)))</f>
        <v>B</v>
      </c>
      <c r="T26" s="9" t="s">
        <v>909</v>
      </c>
      <c r="U26" s="41">
        <f>SUM(ClientDB[After Discount])</f>
        <v>212260</v>
      </c>
    </row>
    <row r="27" spans="1:22" x14ac:dyDescent="0.2">
      <c r="A27" s="10">
        <v>12345</v>
      </c>
      <c r="B27" t="s">
        <v>272</v>
      </c>
      <c r="C27" t="s">
        <v>273</v>
      </c>
      <c r="D27" s="18">
        <v>43954</v>
      </c>
      <c r="E27" s="37">
        <f>YEAR(ClientDB[[#This Row],[Start Date]])</f>
        <v>2020</v>
      </c>
      <c r="F27" t="s">
        <v>797</v>
      </c>
      <c r="G27" t="str">
        <f>VLOOKUP(ClientDB[[#This Row],[Org Code]],'Lookup Lists'!$A$7:$B$52,2,0)</f>
        <v>ASET PLC</v>
      </c>
      <c r="H27" s="10" t="s">
        <v>274</v>
      </c>
      <c r="I27" s="10" t="str">
        <f>VLOOKUP(ClientDB[[#This Row],[Country Code]],'Lookup Lists'!$D$7:$E$59,2,0)</f>
        <v>Spain</v>
      </c>
      <c r="J27" s="15">
        <v>2</v>
      </c>
      <c r="K27" s="15" t="str">
        <f>IF(ClientDB[[#This Row],[Start Date]]&gt;=$U$14,"New","")</f>
        <v>New</v>
      </c>
      <c r="L27" s="15" t="str">
        <f>IF(AND(ClientDB[[#This Row],[Start Year]]&lt;2016,ClientDB[[#This Row],[Events]]&gt;=6),"Gift","")</f>
        <v/>
      </c>
      <c r="M2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7" s="15">
        <v>2</v>
      </c>
      <c r="O27" s="38">
        <f>ClientDB[[#This Row],[Days]]*(IF(ClientDB[[#This Row],[Days]]&gt;1,300,350))</f>
        <v>600</v>
      </c>
      <c r="P2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27" s="15" t="s">
        <v>901</v>
      </c>
      <c r="R27" s="15" t="str">
        <f>INDEX('Lookup Lists'!$H$7:$K$59,MATCH(ClientDB[[#This Row],[Country Code]],'Lookup Lists'!$G$7:$G$59,0),(MATCH(ClientDB[[#This Row],[Meal]],'Lookup Lists'!$H$6:$K$6,0)))</f>
        <v>D</v>
      </c>
    </row>
    <row r="28" spans="1:22" ht="15.75" x14ac:dyDescent="0.2">
      <c r="A28" s="10">
        <v>12443</v>
      </c>
      <c r="B28" t="s">
        <v>384</v>
      </c>
      <c r="C28" t="s">
        <v>385</v>
      </c>
      <c r="D28" s="18">
        <v>43353</v>
      </c>
      <c r="E28" s="37">
        <f>YEAR(ClientDB[[#This Row],[Start Date]])</f>
        <v>2018</v>
      </c>
      <c r="F28" t="s">
        <v>806</v>
      </c>
      <c r="G28" t="str">
        <f>VLOOKUP(ClientDB[[#This Row],[Org Code]],'Lookup Lists'!$A$7:$B$52,2,0)</f>
        <v>DENIL</v>
      </c>
      <c r="H28" s="10" t="s">
        <v>386</v>
      </c>
      <c r="I28" s="10" t="str">
        <f>VLOOKUP(ClientDB[[#This Row],[Country Code]],'Lookup Lists'!$D$7:$E$59,2,0)</f>
        <v>Belgium</v>
      </c>
      <c r="J28" s="15">
        <v>3</v>
      </c>
      <c r="K28" s="15" t="str">
        <f>IF(ClientDB[[#This Row],[Start Date]]&gt;=$U$14,"New","")</f>
        <v/>
      </c>
      <c r="L28" s="15" t="str">
        <f>IF(AND(ClientDB[[#This Row],[Start Year]]&lt;2016,ClientDB[[#This Row],[Events]]&gt;=6),"Gift","")</f>
        <v/>
      </c>
      <c r="M2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8" s="15">
        <v>3</v>
      </c>
      <c r="O28" s="38">
        <f>ClientDB[[#This Row],[Days]]*(IF(ClientDB[[#This Row],[Days]]&gt;1,300,350))</f>
        <v>900</v>
      </c>
      <c r="P2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28" s="15" t="s">
        <v>900</v>
      </c>
      <c r="R28" s="15" t="str">
        <f>INDEX('Lookup Lists'!$H$7:$K$59,MATCH(ClientDB[[#This Row],[Country Code]],'Lookup Lists'!$G$7:$G$59,0),(MATCH(ClientDB[[#This Row],[Meal]],'Lookup Lists'!$H$6:$K$6,0)))</f>
        <v>A</v>
      </c>
      <c r="T28" s="47" t="s">
        <v>919</v>
      </c>
      <c r="U28" s="46"/>
    </row>
    <row r="29" spans="1:22" ht="15.75" x14ac:dyDescent="0.2">
      <c r="A29" s="10">
        <v>12503</v>
      </c>
      <c r="B29" t="s">
        <v>399</v>
      </c>
      <c r="C29" t="s">
        <v>623</v>
      </c>
      <c r="D29" s="18">
        <v>43398</v>
      </c>
      <c r="E29" s="37">
        <f>YEAR(ClientDB[[#This Row],[Start Date]])</f>
        <v>2018</v>
      </c>
      <c r="F29" t="s">
        <v>805</v>
      </c>
      <c r="G29" t="str">
        <f>VLOOKUP(ClientDB[[#This Row],[Org Code]],'Lookup Lists'!$A$7:$B$52,2,0)</f>
        <v>Data Pro Sys</v>
      </c>
      <c r="H29" s="10" t="s">
        <v>277</v>
      </c>
      <c r="I29" s="10" t="str">
        <f>VLOOKUP(ClientDB[[#This Row],[Country Code]],'Lookup Lists'!$D$7:$E$59,2,0)</f>
        <v>Saudi Arabia</v>
      </c>
      <c r="J29" s="15">
        <v>5</v>
      </c>
      <c r="K29" s="15" t="str">
        <f>IF(ClientDB[[#This Row],[Start Date]]&gt;=$U$14,"New","")</f>
        <v/>
      </c>
      <c r="L29" s="15" t="str">
        <f>IF(AND(ClientDB[[#This Row],[Start Year]]&lt;2016,ClientDB[[#This Row],[Events]]&gt;=6),"Gift","")</f>
        <v/>
      </c>
      <c r="M2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9" s="15">
        <v>3</v>
      </c>
      <c r="O29" s="38">
        <f>ClientDB[[#This Row],[Days]]*(IF(ClientDB[[#This Row],[Days]]&gt;1,300,350))</f>
        <v>900</v>
      </c>
      <c r="P2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29" s="15" t="s">
        <v>899</v>
      </c>
      <c r="R29" s="15" t="str">
        <f>INDEX('Lookup Lists'!$H$7:$K$59,MATCH(ClientDB[[#This Row],[Country Code]],'Lookup Lists'!$G$7:$G$59,0),(MATCH(ClientDB[[#This Row],[Meal]],'Lookup Lists'!$H$6:$K$6,0)))</f>
        <v>B</v>
      </c>
      <c r="T29" s="14" t="s">
        <v>775</v>
      </c>
      <c r="U29" s="36">
        <f t="shared" ref="U29:U35" si="0">COUNTIFS(Seating,T29)</f>
        <v>76</v>
      </c>
    </row>
    <row r="30" spans="1:22" ht="15.75" x14ac:dyDescent="0.2">
      <c r="A30" s="10">
        <v>12714</v>
      </c>
      <c r="B30" t="s">
        <v>338</v>
      </c>
      <c r="C30" t="s">
        <v>339</v>
      </c>
      <c r="D30" s="18">
        <v>42523</v>
      </c>
      <c r="E30" s="37">
        <f>YEAR(ClientDB[[#This Row],[Start Date]])</f>
        <v>2016</v>
      </c>
      <c r="F30" t="s">
        <v>840</v>
      </c>
      <c r="G30" t="str">
        <f>VLOOKUP(ClientDB[[#This Row],[Org Code]],'Lookup Lists'!$A$7:$B$52,2,0)</f>
        <v>Zim Sales</v>
      </c>
      <c r="H30" s="10" t="s">
        <v>340</v>
      </c>
      <c r="I30" s="10" t="str">
        <f>VLOOKUP(ClientDB[[#This Row],[Country Code]],'Lookup Lists'!$D$7:$E$59,2,0)</f>
        <v>Bulgaria</v>
      </c>
      <c r="J30" s="15">
        <v>13</v>
      </c>
      <c r="K30" s="15" t="str">
        <f>IF(ClientDB[[#This Row],[Start Date]]&gt;=$U$14,"New","")</f>
        <v/>
      </c>
      <c r="L30" s="15" t="str">
        <f>IF(AND(ClientDB[[#This Row],[Start Year]]&lt;2016,ClientDB[[#This Row],[Events]]&gt;=6),"Gift","")</f>
        <v/>
      </c>
      <c r="M3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30" s="15">
        <v>1</v>
      </c>
      <c r="O30" s="38">
        <f>ClientDB[[#This Row],[Days]]*(IF(ClientDB[[#This Row],[Days]]&gt;1,300,350))</f>
        <v>350</v>
      </c>
      <c r="P3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30" s="15" t="s">
        <v>901</v>
      </c>
      <c r="R30" s="15" t="str">
        <f>INDEX('Lookup Lists'!$H$7:$K$59,MATCH(ClientDB[[#This Row],[Country Code]],'Lookup Lists'!$G$7:$G$59,0),(MATCH(ClientDB[[#This Row],[Meal]],'Lookup Lists'!$H$6:$K$6,0)))</f>
        <v>D</v>
      </c>
      <c r="T30" s="14" t="s">
        <v>776</v>
      </c>
      <c r="U30" s="36">
        <f t="shared" si="0"/>
        <v>52</v>
      </c>
    </row>
    <row r="31" spans="1:22" ht="15.75" x14ac:dyDescent="0.2">
      <c r="A31" s="10">
        <v>12802</v>
      </c>
      <c r="B31" t="s">
        <v>532</v>
      </c>
      <c r="C31" t="s">
        <v>533</v>
      </c>
      <c r="D31" s="18">
        <v>41676</v>
      </c>
      <c r="E31" s="37">
        <f>YEAR(ClientDB[[#This Row],[Start Date]])</f>
        <v>2014</v>
      </c>
      <c r="F31" t="s">
        <v>815</v>
      </c>
      <c r="G31" t="str">
        <f>VLOOKUP(ClientDB[[#This Row],[Org Code]],'Lookup Lists'!$A$7:$B$52,2,0)</f>
        <v>Intelligence Systems</v>
      </c>
      <c r="H31" s="10" t="s">
        <v>143</v>
      </c>
      <c r="I31" s="10" t="str">
        <f>VLOOKUP(ClientDB[[#This Row],[Country Code]],'Lookup Lists'!$D$7:$E$59,2,0)</f>
        <v>Oman</v>
      </c>
      <c r="J31" s="15">
        <v>17</v>
      </c>
      <c r="K31" s="15" t="str">
        <f>IF(ClientDB[[#This Row],[Start Date]]&gt;=$U$14,"New","")</f>
        <v/>
      </c>
      <c r="L31" s="15" t="str">
        <f>IF(AND(ClientDB[[#This Row],[Start Year]]&lt;2016,ClientDB[[#This Row],[Events]]&gt;=6),"Gift","")</f>
        <v>Gift</v>
      </c>
      <c r="M3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31" s="15">
        <v>3</v>
      </c>
      <c r="O31" s="38">
        <f>ClientDB[[#This Row],[Days]]*(IF(ClientDB[[#This Row],[Days]]&gt;1,300,350))</f>
        <v>900</v>
      </c>
      <c r="P3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31" s="15" t="s">
        <v>899</v>
      </c>
      <c r="R31" s="15" t="str">
        <f>INDEX('Lookup Lists'!$H$7:$K$59,MATCH(ClientDB[[#This Row],[Country Code]],'Lookup Lists'!$G$7:$G$59,0),(MATCH(ClientDB[[#This Row],[Meal]],'Lookup Lists'!$H$6:$K$6,0)))</f>
        <v>B</v>
      </c>
      <c r="T31" s="14" t="s">
        <v>774</v>
      </c>
      <c r="U31" s="36">
        <f t="shared" si="0"/>
        <v>46</v>
      </c>
    </row>
    <row r="32" spans="1:22" ht="15.75" x14ac:dyDescent="0.2">
      <c r="A32" s="10">
        <v>12808</v>
      </c>
      <c r="B32" t="s">
        <v>323</v>
      </c>
      <c r="C32" t="s">
        <v>704</v>
      </c>
      <c r="D32" s="18">
        <v>41311</v>
      </c>
      <c r="E32" s="37">
        <f>YEAR(ClientDB[[#This Row],[Start Date]])</f>
        <v>2013</v>
      </c>
      <c r="F32" t="s">
        <v>826</v>
      </c>
      <c r="G32" t="str">
        <f>VLOOKUP(ClientDB[[#This Row],[Org Code]],'Lookup Lists'!$A$7:$B$52,2,0)</f>
        <v>Respira Networks</v>
      </c>
      <c r="H32" s="10" t="s">
        <v>46</v>
      </c>
      <c r="I32" s="10" t="str">
        <f>VLOOKUP(ClientDB[[#This Row],[Country Code]],'Lookup Lists'!$D$7:$E$59,2,0)</f>
        <v>Germany</v>
      </c>
      <c r="J32" s="15">
        <v>26</v>
      </c>
      <c r="K32" s="15" t="str">
        <f>IF(ClientDB[[#This Row],[Start Date]]&gt;=$U$14,"New","")</f>
        <v/>
      </c>
      <c r="L32" s="15" t="str">
        <f>IF(AND(ClientDB[[#This Row],[Start Year]]&lt;2016,ClientDB[[#This Row],[Events]]&gt;=6),"Gift","")</f>
        <v>Gift</v>
      </c>
      <c r="M3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Gold</v>
      </c>
      <c r="N32" s="15">
        <v>1</v>
      </c>
      <c r="O32" s="38">
        <f>ClientDB[[#This Row],[Days]]*(IF(ClientDB[[#This Row],[Days]]&gt;1,300,350))</f>
        <v>350</v>
      </c>
      <c r="P3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32" s="15" t="s">
        <v>901</v>
      </c>
      <c r="R32" s="15" t="str">
        <f>INDEX('Lookup Lists'!$H$7:$K$59,MATCH(ClientDB[[#This Row],[Country Code]],'Lookup Lists'!$G$7:$G$59,0),(MATCH(ClientDB[[#This Row],[Meal]],'Lookup Lists'!$H$6:$K$6,0)))</f>
        <v>D</v>
      </c>
      <c r="T32" s="14" t="s">
        <v>787</v>
      </c>
      <c r="U32" s="36">
        <f t="shared" si="0"/>
        <v>50</v>
      </c>
    </row>
    <row r="33" spans="1:21" ht="15.75" x14ac:dyDescent="0.2">
      <c r="A33" s="10">
        <v>12811</v>
      </c>
      <c r="B33" t="s">
        <v>570</v>
      </c>
      <c r="C33" t="s">
        <v>571</v>
      </c>
      <c r="D33" s="18">
        <v>42630</v>
      </c>
      <c r="E33" s="37">
        <f>YEAR(ClientDB[[#This Row],[Start Date]])</f>
        <v>2016</v>
      </c>
      <c r="F33" t="s">
        <v>811</v>
      </c>
      <c r="G33" t="str">
        <f>VLOOKUP(ClientDB[[#This Row],[Org Code]],'Lookup Lists'!$A$7:$B$52,2,0)</f>
        <v>EYN</v>
      </c>
      <c r="H33" s="10" t="s">
        <v>15</v>
      </c>
      <c r="I33" s="10" t="str">
        <f>VLOOKUP(ClientDB[[#This Row],[Country Code]],'Lookup Lists'!$D$7:$E$59,2,0)</f>
        <v>United Kingdom</v>
      </c>
      <c r="J33" s="15">
        <v>3</v>
      </c>
      <c r="K33" s="15" t="str">
        <f>IF(ClientDB[[#This Row],[Start Date]]&gt;=$U$14,"New","")</f>
        <v/>
      </c>
      <c r="L33" s="15" t="str">
        <f>IF(AND(ClientDB[[#This Row],[Start Year]]&lt;2016,ClientDB[[#This Row],[Events]]&gt;=6),"Gift","")</f>
        <v/>
      </c>
      <c r="M3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3" s="15">
        <v>1</v>
      </c>
      <c r="O33" s="38">
        <f>ClientDB[[#This Row],[Days]]*(IF(ClientDB[[#This Row],[Days]]&gt;1,300,350))</f>
        <v>350</v>
      </c>
      <c r="P3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33" s="15" t="s">
        <v>902</v>
      </c>
      <c r="R33" s="15" t="str">
        <f>INDEX('Lookup Lists'!$H$7:$K$59,MATCH(ClientDB[[#This Row],[Country Code]],'Lookup Lists'!$G$7:$G$59,0),(MATCH(ClientDB[[#This Row],[Meal]],'Lookup Lists'!$H$6:$K$6,0)))</f>
        <v>B</v>
      </c>
      <c r="T33" s="14" t="s">
        <v>788</v>
      </c>
      <c r="U33" s="36">
        <f t="shared" si="0"/>
        <v>32</v>
      </c>
    </row>
    <row r="34" spans="1:21" ht="15.75" x14ac:dyDescent="0.2">
      <c r="A34" s="10">
        <v>12838</v>
      </c>
      <c r="B34" t="s">
        <v>268</v>
      </c>
      <c r="C34" t="s">
        <v>269</v>
      </c>
      <c r="D34" s="18">
        <v>43909</v>
      </c>
      <c r="E34" s="37">
        <f>YEAR(ClientDB[[#This Row],[Start Date]])</f>
        <v>2020</v>
      </c>
      <c r="F34" t="s">
        <v>823</v>
      </c>
      <c r="G34" t="str">
        <f>VLOOKUP(ClientDB[[#This Row],[Org Code]],'Lookup Lists'!$A$7:$B$52,2,0)</f>
        <v>Pilco Streambank</v>
      </c>
      <c r="H34" s="10" t="s">
        <v>155</v>
      </c>
      <c r="I34" s="10" t="str">
        <f>VLOOKUP(ClientDB[[#This Row],[Country Code]],'Lookup Lists'!$D$7:$E$59,2,0)</f>
        <v>United Arab Emirates</v>
      </c>
      <c r="J34" s="15">
        <v>2</v>
      </c>
      <c r="K34" s="15" t="str">
        <f>IF(ClientDB[[#This Row],[Start Date]]&gt;=$U$14,"New","")</f>
        <v>New</v>
      </c>
      <c r="L34" s="15" t="str">
        <f>IF(AND(ClientDB[[#This Row],[Start Year]]&lt;2016,ClientDB[[#This Row],[Events]]&gt;=6),"Gift","")</f>
        <v/>
      </c>
      <c r="M3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4" s="15">
        <v>1</v>
      </c>
      <c r="O34" s="38">
        <f>ClientDB[[#This Row],[Days]]*(IF(ClientDB[[#This Row],[Days]]&gt;1,300,350))</f>
        <v>350</v>
      </c>
      <c r="P3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34" s="15" t="s">
        <v>901</v>
      </c>
      <c r="R34" s="15" t="str">
        <f>INDEX('Lookup Lists'!$H$7:$K$59,MATCH(ClientDB[[#This Row],[Country Code]],'Lookup Lists'!$G$7:$G$59,0),(MATCH(ClientDB[[#This Row],[Meal]],'Lookup Lists'!$H$6:$K$6,0)))</f>
        <v>D</v>
      </c>
      <c r="T34" s="14" t="s">
        <v>789</v>
      </c>
      <c r="U34" s="36">
        <f t="shared" si="0"/>
        <v>62</v>
      </c>
    </row>
    <row r="35" spans="1:21" ht="15.75" x14ac:dyDescent="0.2">
      <c r="A35" s="10">
        <v>12940</v>
      </c>
      <c r="B35" t="s">
        <v>627</v>
      </c>
      <c r="C35" t="s">
        <v>628</v>
      </c>
      <c r="D35" s="18">
        <v>42588</v>
      </c>
      <c r="E35" s="37">
        <f>YEAR(ClientDB[[#This Row],[Start Date]])</f>
        <v>2016</v>
      </c>
      <c r="F35" t="s">
        <v>827</v>
      </c>
      <c r="G35" t="str">
        <f>VLOOKUP(ClientDB[[#This Row],[Org Code]],'Lookup Lists'!$A$7:$B$52,2,0)</f>
        <v>Ripple Com</v>
      </c>
      <c r="H35" s="10" t="s">
        <v>15</v>
      </c>
      <c r="I35" s="10" t="str">
        <f>VLOOKUP(ClientDB[[#This Row],[Country Code]],'Lookup Lists'!$D$7:$E$59,2,0)</f>
        <v>United Kingdom</v>
      </c>
      <c r="J35" s="15">
        <v>9</v>
      </c>
      <c r="K35" s="15" t="str">
        <f>IF(ClientDB[[#This Row],[Start Date]]&gt;=$U$14,"New","")</f>
        <v/>
      </c>
      <c r="L35" s="15" t="str">
        <f>IF(AND(ClientDB[[#This Row],[Start Year]]&lt;2016,ClientDB[[#This Row],[Events]]&gt;=6),"Gift","")</f>
        <v/>
      </c>
      <c r="M3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5" s="15">
        <v>3</v>
      </c>
      <c r="O35" s="38">
        <f>ClientDB[[#This Row],[Days]]*(IF(ClientDB[[#This Row],[Days]]&gt;1,300,350))</f>
        <v>900</v>
      </c>
      <c r="P3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35" s="15" t="s">
        <v>899</v>
      </c>
      <c r="R35" s="15" t="str">
        <f>INDEX('Lookup Lists'!$H$7:$K$59,MATCH(ClientDB[[#This Row],[Country Code]],'Lookup Lists'!$G$7:$G$59,0),(MATCH(ClientDB[[#This Row],[Meal]],'Lookup Lists'!$H$6:$K$6,0)))</f>
        <v>A</v>
      </c>
      <c r="T35" s="14" t="s">
        <v>790</v>
      </c>
      <c r="U35" s="36">
        <f t="shared" si="0"/>
        <v>44</v>
      </c>
    </row>
    <row r="36" spans="1:21" x14ac:dyDescent="0.2">
      <c r="A36" s="10">
        <v>12942</v>
      </c>
      <c r="B36" t="s">
        <v>135</v>
      </c>
      <c r="C36" t="s">
        <v>622</v>
      </c>
      <c r="D36" s="18">
        <v>43373</v>
      </c>
      <c r="E36" s="37">
        <f>YEAR(ClientDB[[#This Row],[Start Date]])</f>
        <v>2018</v>
      </c>
      <c r="F36" t="s">
        <v>803</v>
      </c>
      <c r="G36" t="str">
        <f>VLOOKUP(ClientDB[[#This Row],[Org Code]],'Lookup Lists'!$A$7:$B$52,2,0)</f>
        <v>CTX</v>
      </c>
      <c r="H36" s="10" t="s">
        <v>59</v>
      </c>
      <c r="I36" s="10" t="str">
        <f>VLOOKUP(ClientDB[[#This Row],[Country Code]],'Lookup Lists'!$D$7:$E$59,2,0)</f>
        <v>Netherlands</v>
      </c>
      <c r="J36" s="15">
        <v>7</v>
      </c>
      <c r="K36" s="15" t="str">
        <f>IF(ClientDB[[#This Row],[Start Date]]&gt;=$U$14,"New","")</f>
        <v/>
      </c>
      <c r="L36" s="15" t="str">
        <f>IF(AND(ClientDB[[#This Row],[Start Year]]&lt;2016,ClientDB[[#This Row],[Events]]&gt;=6),"Gift","")</f>
        <v/>
      </c>
      <c r="M3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6" s="15">
        <v>1</v>
      </c>
      <c r="O36" s="38">
        <f>ClientDB[[#This Row],[Days]]*(IF(ClientDB[[#This Row],[Days]]&gt;1,300,350))</f>
        <v>350</v>
      </c>
      <c r="P3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36" s="15" t="s">
        <v>901</v>
      </c>
      <c r="R36" s="15" t="str">
        <f>INDEX('Lookup Lists'!$H$7:$K$59,MATCH(ClientDB[[#This Row],[Country Code]],'Lookup Lists'!$G$7:$G$59,0),(MATCH(ClientDB[[#This Row],[Meal]],'Lookup Lists'!$H$6:$K$6,0)))</f>
        <v>F</v>
      </c>
    </row>
    <row r="37" spans="1:21" x14ac:dyDescent="0.2">
      <c r="A37" s="10">
        <v>13063</v>
      </c>
      <c r="B37" t="s">
        <v>43</v>
      </c>
      <c r="C37" t="s">
        <v>44</v>
      </c>
      <c r="D37" s="18">
        <v>42328</v>
      </c>
      <c r="E37" s="37">
        <f>YEAR(ClientDB[[#This Row],[Start Date]])</f>
        <v>2015</v>
      </c>
      <c r="F37" t="s">
        <v>838</v>
      </c>
      <c r="G37" t="str">
        <f>VLOOKUP(ClientDB[[#This Row],[Org Code]],'Lookup Lists'!$A$7:$B$52,2,0)</f>
        <v>xLAN Internet Exchange</v>
      </c>
      <c r="H37" s="10" t="s">
        <v>46</v>
      </c>
      <c r="I37" s="10" t="str">
        <f>VLOOKUP(ClientDB[[#This Row],[Country Code]],'Lookup Lists'!$D$7:$E$59,2,0)</f>
        <v>Germany</v>
      </c>
      <c r="J37" s="15">
        <v>1</v>
      </c>
      <c r="K37" s="15" t="str">
        <f>IF(ClientDB[[#This Row],[Start Date]]&gt;=$U$14,"New","")</f>
        <v/>
      </c>
      <c r="L37" s="15" t="str">
        <f>IF(AND(ClientDB[[#This Row],[Start Year]]&lt;2016,ClientDB[[#This Row],[Events]]&gt;=6),"Gift","")</f>
        <v/>
      </c>
      <c r="M3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7" s="15">
        <v>3</v>
      </c>
      <c r="O37" s="38">
        <f>ClientDB[[#This Row],[Days]]*(IF(ClientDB[[#This Row],[Days]]&gt;1,300,350))</f>
        <v>900</v>
      </c>
      <c r="P3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37" s="15" t="s">
        <v>901</v>
      </c>
      <c r="R37" s="15" t="str">
        <f>INDEX('Lookup Lists'!$H$7:$K$59,MATCH(ClientDB[[#This Row],[Country Code]],'Lookup Lists'!$G$7:$G$59,0),(MATCH(ClientDB[[#This Row],[Meal]],'Lookup Lists'!$H$6:$K$6,0)))</f>
        <v>D</v>
      </c>
    </row>
    <row r="38" spans="1:21" x14ac:dyDescent="0.2">
      <c r="A38" s="10">
        <v>13210</v>
      </c>
      <c r="B38" t="s">
        <v>627</v>
      </c>
      <c r="C38" t="s">
        <v>697</v>
      </c>
      <c r="D38" s="18">
        <v>42738</v>
      </c>
      <c r="E38" s="37">
        <f>YEAR(ClientDB[[#This Row],[Start Date]])</f>
        <v>2017</v>
      </c>
      <c r="F38" t="s">
        <v>817</v>
      </c>
      <c r="G38" t="str">
        <f>VLOOKUP(ClientDB[[#This Row],[Org Code]],'Lookup Lists'!$A$7:$B$52,2,0)</f>
        <v>LACNE</v>
      </c>
      <c r="H38" s="10" t="s">
        <v>698</v>
      </c>
      <c r="I38" s="10" t="str">
        <f>VLOOKUP(ClientDB[[#This Row],[Country Code]],'Lookup Lists'!$D$7:$E$59,2,0)</f>
        <v>Argentina</v>
      </c>
      <c r="J38" s="15">
        <v>3</v>
      </c>
      <c r="K38" s="15" t="str">
        <f>IF(ClientDB[[#This Row],[Start Date]]&gt;=$U$14,"New","")</f>
        <v/>
      </c>
      <c r="L38" s="15" t="str">
        <f>IF(AND(ClientDB[[#This Row],[Start Year]]&lt;2016,ClientDB[[#This Row],[Events]]&gt;=6),"Gift","")</f>
        <v/>
      </c>
      <c r="M3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8" s="15">
        <v>1</v>
      </c>
      <c r="O38" s="38">
        <f>ClientDB[[#This Row],[Days]]*(IF(ClientDB[[#This Row],[Days]]&gt;1,300,350))</f>
        <v>350</v>
      </c>
      <c r="P3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38" s="15" t="s">
        <v>902</v>
      </c>
      <c r="R38" s="15" t="str">
        <f>INDEX('Lookup Lists'!$H$7:$K$59,MATCH(ClientDB[[#This Row],[Country Code]],'Lookup Lists'!$G$7:$G$59,0),(MATCH(ClientDB[[#This Row],[Meal]],'Lookup Lists'!$H$6:$K$6,0)))</f>
        <v>B</v>
      </c>
    </row>
    <row r="39" spans="1:21" x14ac:dyDescent="0.2">
      <c r="A39" s="10">
        <v>13229</v>
      </c>
      <c r="B39" t="s">
        <v>60</v>
      </c>
      <c r="C39" t="s">
        <v>61</v>
      </c>
      <c r="D39" s="18">
        <v>42336</v>
      </c>
      <c r="E39" s="37">
        <f>YEAR(ClientDB[[#This Row],[Start Date]])</f>
        <v>2015</v>
      </c>
      <c r="F39" t="s">
        <v>797</v>
      </c>
      <c r="G39" t="str">
        <f>VLOOKUP(ClientDB[[#This Row],[Org Code]],'Lookup Lists'!$A$7:$B$52,2,0)</f>
        <v>ASET PLC</v>
      </c>
      <c r="H39" s="10" t="s">
        <v>63</v>
      </c>
      <c r="I39" s="10" t="str">
        <f>VLOOKUP(ClientDB[[#This Row],[Country Code]],'Lookup Lists'!$D$7:$E$59,2,0)</f>
        <v>Armenia</v>
      </c>
      <c r="J39" s="15">
        <v>2</v>
      </c>
      <c r="K39" s="15" t="str">
        <f>IF(ClientDB[[#This Row],[Start Date]]&gt;=$U$14,"New","")</f>
        <v/>
      </c>
      <c r="L39" s="15" t="str">
        <f>IF(AND(ClientDB[[#This Row],[Start Year]]&lt;2016,ClientDB[[#This Row],[Events]]&gt;=6),"Gift","")</f>
        <v/>
      </c>
      <c r="M3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9" s="15">
        <v>1</v>
      </c>
      <c r="O39" s="38">
        <f>ClientDB[[#This Row],[Days]]*(IF(ClientDB[[#This Row],[Days]]&gt;1,300,350))</f>
        <v>350</v>
      </c>
      <c r="P3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39" s="15" t="s">
        <v>901</v>
      </c>
      <c r="R39" s="15" t="str">
        <f>INDEX('Lookup Lists'!$H$7:$K$59,MATCH(ClientDB[[#This Row],[Country Code]],'Lookup Lists'!$G$7:$G$59,0),(MATCH(ClientDB[[#This Row],[Meal]],'Lookup Lists'!$H$6:$K$6,0)))</f>
        <v>D</v>
      </c>
    </row>
    <row r="40" spans="1:21" x14ac:dyDescent="0.2">
      <c r="A40" s="10">
        <v>13301</v>
      </c>
      <c r="B40" t="s">
        <v>542</v>
      </c>
      <c r="C40" t="s">
        <v>543</v>
      </c>
      <c r="D40" s="18">
        <v>43004</v>
      </c>
      <c r="E40" s="37">
        <f>YEAR(ClientDB[[#This Row],[Start Date]])</f>
        <v>2017</v>
      </c>
      <c r="F40" t="s">
        <v>814</v>
      </c>
      <c r="G40" t="str">
        <f>VLOOKUP(ClientDB[[#This Row],[Org Code]],'Lookup Lists'!$A$7:$B$52,2,0)</f>
        <v>ICANT</v>
      </c>
      <c r="H40" s="10" t="s">
        <v>7</v>
      </c>
      <c r="I40" s="10" t="str">
        <f>VLOOKUP(ClientDB[[#This Row],[Country Code]],'Lookup Lists'!$D$7:$E$59,2,0)</f>
        <v>Iran</v>
      </c>
      <c r="J40" s="15">
        <v>4</v>
      </c>
      <c r="K40" s="15" t="str">
        <f>IF(ClientDB[[#This Row],[Start Date]]&gt;=$U$14,"New","")</f>
        <v/>
      </c>
      <c r="L40" s="15" t="str">
        <f>IF(AND(ClientDB[[#This Row],[Start Year]]&lt;2016,ClientDB[[#This Row],[Events]]&gt;=6),"Gift","")</f>
        <v/>
      </c>
      <c r="M4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40" s="15">
        <v>3</v>
      </c>
      <c r="O40" s="38">
        <f>ClientDB[[#This Row],[Days]]*(IF(ClientDB[[#This Row],[Days]]&gt;1,300,350))</f>
        <v>900</v>
      </c>
      <c r="P4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40" s="15" t="s">
        <v>901</v>
      </c>
      <c r="R40" s="15" t="str">
        <f>INDEX('Lookup Lists'!$H$7:$K$59,MATCH(ClientDB[[#This Row],[Country Code]],'Lookup Lists'!$G$7:$G$59,0),(MATCH(ClientDB[[#This Row],[Meal]],'Lookup Lists'!$H$6:$K$6,0)))</f>
        <v>F</v>
      </c>
    </row>
    <row r="41" spans="1:21" x14ac:dyDescent="0.2">
      <c r="A41" s="10">
        <v>13380</v>
      </c>
      <c r="B41" t="s">
        <v>447</v>
      </c>
      <c r="C41" t="s">
        <v>448</v>
      </c>
      <c r="D41" s="18">
        <v>42498</v>
      </c>
      <c r="E41" s="37">
        <f>YEAR(ClientDB[[#This Row],[Start Date]])</f>
        <v>2016</v>
      </c>
      <c r="F41" t="s">
        <v>814</v>
      </c>
      <c r="G41" t="str">
        <f>VLOOKUP(ClientDB[[#This Row],[Org Code]],'Lookup Lists'!$A$7:$B$52,2,0)</f>
        <v>ICANT</v>
      </c>
      <c r="H41" s="10" t="s">
        <v>7</v>
      </c>
      <c r="I41" s="10" t="str">
        <f>VLOOKUP(ClientDB[[#This Row],[Country Code]],'Lookup Lists'!$D$7:$E$59,2,0)</f>
        <v>Iran</v>
      </c>
      <c r="J41" s="15">
        <v>6</v>
      </c>
      <c r="K41" s="15" t="str">
        <f>IF(ClientDB[[#This Row],[Start Date]]&gt;=$U$14,"New","")</f>
        <v/>
      </c>
      <c r="L41" s="15" t="str">
        <f>IF(AND(ClientDB[[#This Row],[Start Year]]&lt;2016,ClientDB[[#This Row],[Events]]&gt;=6),"Gift","")</f>
        <v/>
      </c>
      <c r="M4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41" s="15">
        <v>2</v>
      </c>
      <c r="O41" s="38">
        <f>ClientDB[[#This Row],[Days]]*(IF(ClientDB[[#This Row],[Days]]&gt;1,300,350))</f>
        <v>600</v>
      </c>
      <c r="P4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41" s="15" t="s">
        <v>901</v>
      </c>
      <c r="R41" s="15" t="str">
        <f>INDEX('Lookup Lists'!$H$7:$K$59,MATCH(ClientDB[[#This Row],[Country Code]],'Lookup Lists'!$G$7:$G$59,0),(MATCH(ClientDB[[#This Row],[Meal]],'Lookup Lists'!$H$6:$K$6,0)))</f>
        <v>F</v>
      </c>
    </row>
    <row r="42" spans="1:21" x14ac:dyDescent="0.2">
      <c r="A42" s="10">
        <v>13382</v>
      </c>
      <c r="B42" t="s">
        <v>445</v>
      </c>
      <c r="C42" t="s">
        <v>446</v>
      </c>
      <c r="D42" s="18">
        <v>42213</v>
      </c>
      <c r="E42" s="37">
        <f>YEAR(ClientDB[[#This Row],[Start Date]])</f>
        <v>2015</v>
      </c>
      <c r="F42" t="s">
        <v>823</v>
      </c>
      <c r="G42" t="str">
        <f>VLOOKUP(ClientDB[[#This Row],[Org Code]],'Lookup Lists'!$A$7:$B$52,2,0)</f>
        <v>Pilco Streambank</v>
      </c>
      <c r="H42" s="10" t="s">
        <v>59</v>
      </c>
      <c r="I42" s="10" t="str">
        <f>VLOOKUP(ClientDB[[#This Row],[Country Code]],'Lookup Lists'!$D$7:$E$59,2,0)</f>
        <v>Netherlands</v>
      </c>
      <c r="J42" s="15">
        <v>8</v>
      </c>
      <c r="K42" s="15" t="str">
        <f>IF(ClientDB[[#This Row],[Start Date]]&gt;=$U$14,"New","")</f>
        <v/>
      </c>
      <c r="L42" s="15" t="str">
        <f>IF(AND(ClientDB[[#This Row],[Start Year]]&lt;2016,ClientDB[[#This Row],[Events]]&gt;=6),"Gift","")</f>
        <v>Gift</v>
      </c>
      <c r="M4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42" s="15">
        <v>2</v>
      </c>
      <c r="O42" s="38">
        <f>ClientDB[[#This Row],[Days]]*(IF(ClientDB[[#This Row],[Days]]&gt;1,300,350))</f>
        <v>600</v>
      </c>
      <c r="P4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42" s="15" t="s">
        <v>901</v>
      </c>
      <c r="R42" s="15" t="str">
        <f>INDEX('Lookup Lists'!$H$7:$K$59,MATCH(ClientDB[[#This Row],[Country Code]],'Lookup Lists'!$G$7:$G$59,0),(MATCH(ClientDB[[#This Row],[Meal]],'Lookup Lists'!$H$6:$K$6,0)))</f>
        <v>F</v>
      </c>
    </row>
    <row r="43" spans="1:21" x14ac:dyDescent="0.2">
      <c r="A43" s="10">
        <v>13420</v>
      </c>
      <c r="B43" t="s">
        <v>67</v>
      </c>
      <c r="C43" t="s">
        <v>527</v>
      </c>
      <c r="D43" s="18">
        <v>42701</v>
      </c>
      <c r="E43" s="37">
        <f>YEAR(ClientDB[[#This Row],[Start Date]])</f>
        <v>2016</v>
      </c>
      <c r="F43" t="s">
        <v>806</v>
      </c>
      <c r="G43" t="str">
        <f>VLOOKUP(ClientDB[[#This Row],[Org Code]],'Lookup Lists'!$A$7:$B$52,2,0)</f>
        <v>DENIL</v>
      </c>
      <c r="H43" s="10" t="s">
        <v>11</v>
      </c>
      <c r="I43" s="10" t="str">
        <f>VLOOKUP(ClientDB[[#This Row],[Country Code]],'Lookup Lists'!$D$7:$E$59,2,0)</f>
        <v>Austria</v>
      </c>
      <c r="J43" s="15">
        <v>17</v>
      </c>
      <c r="K43" s="15" t="str">
        <f>IF(ClientDB[[#This Row],[Start Date]]&gt;=$U$14,"New","")</f>
        <v/>
      </c>
      <c r="L43" s="15" t="str">
        <f>IF(AND(ClientDB[[#This Row],[Start Year]]&lt;2016,ClientDB[[#This Row],[Events]]&gt;=6),"Gift","")</f>
        <v/>
      </c>
      <c r="M4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43" s="15">
        <v>2</v>
      </c>
      <c r="O43" s="38">
        <f>ClientDB[[#This Row],[Days]]*(IF(ClientDB[[#This Row],[Days]]&gt;1,300,350))</f>
        <v>600</v>
      </c>
      <c r="P4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43" s="15" t="s">
        <v>902</v>
      </c>
      <c r="R43" s="15" t="str">
        <f>INDEX('Lookup Lists'!$H$7:$K$59,MATCH(ClientDB[[#This Row],[Country Code]],'Lookup Lists'!$G$7:$G$59,0),(MATCH(ClientDB[[#This Row],[Meal]],'Lookup Lists'!$H$6:$K$6,0)))</f>
        <v>B</v>
      </c>
    </row>
    <row r="44" spans="1:21" x14ac:dyDescent="0.2">
      <c r="A44" s="10">
        <v>13485</v>
      </c>
      <c r="B44" t="s">
        <v>135</v>
      </c>
      <c r="C44" t="s">
        <v>174</v>
      </c>
      <c r="D44" s="18">
        <v>43049</v>
      </c>
      <c r="E44" s="37">
        <f>YEAR(ClientDB[[#This Row],[Start Date]])</f>
        <v>2017</v>
      </c>
      <c r="F44" t="s">
        <v>803</v>
      </c>
      <c r="G44" t="str">
        <f>VLOOKUP(ClientDB[[#This Row],[Org Code]],'Lookup Lists'!$A$7:$B$52,2,0)</f>
        <v>CTX</v>
      </c>
      <c r="H44" s="10" t="s">
        <v>175</v>
      </c>
      <c r="I44" s="10" t="str">
        <f>VLOOKUP(ClientDB[[#This Row],[Country Code]],'Lookup Lists'!$D$7:$E$59,2,0)</f>
        <v>Australia</v>
      </c>
      <c r="J44" s="15">
        <v>6</v>
      </c>
      <c r="K44" s="15" t="str">
        <f>IF(ClientDB[[#This Row],[Start Date]]&gt;=$U$14,"New","")</f>
        <v/>
      </c>
      <c r="L44" s="15" t="str">
        <f>IF(AND(ClientDB[[#This Row],[Start Year]]&lt;2016,ClientDB[[#This Row],[Events]]&gt;=6),"Gift","")</f>
        <v/>
      </c>
      <c r="M4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44" s="15">
        <v>3</v>
      </c>
      <c r="O44" s="38">
        <f>ClientDB[[#This Row],[Days]]*(IF(ClientDB[[#This Row],[Days]]&gt;1,300,350))</f>
        <v>900</v>
      </c>
      <c r="P4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44" s="15" t="s">
        <v>901</v>
      </c>
      <c r="R44" s="15" t="str">
        <f>INDEX('Lookup Lists'!$H$7:$K$59,MATCH(ClientDB[[#This Row],[Country Code]],'Lookup Lists'!$G$7:$G$59,0),(MATCH(ClientDB[[#This Row],[Meal]],'Lookup Lists'!$H$6:$K$6,0)))</f>
        <v>D</v>
      </c>
    </row>
    <row r="45" spans="1:21" x14ac:dyDescent="0.2">
      <c r="A45" s="10">
        <v>13650</v>
      </c>
      <c r="B45" t="s">
        <v>536</v>
      </c>
      <c r="C45" t="s">
        <v>537</v>
      </c>
      <c r="D45" s="18">
        <v>44078</v>
      </c>
      <c r="E45" s="37">
        <f>YEAR(ClientDB[[#This Row],[Start Date]])</f>
        <v>2020</v>
      </c>
      <c r="F45" t="s">
        <v>806</v>
      </c>
      <c r="G45" t="str">
        <f>VLOOKUP(ClientDB[[#This Row],[Org Code]],'Lookup Lists'!$A$7:$B$52,2,0)</f>
        <v>DENIL</v>
      </c>
      <c r="H45" s="10" t="s">
        <v>46</v>
      </c>
      <c r="I45" s="10" t="str">
        <f>VLOOKUP(ClientDB[[#This Row],[Country Code]],'Lookup Lists'!$D$7:$E$59,2,0)</f>
        <v>Germany</v>
      </c>
      <c r="J45" s="15">
        <v>17</v>
      </c>
      <c r="K45" s="15" t="str">
        <f>IF(ClientDB[[#This Row],[Start Date]]&gt;=$U$14,"New","")</f>
        <v>New</v>
      </c>
      <c r="L45" s="15" t="str">
        <f>IF(AND(ClientDB[[#This Row],[Start Year]]&lt;2016,ClientDB[[#This Row],[Events]]&gt;=6),"Gift","")</f>
        <v/>
      </c>
      <c r="M4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45" s="15">
        <v>2</v>
      </c>
      <c r="O45" s="38">
        <f>ClientDB[[#This Row],[Days]]*(IF(ClientDB[[#This Row],[Days]]&gt;1,300,350))</f>
        <v>600</v>
      </c>
      <c r="P4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45" s="15" t="s">
        <v>901</v>
      </c>
      <c r="R45" s="15" t="str">
        <f>INDEX('Lookup Lists'!$H$7:$K$59,MATCH(ClientDB[[#This Row],[Country Code]],'Lookup Lists'!$G$7:$G$59,0),(MATCH(ClientDB[[#This Row],[Meal]],'Lookup Lists'!$H$6:$K$6,0)))</f>
        <v>D</v>
      </c>
    </row>
    <row r="46" spans="1:21" x14ac:dyDescent="0.2">
      <c r="A46" s="10">
        <v>13671</v>
      </c>
      <c r="B46" t="s">
        <v>762</v>
      </c>
      <c r="C46" t="s">
        <v>763</v>
      </c>
      <c r="D46" s="18">
        <v>43010</v>
      </c>
      <c r="E46" s="37">
        <f>YEAR(ClientDB[[#This Row],[Start Date]])</f>
        <v>2017</v>
      </c>
      <c r="F46" t="s">
        <v>827</v>
      </c>
      <c r="G46" t="str">
        <f>VLOOKUP(ClientDB[[#This Row],[Org Code]],'Lookup Lists'!$A$7:$B$52,2,0)</f>
        <v>Ripple Com</v>
      </c>
      <c r="H46" s="10" t="s">
        <v>7</v>
      </c>
      <c r="I46" s="10" t="str">
        <f>VLOOKUP(ClientDB[[#This Row],[Country Code]],'Lookup Lists'!$D$7:$E$59,2,0)</f>
        <v>Iran</v>
      </c>
      <c r="J46" s="15">
        <v>8</v>
      </c>
      <c r="K46" s="15" t="str">
        <f>IF(ClientDB[[#This Row],[Start Date]]&gt;=$U$14,"New","")</f>
        <v/>
      </c>
      <c r="L46" s="15" t="str">
        <f>IF(AND(ClientDB[[#This Row],[Start Year]]&lt;2016,ClientDB[[#This Row],[Events]]&gt;=6),"Gift","")</f>
        <v/>
      </c>
      <c r="M4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46" s="15">
        <v>2</v>
      </c>
      <c r="O46" s="38">
        <f>ClientDB[[#This Row],[Days]]*(IF(ClientDB[[#This Row],[Days]]&gt;1,300,350))</f>
        <v>600</v>
      </c>
      <c r="P4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46" s="15" t="s">
        <v>899</v>
      </c>
      <c r="R46" s="15" t="str">
        <f>INDEX('Lookup Lists'!$H$7:$K$59,MATCH(ClientDB[[#This Row],[Country Code]],'Lookup Lists'!$G$7:$G$59,0),(MATCH(ClientDB[[#This Row],[Meal]],'Lookup Lists'!$H$6:$K$6,0)))</f>
        <v>A</v>
      </c>
    </row>
    <row r="47" spans="1:21" x14ac:dyDescent="0.2">
      <c r="A47" s="10">
        <v>13684</v>
      </c>
      <c r="B47" t="s">
        <v>219</v>
      </c>
      <c r="C47" t="s">
        <v>220</v>
      </c>
      <c r="D47" s="18">
        <v>43498</v>
      </c>
      <c r="E47" s="37">
        <f>YEAR(ClientDB[[#This Row],[Start Date]])</f>
        <v>2019</v>
      </c>
      <c r="F47" t="s">
        <v>827</v>
      </c>
      <c r="G47" t="str">
        <f>VLOOKUP(ClientDB[[#This Row],[Org Code]],'Lookup Lists'!$A$7:$B$52,2,0)</f>
        <v>Ripple Com</v>
      </c>
      <c r="H47" s="10" t="s">
        <v>15</v>
      </c>
      <c r="I47" s="10" t="str">
        <f>VLOOKUP(ClientDB[[#This Row],[Country Code]],'Lookup Lists'!$D$7:$E$59,2,0)</f>
        <v>United Kingdom</v>
      </c>
      <c r="J47" s="15">
        <v>10</v>
      </c>
      <c r="K47" s="15" t="str">
        <f>IF(ClientDB[[#This Row],[Start Date]]&gt;=$U$14,"New","")</f>
        <v/>
      </c>
      <c r="L47" s="15" t="str">
        <f>IF(AND(ClientDB[[#This Row],[Start Year]]&lt;2016,ClientDB[[#This Row],[Events]]&gt;=6),"Gift","")</f>
        <v/>
      </c>
      <c r="M4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47" s="15">
        <v>1</v>
      </c>
      <c r="O47" s="38">
        <f>ClientDB[[#This Row],[Days]]*(IF(ClientDB[[#This Row],[Days]]&gt;1,300,350))</f>
        <v>350</v>
      </c>
      <c r="P4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47" s="15" t="s">
        <v>901</v>
      </c>
      <c r="R47" s="15" t="str">
        <f>INDEX('Lookup Lists'!$H$7:$K$59,MATCH(ClientDB[[#This Row],[Country Code]],'Lookup Lists'!$G$7:$G$59,0),(MATCH(ClientDB[[#This Row],[Meal]],'Lookup Lists'!$H$6:$K$6,0)))</f>
        <v>E</v>
      </c>
    </row>
    <row r="48" spans="1:21" x14ac:dyDescent="0.2">
      <c r="A48" s="10">
        <v>13713</v>
      </c>
      <c r="B48" t="s">
        <v>417</v>
      </c>
      <c r="C48" t="s">
        <v>418</v>
      </c>
      <c r="D48" s="18">
        <v>42684</v>
      </c>
      <c r="E48" s="37">
        <f>YEAR(ClientDB[[#This Row],[Start Date]])</f>
        <v>2016</v>
      </c>
      <c r="F48" t="s">
        <v>827</v>
      </c>
      <c r="G48" t="str">
        <f>VLOOKUP(ClientDB[[#This Row],[Org Code]],'Lookup Lists'!$A$7:$B$52,2,0)</f>
        <v>Ripple Com</v>
      </c>
      <c r="H48" s="10" t="s">
        <v>419</v>
      </c>
      <c r="I48" s="10" t="str">
        <f>VLOOKUP(ClientDB[[#This Row],[Country Code]],'Lookup Lists'!$D$7:$E$59,2,0)</f>
        <v>Hungary</v>
      </c>
      <c r="J48" s="15">
        <v>20</v>
      </c>
      <c r="K48" s="15" t="str">
        <f>IF(ClientDB[[#This Row],[Start Date]]&gt;=$U$14,"New","")</f>
        <v/>
      </c>
      <c r="L48" s="15" t="str">
        <f>IF(AND(ClientDB[[#This Row],[Start Year]]&lt;2016,ClientDB[[#This Row],[Events]]&gt;=6),"Gift","")</f>
        <v/>
      </c>
      <c r="M4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Gold</v>
      </c>
      <c r="N48" s="15">
        <v>2</v>
      </c>
      <c r="O48" s="38">
        <f>ClientDB[[#This Row],[Days]]*(IF(ClientDB[[#This Row],[Days]]&gt;1,300,350))</f>
        <v>600</v>
      </c>
      <c r="P4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48" s="15" t="s">
        <v>900</v>
      </c>
      <c r="R48" s="15" t="str">
        <f>INDEX('Lookup Lists'!$H$7:$K$59,MATCH(ClientDB[[#This Row],[Country Code]],'Lookup Lists'!$G$7:$G$59,0),(MATCH(ClientDB[[#This Row],[Meal]],'Lookup Lists'!$H$6:$K$6,0)))</f>
        <v>A</v>
      </c>
    </row>
    <row r="49" spans="1:18" x14ac:dyDescent="0.2">
      <c r="A49" s="10">
        <v>13813</v>
      </c>
      <c r="B49" t="s">
        <v>516</v>
      </c>
      <c r="C49" t="s">
        <v>517</v>
      </c>
      <c r="D49" s="18">
        <v>43978</v>
      </c>
      <c r="E49" s="37">
        <f>YEAR(ClientDB[[#This Row],[Start Date]])</f>
        <v>2020</v>
      </c>
      <c r="F49" t="s">
        <v>827</v>
      </c>
      <c r="G49" t="str">
        <f>VLOOKUP(ClientDB[[#This Row],[Org Code]],'Lookup Lists'!$A$7:$B$52,2,0)</f>
        <v>Ripple Com</v>
      </c>
      <c r="H49" s="10" t="s">
        <v>15</v>
      </c>
      <c r="I49" s="10" t="str">
        <f>VLOOKUP(ClientDB[[#This Row],[Country Code]],'Lookup Lists'!$D$7:$E$59,2,0)</f>
        <v>United Kingdom</v>
      </c>
      <c r="J49" s="15">
        <v>1</v>
      </c>
      <c r="K49" s="15" t="str">
        <f>IF(ClientDB[[#This Row],[Start Date]]&gt;=$U$14,"New","")</f>
        <v>New</v>
      </c>
      <c r="L49" s="15" t="str">
        <f>IF(AND(ClientDB[[#This Row],[Start Year]]&lt;2016,ClientDB[[#This Row],[Events]]&gt;=6),"Gift","")</f>
        <v/>
      </c>
      <c r="M4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49" s="15">
        <v>1</v>
      </c>
      <c r="O49" s="38">
        <f>ClientDB[[#This Row],[Days]]*(IF(ClientDB[[#This Row],[Days]]&gt;1,300,350))</f>
        <v>350</v>
      </c>
      <c r="P4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49" s="15" t="s">
        <v>902</v>
      </c>
      <c r="R49" s="15" t="str">
        <f>INDEX('Lookup Lists'!$H$7:$K$59,MATCH(ClientDB[[#This Row],[Country Code]],'Lookup Lists'!$G$7:$G$59,0),(MATCH(ClientDB[[#This Row],[Meal]],'Lookup Lists'!$H$6:$K$6,0)))</f>
        <v>B</v>
      </c>
    </row>
    <row r="50" spans="1:18" x14ac:dyDescent="0.2">
      <c r="A50" s="10">
        <v>13824</v>
      </c>
      <c r="B50" t="s">
        <v>110</v>
      </c>
      <c r="C50" t="s">
        <v>111</v>
      </c>
      <c r="D50" s="18">
        <v>41364</v>
      </c>
      <c r="E50" s="37">
        <f>YEAR(ClientDB[[#This Row],[Start Date]])</f>
        <v>2013</v>
      </c>
      <c r="F50" t="s">
        <v>836</v>
      </c>
      <c r="G50" t="str">
        <f>VLOOKUP(ClientDB[[#This Row],[Org Code]],'Lookup Lists'!$A$7:$B$52,2,0)</f>
        <v>Wiz Labs</v>
      </c>
      <c r="H50" s="10" t="s">
        <v>97</v>
      </c>
      <c r="I50" s="10" t="str">
        <f>VLOOKUP(ClientDB[[#This Row],[Country Code]],'Lookup Lists'!$D$7:$E$59,2,0)</f>
        <v>Ireland</v>
      </c>
      <c r="J50" s="15">
        <v>31</v>
      </c>
      <c r="K50" s="15" t="str">
        <f>IF(ClientDB[[#This Row],[Start Date]]&gt;=$U$14,"New","")</f>
        <v/>
      </c>
      <c r="L50" s="15" t="str">
        <f>IF(AND(ClientDB[[#This Row],[Start Year]]&lt;2016,ClientDB[[#This Row],[Events]]&gt;=6),"Gift","")</f>
        <v>Gift</v>
      </c>
      <c r="M5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Platinum</v>
      </c>
      <c r="N50" s="15">
        <v>3</v>
      </c>
      <c r="O50" s="38">
        <f>ClientDB[[#This Row],[Days]]*(IF(ClientDB[[#This Row],[Days]]&gt;1,300,350))</f>
        <v>900</v>
      </c>
      <c r="P5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50" s="15" t="s">
        <v>901</v>
      </c>
      <c r="R50" s="15" t="str">
        <f>INDEX('Lookup Lists'!$H$7:$K$59,MATCH(ClientDB[[#This Row],[Country Code]],'Lookup Lists'!$G$7:$G$59,0),(MATCH(ClientDB[[#This Row],[Meal]],'Lookup Lists'!$H$6:$K$6,0)))</f>
        <v>F</v>
      </c>
    </row>
    <row r="51" spans="1:18" x14ac:dyDescent="0.2">
      <c r="A51" s="10">
        <v>13865</v>
      </c>
      <c r="B51" t="s">
        <v>372</v>
      </c>
      <c r="C51" t="s">
        <v>373</v>
      </c>
      <c r="D51" s="18">
        <v>42729</v>
      </c>
      <c r="E51" s="37">
        <f>YEAR(ClientDB[[#This Row],[Start Date]])</f>
        <v>2016</v>
      </c>
      <c r="F51" t="s">
        <v>813</v>
      </c>
      <c r="G51" t="str">
        <f>VLOOKUP(ClientDB[[#This Row],[Org Code]],'Lookup Lists'!$A$7:$B$52,2,0)</f>
        <v>HeatProof</v>
      </c>
      <c r="H51" s="10" t="s">
        <v>11</v>
      </c>
      <c r="I51" s="10" t="str">
        <f>VLOOKUP(ClientDB[[#This Row],[Country Code]],'Lookup Lists'!$D$7:$E$59,2,0)</f>
        <v>Austria</v>
      </c>
      <c r="J51" s="15">
        <v>4</v>
      </c>
      <c r="K51" s="15" t="str">
        <f>IF(ClientDB[[#This Row],[Start Date]]&gt;=$U$14,"New","")</f>
        <v/>
      </c>
      <c r="L51" s="15" t="str">
        <f>IF(AND(ClientDB[[#This Row],[Start Year]]&lt;2016,ClientDB[[#This Row],[Events]]&gt;=6),"Gift","")</f>
        <v/>
      </c>
      <c r="M5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51" s="15">
        <v>3</v>
      </c>
      <c r="O51" s="38">
        <f>ClientDB[[#This Row],[Days]]*(IF(ClientDB[[#This Row],[Days]]&gt;1,300,350))</f>
        <v>900</v>
      </c>
      <c r="P5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51" s="15" t="s">
        <v>899</v>
      </c>
      <c r="R51" s="15" t="str">
        <f>INDEX('Lookup Lists'!$H$7:$K$59,MATCH(ClientDB[[#This Row],[Country Code]],'Lookup Lists'!$G$7:$G$59,0),(MATCH(ClientDB[[#This Row],[Meal]],'Lookup Lists'!$H$6:$K$6,0)))</f>
        <v>A</v>
      </c>
    </row>
    <row r="52" spans="1:18" x14ac:dyDescent="0.2">
      <c r="A52" s="10">
        <v>13875</v>
      </c>
      <c r="B52" t="s">
        <v>408</v>
      </c>
      <c r="C52" t="s">
        <v>409</v>
      </c>
      <c r="D52" s="18">
        <v>42312</v>
      </c>
      <c r="E52" s="37">
        <f>YEAR(ClientDB[[#This Row],[Start Date]])</f>
        <v>2015</v>
      </c>
      <c r="F52" t="s">
        <v>821</v>
      </c>
      <c r="G52" t="str">
        <f>VLOOKUP(ClientDB[[#This Row],[Org Code]],'Lookup Lists'!$A$7:$B$52,2,0)</f>
        <v>Parmis Technologies</v>
      </c>
      <c r="H52" s="10" t="s">
        <v>7</v>
      </c>
      <c r="I52" s="10" t="str">
        <f>VLOOKUP(ClientDB[[#This Row],[Country Code]],'Lookup Lists'!$D$7:$E$59,2,0)</f>
        <v>Iran</v>
      </c>
      <c r="J52" s="15">
        <v>12</v>
      </c>
      <c r="K52" s="15" t="str">
        <f>IF(ClientDB[[#This Row],[Start Date]]&gt;=$U$14,"New","")</f>
        <v/>
      </c>
      <c r="L52" s="15" t="str">
        <f>IF(AND(ClientDB[[#This Row],[Start Year]]&lt;2016,ClientDB[[#This Row],[Events]]&gt;=6),"Gift","")</f>
        <v>Gift</v>
      </c>
      <c r="M5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52" s="15">
        <v>3</v>
      </c>
      <c r="O52" s="38">
        <f>ClientDB[[#This Row],[Days]]*(IF(ClientDB[[#This Row],[Days]]&gt;1,300,350))</f>
        <v>900</v>
      </c>
      <c r="P5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52" s="15" t="s">
        <v>900</v>
      </c>
      <c r="R52" s="15" t="str">
        <f>INDEX('Lookup Lists'!$H$7:$K$59,MATCH(ClientDB[[#This Row],[Country Code]],'Lookup Lists'!$G$7:$G$59,0),(MATCH(ClientDB[[#This Row],[Meal]],'Lookup Lists'!$H$6:$K$6,0)))</f>
        <v>A</v>
      </c>
    </row>
    <row r="53" spans="1:18" x14ac:dyDescent="0.2">
      <c r="A53" s="10">
        <v>13906</v>
      </c>
      <c r="B53" t="s">
        <v>540</v>
      </c>
      <c r="C53" t="s">
        <v>541</v>
      </c>
      <c r="D53" s="18">
        <v>43242</v>
      </c>
      <c r="E53" s="37">
        <f>YEAR(ClientDB[[#This Row],[Start Date]])</f>
        <v>2018</v>
      </c>
      <c r="F53" t="s">
        <v>826</v>
      </c>
      <c r="G53" t="str">
        <f>VLOOKUP(ClientDB[[#This Row],[Org Code]],'Lookup Lists'!$A$7:$B$52,2,0)</f>
        <v>Respira Networks</v>
      </c>
      <c r="H53" s="10" t="s">
        <v>7</v>
      </c>
      <c r="I53" s="10" t="str">
        <f>VLOOKUP(ClientDB[[#This Row],[Country Code]],'Lookup Lists'!$D$7:$E$59,2,0)</f>
        <v>Iran</v>
      </c>
      <c r="J53" s="15">
        <v>8</v>
      </c>
      <c r="K53" s="15" t="str">
        <f>IF(ClientDB[[#This Row],[Start Date]]&gt;=$U$14,"New","")</f>
        <v/>
      </c>
      <c r="L53" s="15" t="str">
        <f>IF(AND(ClientDB[[#This Row],[Start Year]]&lt;2016,ClientDB[[#This Row],[Events]]&gt;=6),"Gift","")</f>
        <v/>
      </c>
      <c r="M5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53" s="15">
        <v>3</v>
      </c>
      <c r="O53" s="38">
        <f>ClientDB[[#This Row],[Days]]*(IF(ClientDB[[#This Row],[Days]]&gt;1,300,350))</f>
        <v>900</v>
      </c>
      <c r="P5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53" s="15" t="s">
        <v>901</v>
      </c>
      <c r="R53" s="15" t="str">
        <f>INDEX('Lookup Lists'!$H$7:$K$59,MATCH(ClientDB[[#This Row],[Country Code]],'Lookup Lists'!$G$7:$G$59,0),(MATCH(ClientDB[[#This Row],[Meal]],'Lookup Lists'!$H$6:$K$6,0)))</f>
        <v>F</v>
      </c>
    </row>
    <row r="54" spans="1:18" x14ac:dyDescent="0.2">
      <c r="A54" s="10">
        <v>14010</v>
      </c>
      <c r="B54" t="s">
        <v>589</v>
      </c>
      <c r="C54" t="s">
        <v>590</v>
      </c>
      <c r="D54" s="18">
        <v>42621</v>
      </c>
      <c r="E54" s="37">
        <f>YEAR(ClientDB[[#This Row],[Start Date]])</f>
        <v>2016</v>
      </c>
      <c r="F54" t="s">
        <v>804</v>
      </c>
      <c r="G54" t="str">
        <f>VLOOKUP(ClientDB[[#This Row],[Org Code]],'Lookup Lists'!$A$7:$B$52,2,0)</f>
        <v>Cyber Data Processing</v>
      </c>
      <c r="H54" s="10" t="s">
        <v>7</v>
      </c>
      <c r="I54" s="10" t="str">
        <f>VLOOKUP(ClientDB[[#This Row],[Country Code]],'Lookup Lists'!$D$7:$E$59,2,0)</f>
        <v>Iran</v>
      </c>
      <c r="J54" s="15">
        <v>27</v>
      </c>
      <c r="K54" s="15" t="str">
        <f>IF(ClientDB[[#This Row],[Start Date]]&gt;=$U$14,"New","")</f>
        <v/>
      </c>
      <c r="L54" s="15" t="str">
        <f>IF(AND(ClientDB[[#This Row],[Start Year]]&lt;2016,ClientDB[[#This Row],[Events]]&gt;=6),"Gift","")</f>
        <v/>
      </c>
      <c r="M5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Gold</v>
      </c>
      <c r="N54" s="15">
        <v>1</v>
      </c>
      <c r="O54" s="38">
        <f>ClientDB[[#This Row],[Days]]*(IF(ClientDB[[#This Row],[Days]]&gt;1,300,350))</f>
        <v>350</v>
      </c>
      <c r="P5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54" s="15" t="s">
        <v>901</v>
      </c>
      <c r="R54" s="15" t="str">
        <f>INDEX('Lookup Lists'!$H$7:$K$59,MATCH(ClientDB[[#This Row],[Country Code]],'Lookup Lists'!$G$7:$G$59,0),(MATCH(ClientDB[[#This Row],[Meal]],'Lookup Lists'!$H$6:$K$6,0)))</f>
        <v>F</v>
      </c>
    </row>
    <row r="55" spans="1:18" x14ac:dyDescent="0.2">
      <c r="A55" s="10">
        <v>14051</v>
      </c>
      <c r="B55" t="s">
        <v>528</v>
      </c>
      <c r="C55" t="s">
        <v>529</v>
      </c>
      <c r="D55" s="18">
        <v>43000</v>
      </c>
      <c r="E55" s="37">
        <f>YEAR(ClientDB[[#This Row],[Start Date]])</f>
        <v>2017</v>
      </c>
      <c r="F55" t="s">
        <v>810</v>
      </c>
      <c r="G55" t="str">
        <f>VLOOKUP(ClientDB[[#This Row],[Org Code]],'Lookup Lists'!$A$7:$B$52,2,0)</f>
        <v>Euro-M</v>
      </c>
      <c r="H55" s="10" t="s">
        <v>46</v>
      </c>
      <c r="I55" s="10" t="str">
        <f>VLOOKUP(ClientDB[[#This Row],[Country Code]],'Lookup Lists'!$D$7:$E$59,2,0)</f>
        <v>Germany</v>
      </c>
      <c r="J55" s="15">
        <v>8</v>
      </c>
      <c r="K55" s="15" t="str">
        <f>IF(ClientDB[[#This Row],[Start Date]]&gt;=$U$14,"New","")</f>
        <v/>
      </c>
      <c r="L55" s="15" t="str">
        <f>IF(AND(ClientDB[[#This Row],[Start Year]]&lt;2016,ClientDB[[#This Row],[Events]]&gt;=6),"Gift","")</f>
        <v/>
      </c>
      <c r="M5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55" s="15">
        <v>2</v>
      </c>
      <c r="O55" s="38">
        <f>ClientDB[[#This Row],[Days]]*(IF(ClientDB[[#This Row],[Days]]&gt;1,300,350))</f>
        <v>600</v>
      </c>
      <c r="P5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55" s="15" t="s">
        <v>902</v>
      </c>
      <c r="R55" s="15" t="str">
        <f>INDEX('Lookup Lists'!$H$7:$K$59,MATCH(ClientDB[[#This Row],[Country Code]],'Lookup Lists'!$G$7:$G$59,0),(MATCH(ClientDB[[#This Row],[Meal]],'Lookup Lists'!$H$6:$K$6,0)))</f>
        <v>B</v>
      </c>
    </row>
    <row r="56" spans="1:18" x14ac:dyDescent="0.2">
      <c r="A56" s="10">
        <v>14099</v>
      </c>
      <c r="B56" t="s">
        <v>669</v>
      </c>
      <c r="C56" t="s">
        <v>670</v>
      </c>
      <c r="D56" s="18">
        <v>42832</v>
      </c>
      <c r="E56" s="37">
        <f>YEAR(ClientDB[[#This Row],[Start Date]])</f>
        <v>2017</v>
      </c>
      <c r="F56" t="s">
        <v>799</v>
      </c>
      <c r="G56" t="str">
        <f>VLOOKUP(ClientDB[[#This Row],[Org Code]],'Lookup Lists'!$A$7:$B$52,2,0)</f>
        <v>ByteSize</v>
      </c>
      <c r="H56" s="10" t="s">
        <v>155</v>
      </c>
      <c r="I56" s="10" t="str">
        <f>VLOOKUP(ClientDB[[#This Row],[Country Code]],'Lookup Lists'!$D$7:$E$59,2,0)</f>
        <v>United Arab Emirates</v>
      </c>
      <c r="J56" s="15">
        <v>22</v>
      </c>
      <c r="K56" s="15" t="str">
        <f>IF(ClientDB[[#This Row],[Start Date]]&gt;=$U$14,"New","")</f>
        <v/>
      </c>
      <c r="L56" s="15" t="str">
        <f>IF(AND(ClientDB[[#This Row],[Start Year]]&lt;2016,ClientDB[[#This Row],[Events]]&gt;=6),"Gift","")</f>
        <v/>
      </c>
      <c r="M5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Gold</v>
      </c>
      <c r="N56" s="15">
        <v>2</v>
      </c>
      <c r="O56" s="38">
        <f>ClientDB[[#This Row],[Days]]*(IF(ClientDB[[#This Row],[Days]]&gt;1,300,350))</f>
        <v>600</v>
      </c>
      <c r="P5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56" s="15" t="s">
        <v>902</v>
      </c>
      <c r="R56" s="15" t="str">
        <f>INDEX('Lookup Lists'!$H$7:$K$59,MATCH(ClientDB[[#This Row],[Country Code]],'Lookup Lists'!$G$7:$G$59,0),(MATCH(ClientDB[[#This Row],[Meal]],'Lookup Lists'!$H$6:$K$6,0)))</f>
        <v>B</v>
      </c>
    </row>
    <row r="57" spans="1:18" x14ac:dyDescent="0.2">
      <c r="A57" s="10">
        <v>14145</v>
      </c>
      <c r="B57" t="s">
        <v>734</v>
      </c>
      <c r="C57" t="s">
        <v>735</v>
      </c>
      <c r="D57" s="18">
        <v>44029</v>
      </c>
      <c r="E57" s="37">
        <f>YEAR(ClientDB[[#This Row],[Start Date]])</f>
        <v>2020</v>
      </c>
      <c r="F57" t="s">
        <v>827</v>
      </c>
      <c r="G57" t="str">
        <f>VLOOKUP(ClientDB[[#This Row],[Org Code]],'Lookup Lists'!$A$7:$B$52,2,0)</f>
        <v>Ripple Com</v>
      </c>
      <c r="H57" s="10" t="s">
        <v>15</v>
      </c>
      <c r="I57" s="10" t="str">
        <f>VLOOKUP(ClientDB[[#This Row],[Country Code]],'Lookup Lists'!$D$7:$E$59,2,0)</f>
        <v>United Kingdom</v>
      </c>
      <c r="J57" s="15">
        <v>1</v>
      </c>
      <c r="K57" s="15" t="str">
        <f>IF(ClientDB[[#This Row],[Start Date]]&gt;=$U$14,"New","")</f>
        <v>New</v>
      </c>
      <c r="L57" s="15" t="str">
        <f>IF(AND(ClientDB[[#This Row],[Start Year]]&lt;2016,ClientDB[[#This Row],[Events]]&gt;=6),"Gift","")</f>
        <v/>
      </c>
      <c r="M5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57" s="15">
        <v>3</v>
      </c>
      <c r="O57" s="38">
        <f>ClientDB[[#This Row],[Days]]*(IF(ClientDB[[#This Row],[Days]]&gt;1,300,350))</f>
        <v>900</v>
      </c>
      <c r="P5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57" s="15" t="s">
        <v>901</v>
      </c>
      <c r="R57" s="15" t="str">
        <f>INDEX('Lookup Lists'!$H$7:$K$59,MATCH(ClientDB[[#This Row],[Country Code]],'Lookup Lists'!$G$7:$G$59,0),(MATCH(ClientDB[[#This Row],[Meal]],'Lookup Lists'!$H$6:$K$6,0)))</f>
        <v>E</v>
      </c>
    </row>
    <row r="58" spans="1:18" x14ac:dyDescent="0.2">
      <c r="A58" s="10">
        <v>14159</v>
      </c>
      <c r="B58" t="s">
        <v>94</v>
      </c>
      <c r="C58" t="s">
        <v>352</v>
      </c>
      <c r="D58" s="18">
        <v>42215</v>
      </c>
      <c r="E58" s="37">
        <f>YEAR(ClientDB[[#This Row],[Start Date]])</f>
        <v>2015</v>
      </c>
      <c r="F58" t="s">
        <v>827</v>
      </c>
      <c r="G58" t="str">
        <f>VLOOKUP(ClientDB[[#This Row],[Org Code]],'Lookup Lists'!$A$7:$B$52,2,0)</f>
        <v>Ripple Com</v>
      </c>
      <c r="H58" s="10" t="s">
        <v>15</v>
      </c>
      <c r="I58" s="10" t="str">
        <f>VLOOKUP(ClientDB[[#This Row],[Country Code]],'Lookup Lists'!$D$7:$E$59,2,0)</f>
        <v>United Kingdom</v>
      </c>
      <c r="J58" s="15">
        <v>22</v>
      </c>
      <c r="K58" s="15" t="str">
        <f>IF(ClientDB[[#This Row],[Start Date]]&gt;=$U$14,"New","")</f>
        <v/>
      </c>
      <c r="L58" s="15" t="str">
        <f>IF(AND(ClientDB[[#This Row],[Start Year]]&lt;2016,ClientDB[[#This Row],[Events]]&gt;=6),"Gift","")</f>
        <v>Gift</v>
      </c>
      <c r="M5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Gold</v>
      </c>
      <c r="N58" s="15">
        <v>1</v>
      </c>
      <c r="O58" s="38">
        <f>ClientDB[[#This Row],[Days]]*(IF(ClientDB[[#This Row],[Days]]&gt;1,300,350))</f>
        <v>350</v>
      </c>
      <c r="P5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58" s="15" t="s">
        <v>900</v>
      </c>
      <c r="R58" s="15" t="str">
        <f>INDEX('Lookup Lists'!$H$7:$K$59,MATCH(ClientDB[[#This Row],[Country Code]],'Lookup Lists'!$G$7:$G$59,0),(MATCH(ClientDB[[#This Row],[Meal]],'Lookup Lists'!$H$6:$K$6,0)))</f>
        <v>A</v>
      </c>
    </row>
    <row r="59" spans="1:18" x14ac:dyDescent="0.2">
      <c r="A59" s="10">
        <v>14194</v>
      </c>
      <c r="B59" t="s">
        <v>501</v>
      </c>
      <c r="C59" t="s">
        <v>604</v>
      </c>
      <c r="D59" s="18">
        <v>43901</v>
      </c>
      <c r="E59" s="37">
        <f>YEAR(ClientDB[[#This Row],[Start Date]])</f>
        <v>2020</v>
      </c>
      <c r="F59" t="s">
        <v>821</v>
      </c>
      <c r="G59" t="str">
        <f>VLOOKUP(ClientDB[[#This Row],[Org Code]],'Lookup Lists'!$A$7:$B$52,2,0)</f>
        <v>Parmis Technologies</v>
      </c>
      <c r="H59" s="10" t="s">
        <v>46</v>
      </c>
      <c r="I59" s="10" t="str">
        <f>VLOOKUP(ClientDB[[#This Row],[Country Code]],'Lookup Lists'!$D$7:$E$59,2,0)</f>
        <v>Germany</v>
      </c>
      <c r="J59" s="15">
        <v>4</v>
      </c>
      <c r="K59" s="15" t="str">
        <f>IF(ClientDB[[#This Row],[Start Date]]&gt;=$U$14,"New","")</f>
        <v>New</v>
      </c>
      <c r="L59" s="15" t="str">
        <f>IF(AND(ClientDB[[#This Row],[Start Year]]&lt;2016,ClientDB[[#This Row],[Events]]&gt;=6),"Gift","")</f>
        <v/>
      </c>
      <c r="M5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59" s="15">
        <v>3</v>
      </c>
      <c r="O59" s="38">
        <f>ClientDB[[#This Row],[Days]]*(IF(ClientDB[[#This Row],[Days]]&gt;1,300,350))</f>
        <v>900</v>
      </c>
      <c r="P5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59" s="15" t="s">
        <v>901</v>
      </c>
      <c r="R59" s="15" t="str">
        <f>INDEX('Lookup Lists'!$H$7:$K$59,MATCH(ClientDB[[#This Row],[Country Code]],'Lookup Lists'!$G$7:$G$59,0),(MATCH(ClientDB[[#This Row],[Meal]],'Lookup Lists'!$H$6:$K$6,0)))</f>
        <v>D</v>
      </c>
    </row>
    <row r="60" spans="1:18" x14ac:dyDescent="0.2">
      <c r="A60" s="10">
        <v>14279</v>
      </c>
      <c r="B60" t="s">
        <v>434</v>
      </c>
      <c r="C60" t="s">
        <v>435</v>
      </c>
      <c r="D60" s="18">
        <v>42962</v>
      </c>
      <c r="E60" s="37">
        <f>YEAR(ClientDB[[#This Row],[Start Date]])</f>
        <v>2017</v>
      </c>
      <c r="F60" t="s">
        <v>838</v>
      </c>
      <c r="G60" t="str">
        <f>VLOOKUP(ClientDB[[#This Row],[Org Code]],'Lookup Lists'!$A$7:$B$52,2,0)</f>
        <v>xLAN Internet Exchange</v>
      </c>
      <c r="H60" s="10" t="s">
        <v>7</v>
      </c>
      <c r="I60" s="10" t="str">
        <f>VLOOKUP(ClientDB[[#This Row],[Country Code]],'Lookup Lists'!$D$7:$E$59,2,0)</f>
        <v>Iran</v>
      </c>
      <c r="J60" s="15">
        <v>5</v>
      </c>
      <c r="K60" s="15" t="str">
        <f>IF(ClientDB[[#This Row],[Start Date]]&gt;=$U$14,"New","")</f>
        <v/>
      </c>
      <c r="L60" s="15" t="str">
        <f>IF(AND(ClientDB[[#This Row],[Start Year]]&lt;2016,ClientDB[[#This Row],[Events]]&gt;=6),"Gift","")</f>
        <v/>
      </c>
      <c r="M6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60" s="15">
        <v>1</v>
      </c>
      <c r="O60" s="38">
        <f>ClientDB[[#This Row],[Days]]*(IF(ClientDB[[#This Row],[Days]]&gt;1,300,350))</f>
        <v>350</v>
      </c>
      <c r="P6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60" s="15" t="s">
        <v>901</v>
      </c>
      <c r="R60" s="15" t="str">
        <f>INDEX('Lookup Lists'!$H$7:$K$59,MATCH(ClientDB[[#This Row],[Country Code]],'Lookup Lists'!$G$7:$G$59,0),(MATCH(ClientDB[[#This Row],[Meal]],'Lookup Lists'!$H$6:$K$6,0)))</f>
        <v>F</v>
      </c>
    </row>
    <row r="61" spans="1:18" x14ac:dyDescent="0.2">
      <c r="A61" s="10">
        <v>14484</v>
      </c>
      <c r="B61" t="s">
        <v>499</v>
      </c>
      <c r="C61" t="s">
        <v>500</v>
      </c>
      <c r="D61" s="18">
        <v>42640</v>
      </c>
      <c r="E61" s="37">
        <f>YEAR(ClientDB[[#This Row],[Start Date]])</f>
        <v>2016</v>
      </c>
      <c r="F61" t="s">
        <v>827</v>
      </c>
      <c r="G61" t="str">
        <f>VLOOKUP(ClientDB[[#This Row],[Org Code]],'Lookup Lists'!$A$7:$B$52,2,0)</f>
        <v>Ripple Com</v>
      </c>
      <c r="H61" s="10" t="s">
        <v>15</v>
      </c>
      <c r="I61" s="10" t="str">
        <f>VLOOKUP(ClientDB[[#This Row],[Country Code]],'Lookup Lists'!$D$7:$E$59,2,0)</f>
        <v>United Kingdom</v>
      </c>
      <c r="J61" s="15">
        <v>18</v>
      </c>
      <c r="K61" s="15" t="str">
        <f>IF(ClientDB[[#This Row],[Start Date]]&gt;=$U$14,"New","")</f>
        <v/>
      </c>
      <c r="L61" s="15" t="str">
        <f>IF(AND(ClientDB[[#This Row],[Start Year]]&lt;2016,ClientDB[[#This Row],[Events]]&gt;=6),"Gift","")</f>
        <v/>
      </c>
      <c r="M6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61" s="15">
        <v>3</v>
      </c>
      <c r="O61" s="38">
        <f>ClientDB[[#This Row],[Days]]*(IF(ClientDB[[#This Row],[Days]]&gt;1,300,350))</f>
        <v>900</v>
      </c>
      <c r="P6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61" s="15" t="s">
        <v>902</v>
      </c>
      <c r="R61" s="15" t="str">
        <f>INDEX('Lookup Lists'!$H$7:$K$59,MATCH(ClientDB[[#This Row],[Country Code]],'Lookup Lists'!$G$7:$G$59,0),(MATCH(ClientDB[[#This Row],[Meal]],'Lookup Lists'!$H$6:$K$6,0)))</f>
        <v>B</v>
      </c>
    </row>
    <row r="62" spans="1:18" x14ac:dyDescent="0.2">
      <c r="A62" s="10">
        <v>14486</v>
      </c>
      <c r="B62" t="s">
        <v>618</v>
      </c>
      <c r="C62" t="s">
        <v>619</v>
      </c>
      <c r="D62" s="18">
        <v>43855</v>
      </c>
      <c r="E62" s="37">
        <f>YEAR(ClientDB[[#This Row],[Start Date]])</f>
        <v>2020</v>
      </c>
      <c r="F62" t="s">
        <v>830</v>
      </c>
      <c r="G62" t="str">
        <f>VLOOKUP(ClientDB[[#This Row],[Org Code]],'Lookup Lists'!$A$7:$B$52,2,0)</f>
        <v>Steps IT Training</v>
      </c>
      <c r="H62" s="10" t="s">
        <v>274</v>
      </c>
      <c r="I62" s="10" t="str">
        <f>VLOOKUP(ClientDB[[#This Row],[Country Code]],'Lookup Lists'!$D$7:$E$59,2,0)</f>
        <v>Spain</v>
      </c>
      <c r="J62" s="15">
        <v>3</v>
      </c>
      <c r="K62" s="15" t="str">
        <f>IF(ClientDB[[#This Row],[Start Date]]&gt;=$U$14,"New","")</f>
        <v>New</v>
      </c>
      <c r="L62" s="15" t="str">
        <f>IF(AND(ClientDB[[#This Row],[Start Year]]&lt;2016,ClientDB[[#This Row],[Events]]&gt;=6),"Gift","")</f>
        <v/>
      </c>
      <c r="M6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62" s="15">
        <v>3</v>
      </c>
      <c r="O62" s="38">
        <f>ClientDB[[#This Row],[Days]]*(IF(ClientDB[[#This Row],[Days]]&gt;1,300,350))</f>
        <v>900</v>
      </c>
      <c r="P6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62" s="15" t="s">
        <v>901</v>
      </c>
      <c r="R62" s="15" t="str">
        <f>INDEX('Lookup Lists'!$H$7:$K$59,MATCH(ClientDB[[#This Row],[Country Code]],'Lookup Lists'!$G$7:$G$59,0),(MATCH(ClientDB[[#This Row],[Meal]],'Lookup Lists'!$H$6:$K$6,0)))</f>
        <v>D</v>
      </c>
    </row>
    <row r="63" spans="1:18" x14ac:dyDescent="0.2">
      <c r="A63" s="10">
        <v>14504</v>
      </c>
      <c r="B63" t="s">
        <v>378</v>
      </c>
      <c r="C63" t="s">
        <v>379</v>
      </c>
      <c r="D63" s="18">
        <v>43369</v>
      </c>
      <c r="E63" s="37">
        <f>YEAR(ClientDB[[#This Row],[Start Date]])</f>
        <v>2018</v>
      </c>
      <c r="F63" t="s">
        <v>832</v>
      </c>
      <c r="G63" t="str">
        <f>VLOOKUP(ClientDB[[#This Row],[Org Code]],'Lookup Lists'!$A$7:$B$52,2,0)</f>
        <v>TQ Processes</v>
      </c>
      <c r="H63" s="10" t="s">
        <v>38</v>
      </c>
      <c r="I63" s="10" t="str">
        <f>VLOOKUP(ClientDB[[#This Row],[Country Code]],'Lookup Lists'!$D$7:$E$59,2,0)</f>
        <v>Czech Republic</v>
      </c>
      <c r="J63" s="15">
        <v>11</v>
      </c>
      <c r="K63" s="15" t="str">
        <f>IF(ClientDB[[#This Row],[Start Date]]&gt;=$U$14,"New","")</f>
        <v/>
      </c>
      <c r="L63" s="15" t="str">
        <f>IF(AND(ClientDB[[#This Row],[Start Year]]&lt;2016,ClientDB[[#This Row],[Events]]&gt;=6),"Gift","")</f>
        <v/>
      </c>
      <c r="M6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63" s="15">
        <v>2</v>
      </c>
      <c r="O63" s="38">
        <f>ClientDB[[#This Row],[Days]]*(IF(ClientDB[[#This Row],[Days]]&gt;1,300,350))</f>
        <v>600</v>
      </c>
      <c r="P6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63" s="15" t="s">
        <v>899</v>
      </c>
      <c r="R63" s="15" t="str">
        <f>INDEX('Lookup Lists'!$H$7:$K$59,MATCH(ClientDB[[#This Row],[Country Code]],'Lookup Lists'!$G$7:$G$59,0),(MATCH(ClientDB[[#This Row],[Meal]],'Lookup Lists'!$H$6:$K$6,0)))</f>
        <v>A</v>
      </c>
    </row>
    <row r="64" spans="1:18" x14ac:dyDescent="0.2">
      <c r="A64" s="10">
        <v>14515</v>
      </c>
      <c r="B64" t="s">
        <v>237</v>
      </c>
      <c r="C64" t="s">
        <v>238</v>
      </c>
      <c r="D64" s="18">
        <v>43615</v>
      </c>
      <c r="E64" s="37">
        <f>YEAR(ClientDB[[#This Row],[Start Date]])</f>
        <v>2019</v>
      </c>
      <c r="F64" t="s">
        <v>820</v>
      </c>
      <c r="G64" t="str">
        <f>VLOOKUP(ClientDB[[#This Row],[Org Code]],'Lookup Lists'!$A$7:$B$52,2,0)</f>
        <v>Oglev</v>
      </c>
      <c r="H64" s="10" t="s">
        <v>239</v>
      </c>
      <c r="I64" s="10" t="str">
        <f>VLOOKUP(ClientDB[[#This Row],[Country Code]],'Lookup Lists'!$D$7:$E$59,2,0)</f>
        <v>Switzerland</v>
      </c>
      <c r="J64" s="15">
        <v>5</v>
      </c>
      <c r="K64" s="15" t="str">
        <f>IF(ClientDB[[#This Row],[Start Date]]&gt;=$U$14,"New","")</f>
        <v/>
      </c>
      <c r="L64" s="15" t="str">
        <f>IF(AND(ClientDB[[#This Row],[Start Year]]&lt;2016,ClientDB[[#This Row],[Events]]&gt;=6),"Gift","")</f>
        <v/>
      </c>
      <c r="M6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64" s="15">
        <v>1</v>
      </c>
      <c r="O64" s="38">
        <f>ClientDB[[#This Row],[Days]]*(IF(ClientDB[[#This Row],[Days]]&gt;1,300,350))</f>
        <v>350</v>
      </c>
      <c r="P6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64" s="15" t="s">
        <v>901</v>
      </c>
      <c r="R64" s="15" t="str">
        <f>INDEX('Lookup Lists'!$H$7:$K$59,MATCH(ClientDB[[#This Row],[Country Code]],'Lookup Lists'!$G$7:$G$59,0),(MATCH(ClientDB[[#This Row],[Meal]],'Lookup Lists'!$H$6:$K$6,0)))</f>
        <v>D</v>
      </c>
    </row>
    <row r="65" spans="1:18" x14ac:dyDescent="0.2">
      <c r="A65" s="10">
        <v>14530</v>
      </c>
      <c r="B65" t="s">
        <v>633</v>
      </c>
      <c r="C65" t="s">
        <v>634</v>
      </c>
      <c r="D65" s="18">
        <v>41530</v>
      </c>
      <c r="E65" s="37">
        <f>YEAR(ClientDB[[#This Row],[Start Date]])</f>
        <v>2013</v>
      </c>
      <c r="F65" t="s">
        <v>817</v>
      </c>
      <c r="G65" t="str">
        <f>VLOOKUP(ClientDB[[#This Row],[Org Code]],'Lookup Lists'!$A$7:$B$52,2,0)</f>
        <v>LACNE</v>
      </c>
      <c r="H65" s="10" t="s">
        <v>15</v>
      </c>
      <c r="I65" s="10" t="str">
        <f>VLOOKUP(ClientDB[[#This Row],[Country Code]],'Lookup Lists'!$D$7:$E$59,2,0)</f>
        <v>United Kingdom</v>
      </c>
      <c r="J65" s="15">
        <v>36</v>
      </c>
      <c r="K65" s="15" t="str">
        <f>IF(ClientDB[[#This Row],[Start Date]]&gt;=$U$14,"New","")</f>
        <v/>
      </c>
      <c r="L65" s="15" t="str">
        <f>IF(AND(ClientDB[[#This Row],[Start Year]]&lt;2016,ClientDB[[#This Row],[Events]]&gt;=6),"Gift","")</f>
        <v>Gift</v>
      </c>
      <c r="M6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Platinum</v>
      </c>
      <c r="N65" s="15">
        <v>1</v>
      </c>
      <c r="O65" s="38">
        <f>ClientDB[[#This Row],[Days]]*(IF(ClientDB[[#This Row],[Days]]&gt;1,300,350))</f>
        <v>350</v>
      </c>
      <c r="P6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65" s="15" t="s">
        <v>901</v>
      </c>
      <c r="R65" s="15" t="str">
        <f>INDEX('Lookup Lists'!$H$7:$K$59,MATCH(ClientDB[[#This Row],[Country Code]],'Lookup Lists'!$G$7:$G$59,0),(MATCH(ClientDB[[#This Row],[Meal]],'Lookup Lists'!$H$6:$K$6,0)))</f>
        <v>E</v>
      </c>
    </row>
    <row r="66" spans="1:18" x14ac:dyDescent="0.2">
      <c r="A66" s="10">
        <v>14621</v>
      </c>
      <c r="B66" t="s">
        <v>122</v>
      </c>
      <c r="C66" t="s">
        <v>123</v>
      </c>
      <c r="D66" s="18">
        <v>43720</v>
      </c>
      <c r="E66" s="37">
        <f>YEAR(ClientDB[[#This Row],[Start Date]])</f>
        <v>2019</v>
      </c>
      <c r="F66" t="s">
        <v>827</v>
      </c>
      <c r="G66" t="str">
        <f>VLOOKUP(ClientDB[[#This Row],[Org Code]],'Lookup Lists'!$A$7:$B$52,2,0)</f>
        <v>Ripple Com</v>
      </c>
      <c r="H66" s="10" t="s">
        <v>124</v>
      </c>
      <c r="I66" s="10" t="str">
        <f>VLOOKUP(ClientDB[[#This Row],[Country Code]],'Lookup Lists'!$D$7:$E$59,2,0)</f>
        <v>Lebanon</v>
      </c>
      <c r="J66" s="15">
        <v>8</v>
      </c>
      <c r="K66" s="15" t="str">
        <f>IF(ClientDB[[#This Row],[Start Date]]&gt;=$U$14,"New","")</f>
        <v/>
      </c>
      <c r="L66" s="15" t="str">
        <f>IF(AND(ClientDB[[#This Row],[Start Year]]&lt;2016,ClientDB[[#This Row],[Events]]&gt;=6),"Gift","")</f>
        <v/>
      </c>
      <c r="M6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66" s="15">
        <v>2</v>
      </c>
      <c r="O66" s="38">
        <f>ClientDB[[#This Row],[Days]]*(IF(ClientDB[[#This Row],[Days]]&gt;1,300,350))</f>
        <v>600</v>
      </c>
      <c r="P6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66" s="15" t="s">
        <v>899</v>
      </c>
      <c r="R66" s="15" t="str">
        <f>INDEX('Lookup Lists'!$H$7:$K$59,MATCH(ClientDB[[#This Row],[Country Code]],'Lookup Lists'!$G$7:$G$59,0),(MATCH(ClientDB[[#This Row],[Meal]],'Lookup Lists'!$H$6:$K$6,0)))</f>
        <v>B</v>
      </c>
    </row>
    <row r="67" spans="1:18" x14ac:dyDescent="0.2">
      <c r="A67" s="10">
        <v>14634</v>
      </c>
      <c r="B67" t="s">
        <v>534</v>
      </c>
      <c r="C67" t="s">
        <v>535</v>
      </c>
      <c r="D67" s="18">
        <v>43151</v>
      </c>
      <c r="E67" s="37">
        <f>YEAR(ClientDB[[#This Row],[Start Date]])</f>
        <v>2018</v>
      </c>
      <c r="F67" t="s">
        <v>823</v>
      </c>
      <c r="G67" t="str">
        <f>VLOOKUP(ClientDB[[#This Row],[Org Code]],'Lookup Lists'!$A$7:$B$52,2,0)</f>
        <v>Pilco Streambank</v>
      </c>
      <c r="H67" s="10" t="s">
        <v>34</v>
      </c>
      <c r="I67" s="10" t="str">
        <f>VLOOKUP(ClientDB[[#This Row],[Country Code]],'Lookup Lists'!$D$7:$E$59,2,0)</f>
        <v>United States</v>
      </c>
      <c r="J67" s="15">
        <v>4</v>
      </c>
      <c r="K67" s="15" t="str">
        <f>IF(ClientDB[[#This Row],[Start Date]]&gt;=$U$14,"New","")</f>
        <v/>
      </c>
      <c r="L67" s="15" t="str">
        <f>IF(AND(ClientDB[[#This Row],[Start Year]]&lt;2016,ClientDB[[#This Row],[Events]]&gt;=6),"Gift","")</f>
        <v/>
      </c>
      <c r="M6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67" s="15">
        <v>2</v>
      </c>
      <c r="O67" s="38">
        <f>ClientDB[[#This Row],[Days]]*(IF(ClientDB[[#This Row],[Days]]&gt;1,300,350))</f>
        <v>600</v>
      </c>
      <c r="P6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67" s="15" t="s">
        <v>901</v>
      </c>
      <c r="R67" s="15" t="str">
        <f>INDEX('Lookup Lists'!$H$7:$K$59,MATCH(ClientDB[[#This Row],[Country Code]],'Lookup Lists'!$G$7:$G$59,0),(MATCH(ClientDB[[#This Row],[Meal]],'Lookup Lists'!$H$6:$K$6,0)))</f>
        <v>G</v>
      </c>
    </row>
    <row r="68" spans="1:18" x14ac:dyDescent="0.2">
      <c r="A68" s="10">
        <v>14675</v>
      </c>
      <c r="B68" t="s">
        <v>234</v>
      </c>
      <c r="C68" t="s">
        <v>235</v>
      </c>
      <c r="D68" s="18">
        <v>43871</v>
      </c>
      <c r="E68" s="37">
        <f>YEAR(ClientDB[[#This Row],[Start Date]])</f>
        <v>2020</v>
      </c>
      <c r="F68" t="s">
        <v>832</v>
      </c>
      <c r="G68" t="str">
        <f>VLOOKUP(ClientDB[[#This Row],[Org Code]],'Lookup Lists'!$A$7:$B$52,2,0)</f>
        <v>TQ Processes</v>
      </c>
      <c r="H68" s="10" t="s">
        <v>34</v>
      </c>
      <c r="I68" s="10" t="str">
        <f>VLOOKUP(ClientDB[[#This Row],[Country Code]],'Lookup Lists'!$D$7:$E$59,2,0)</f>
        <v>United States</v>
      </c>
      <c r="J68" s="15">
        <v>1</v>
      </c>
      <c r="K68" s="15" t="str">
        <f>IF(ClientDB[[#This Row],[Start Date]]&gt;=$U$14,"New","")</f>
        <v>New</v>
      </c>
      <c r="L68" s="15" t="str">
        <f>IF(AND(ClientDB[[#This Row],[Start Year]]&lt;2016,ClientDB[[#This Row],[Events]]&gt;=6),"Gift","")</f>
        <v/>
      </c>
      <c r="M6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68" s="15">
        <v>2</v>
      </c>
      <c r="O68" s="38">
        <f>ClientDB[[#This Row],[Days]]*(IF(ClientDB[[#This Row],[Days]]&gt;1,300,350))</f>
        <v>600</v>
      </c>
      <c r="P6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68" s="15" t="s">
        <v>902</v>
      </c>
      <c r="R68" s="15" t="str">
        <f>INDEX('Lookup Lists'!$H$7:$K$59,MATCH(ClientDB[[#This Row],[Country Code]],'Lookup Lists'!$G$7:$G$59,0),(MATCH(ClientDB[[#This Row],[Meal]],'Lookup Lists'!$H$6:$K$6,0)))</f>
        <v>F</v>
      </c>
    </row>
    <row r="69" spans="1:18" x14ac:dyDescent="0.2">
      <c r="A69" s="10">
        <v>15000</v>
      </c>
      <c r="B69" t="s">
        <v>57</v>
      </c>
      <c r="C69" t="s">
        <v>58</v>
      </c>
      <c r="D69" s="18">
        <v>43970</v>
      </c>
      <c r="E69" s="37">
        <f>YEAR(ClientDB[[#This Row],[Start Date]])</f>
        <v>2020</v>
      </c>
      <c r="F69" t="s">
        <v>824</v>
      </c>
      <c r="G69" t="str">
        <f>VLOOKUP(ClientDB[[#This Row],[Org Code]],'Lookup Lists'!$A$7:$B$52,2,0)</f>
        <v>Pink Cloud Networks</v>
      </c>
      <c r="H69" s="10" t="s">
        <v>59</v>
      </c>
      <c r="I69" s="10" t="str">
        <f>VLOOKUP(ClientDB[[#This Row],[Country Code]],'Lookup Lists'!$D$7:$E$59,2,0)</f>
        <v>Netherlands</v>
      </c>
      <c r="J69" s="15">
        <v>3</v>
      </c>
      <c r="K69" s="15" t="str">
        <f>IF(ClientDB[[#This Row],[Start Date]]&gt;=$U$14,"New","")</f>
        <v>New</v>
      </c>
      <c r="L69" s="15" t="str">
        <f>IF(AND(ClientDB[[#This Row],[Start Year]]&lt;2016,ClientDB[[#This Row],[Events]]&gt;=6),"Gift","")</f>
        <v/>
      </c>
      <c r="M6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69" s="15">
        <v>2</v>
      </c>
      <c r="O69" s="38">
        <f>ClientDB[[#This Row],[Days]]*(IF(ClientDB[[#This Row],[Days]]&gt;1,300,350))</f>
        <v>600</v>
      </c>
      <c r="P6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69" s="15" t="s">
        <v>902</v>
      </c>
      <c r="R69" s="15" t="str">
        <f>INDEX('Lookup Lists'!$H$7:$K$59,MATCH(ClientDB[[#This Row],[Country Code]],'Lookup Lists'!$G$7:$G$59,0),(MATCH(ClientDB[[#This Row],[Meal]],'Lookup Lists'!$H$6:$K$6,0)))</f>
        <v>C</v>
      </c>
    </row>
    <row r="70" spans="1:18" x14ac:dyDescent="0.2">
      <c r="A70" s="10">
        <v>15111</v>
      </c>
      <c r="B70" t="s">
        <v>683</v>
      </c>
      <c r="C70" t="s">
        <v>684</v>
      </c>
      <c r="D70" s="18">
        <v>42411</v>
      </c>
      <c r="E70" s="37">
        <f>YEAR(ClientDB[[#This Row],[Start Date]])</f>
        <v>2016</v>
      </c>
      <c r="F70" t="s">
        <v>807</v>
      </c>
      <c r="G70" t="str">
        <f>VLOOKUP(ClientDB[[#This Row],[Org Code]],'Lookup Lists'!$A$7:$B$52,2,0)</f>
        <v>Duet</v>
      </c>
      <c r="H70" s="10" t="s">
        <v>685</v>
      </c>
      <c r="I70" s="10" t="str">
        <f>VLOOKUP(ClientDB[[#This Row],[Country Code]],'Lookup Lists'!$D$7:$E$59,2,0)</f>
        <v>Sudan</v>
      </c>
      <c r="J70" s="15">
        <v>34</v>
      </c>
      <c r="K70" s="15" t="str">
        <f>IF(ClientDB[[#This Row],[Start Date]]&gt;=$U$14,"New","")</f>
        <v/>
      </c>
      <c r="L70" s="15" t="str">
        <f>IF(AND(ClientDB[[#This Row],[Start Year]]&lt;2016,ClientDB[[#This Row],[Events]]&gt;=6),"Gift","")</f>
        <v/>
      </c>
      <c r="M7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Platinum</v>
      </c>
      <c r="N70" s="15">
        <v>2</v>
      </c>
      <c r="O70" s="38">
        <f>ClientDB[[#This Row],[Days]]*(IF(ClientDB[[#This Row],[Days]]&gt;1,300,350))</f>
        <v>600</v>
      </c>
      <c r="P7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70" s="15" t="s">
        <v>902</v>
      </c>
      <c r="R70" s="15" t="str">
        <f>INDEX('Lookup Lists'!$H$7:$K$59,MATCH(ClientDB[[#This Row],[Country Code]],'Lookup Lists'!$G$7:$G$59,0),(MATCH(ClientDB[[#This Row],[Meal]],'Lookup Lists'!$H$6:$K$6,0)))</f>
        <v>C</v>
      </c>
    </row>
    <row r="71" spans="1:18" x14ac:dyDescent="0.2">
      <c r="A71" s="10">
        <v>15212</v>
      </c>
      <c r="B71" t="s">
        <v>244</v>
      </c>
      <c r="C71" t="s">
        <v>245</v>
      </c>
      <c r="D71" s="18">
        <v>43869</v>
      </c>
      <c r="E71" s="37">
        <f>YEAR(ClientDB[[#This Row],[Start Date]])</f>
        <v>2020</v>
      </c>
      <c r="F71" t="s">
        <v>827</v>
      </c>
      <c r="G71" t="str">
        <f>VLOOKUP(ClientDB[[#This Row],[Org Code]],'Lookup Lists'!$A$7:$B$52,2,0)</f>
        <v>Ripple Com</v>
      </c>
      <c r="H71" s="10" t="s">
        <v>15</v>
      </c>
      <c r="I71" s="10" t="str">
        <f>VLOOKUP(ClientDB[[#This Row],[Country Code]],'Lookup Lists'!$D$7:$E$59,2,0)</f>
        <v>United Kingdom</v>
      </c>
      <c r="J71" s="15">
        <v>3</v>
      </c>
      <c r="K71" s="15" t="str">
        <f>IF(ClientDB[[#This Row],[Start Date]]&gt;=$U$14,"New","")</f>
        <v>New</v>
      </c>
      <c r="L71" s="15" t="str">
        <f>IF(AND(ClientDB[[#This Row],[Start Year]]&lt;2016,ClientDB[[#This Row],[Events]]&gt;=6),"Gift","")</f>
        <v/>
      </c>
      <c r="M7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71" s="15">
        <v>2</v>
      </c>
      <c r="O71" s="38">
        <f>ClientDB[[#This Row],[Days]]*(IF(ClientDB[[#This Row],[Days]]&gt;1,300,350))</f>
        <v>600</v>
      </c>
      <c r="P7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71" s="15" t="s">
        <v>899</v>
      </c>
      <c r="R71" s="15" t="str">
        <f>INDEX('Lookup Lists'!$H$7:$K$59,MATCH(ClientDB[[#This Row],[Country Code]],'Lookup Lists'!$G$7:$G$59,0),(MATCH(ClientDB[[#This Row],[Meal]],'Lookup Lists'!$H$6:$K$6,0)))</f>
        <v>A</v>
      </c>
    </row>
    <row r="72" spans="1:18" x14ac:dyDescent="0.2">
      <c r="A72" s="10">
        <v>15232</v>
      </c>
      <c r="B72" t="s">
        <v>35</v>
      </c>
      <c r="C72" t="s">
        <v>169</v>
      </c>
      <c r="D72" s="18">
        <v>43045</v>
      </c>
      <c r="E72" s="37">
        <f>YEAR(ClientDB[[#This Row],[Start Date]])</f>
        <v>2017</v>
      </c>
      <c r="F72" t="s">
        <v>814</v>
      </c>
      <c r="G72" t="str">
        <f>VLOOKUP(ClientDB[[#This Row],[Org Code]],'Lookup Lists'!$A$7:$B$52,2,0)</f>
        <v>ICANT</v>
      </c>
      <c r="H72" s="10" t="s">
        <v>26</v>
      </c>
      <c r="I72" s="10" t="str">
        <f>VLOOKUP(ClientDB[[#This Row],[Country Code]],'Lookup Lists'!$D$7:$E$59,2,0)</f>
        <v>Ukraine</v>
      </c>
      <c r="J72" s="15">
        <v>4</v>
      </c>
      <c r="K72" s="15" t="str">
        <f>IF(ClientDB[[#This Row],[Start Date]]&gt;=$U$14,"New","")</f>
        <v/>
      </c>
      <c r="L72" s="15" t="str">
        <f>IF(AND(ClientDB[[#This Row],[Start Year]]&lt;2016,ClientDB[[#This Row],[Events]]&gt;=6),"Gift","")</f>
        <v/>
      </c>
      <c r="M7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72" s="15">
        <v>2</v>
      </c>
      <c r="O72" s="38">
        <f>ClientDB[[#This Row],[Days]]*(IF(ClientDB[[#This Row],[Days]]&gt;1,300,350))</f>
        <v>600</v>
      </c>
      <c r="P7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72" s="15" t="s">
        <v>901</v>
      </c>
      <c r="R72" s="15" t="str">
        <f>INDEX('Lookup Lists'!$H$7:$K$59,MATCH(ClientDB[[#This Row],[Country Code]],'Lookup Lists'!$G$7:$G$59,0),(MATCH(ClientDB[[#This Row],[Meal]],'Lookup Lists'!$H$6:$K$6,0)))</f>
        <v>G</v>
      </c>
    </row>
    <row r="73" spans="1:18" x14ac:dyDescent="0.2">
      <c r="A73" s="10">
        <v>15266</v>
      </c>
      <c r="B73" t="s">
        <v>548</v>
      </c>
      <c r="C73" t="s">
        <v>549</v>
      </c>
      <c r="D73" s="18">
        <v>43883</v>
      </c>
      <c r="E73" s="37">
        <f>YEAR(ClientDB[[#This Row],[Start Date]])</f>
        <v>2020</v>
      </c>
      <c r="F73" t="s">
        <v>807</v>
      </c>
      <c r="G73" t="str">
        <f>VLOOKUP(ClientDB[[#This Row],[Org Code]],'Lookup Lists'!$A$7:$B$52,2,0)</f>
        <v>Duet</v>
      </c>
      <c r="H73" s="10" t="s">
        <v>155</v>
      </c>
      <c r="I73" s="10" t="str">
        <f>VLOOKUP(ClientDB[[#This Row],[Country Code]],'Lookup Lists'!$D$7:$E$59,2,0)</f>
        <v>United Arab Emirates</v>
      </c>
      <c r="J73" s="15">
        <v>5</v>
      </c>
      <c r="K73" s="15" t="str">
        <f>IF(ClientDB[[#This Row],[Start Date]]&gt;=$U$14,"New","")</f>
        <v>New</v>
      </c>
      <c r="L73" s="15" t="str">
        <f>IF(AND(ClientDB[[#This Row],[Start Year]]&lt;2016,ClientDB[[#This Row],[Events]]&gt;=6),"Gift","")</f>
        <v/>
      </c>
      <c r="M7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73" s="15">
        <v>3</v>
      </c>
      <c r="O73" s="38">
        <f>ClientDB[[#This Row],[Days]]*(IF(ClientDB[[#This Row],[Days]]&gt;1,300,350))</f>
        <v>900</v>
      </c>
      <c r="P7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73" s="15" t="s">
        <v>901</v>
      </c>
      <c r="R73" s="15" t="str">
        <f>INDEX('Lookup Lists'!$H$7:$K$59,MATCH(ClientDB[[#This Row],[Country Code]],'Lookup Lists'!$G$7:$G$59,0),(MATCH(ClientDB[[#This Row],[Meal]],'Lookup Lists'!$H$6:$K$6,0)))</f>
        <v>D</v>
      </c>
    </row>
    <row r="74" spans="1:18" x14ac:dyDescent="0.2">
      <c r="A74" s="10">
        <v>15329</v>
      </c>
      <c r="B74" t="s">
        <v>132</v>
      </c>
      <c r="C74" t="s">
        <v>133</v>
      </c>
      <c r="D74" s="18">
        <v>44049</v>
      </c>
      <c r="E74" s="37">
        <f>YEAR(ClientDB[[#This Row],[Start Date]])</f>
        <v>2020</v>
      </c>
      <c r="F74" t="s">
        <v>839</v>
      </c>
      <c r="G74" t="str">
        <f>VLOOKUP(ClientDB[[#This Row],[Org Code]],'Lookup Lists'!$A$7:$B$52,2,0)</f>
        <v>Zconnect, Inc</v>
      </c>
      <c r="H74" s="10" t="s">
        <v>26</v>
      </c>
      <c r="I74" s="10" t="str">
        <f>VLOOKUP(ClientDB[[#This Row],[Country Code]],'Lookup Lists'!$D$7:$E$59,2,0)</f>
        <v>Ukraine</v>
      </c>
      <c r="J74" s="15">
        <v>1</v>
      </c>
      <c r="K74" s="15" t="str">
        <f>IF(ClientDB[[#This Row],[Start Date]]&gt;=$U$14,"New","")</f>
        <v>New</v>
      </c>
      <c r="L74" s="15" t="str">
        <f>IF(AND(ClientDB[[#This Row],[Start Year]]&lt;2016,ClientDB[[#This Row],[Events]]&gt;=6),"Gift","")</f>
        <v/>
      </c>
      <c r="M7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74" s="15">
        <v>2</v>
      </c>
      <c r="O74" s="38">
        <f>ClientDB[[#This Row],[Days]]*(IF(ClientDB[[#This Row],[Days]]&gt;1,300,350))</f>
        <v>600</v>
      </c>
      <c r="P7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74" s="15" t="s">
        <v>899</v>
      </c>
      <c r="R74" s="15" t="str">
        <f>INDEX('Lookup Lists'!$H$7:$K$59,MATCH(ClientDB[[#This Row],[Country Code]],'Lookup Lists'!$G$7:$G$59,0),(MATCH(ClientDB[[#This Row],[Meal]],'Lookup Lists'!$H$6:$K$6,0)))</f>
        <v>B</v>
      </c>
    </row>
    <row r="75" spans="1:18" x14ac:dyDescent="0.2">
      <c r="A75" s="10">
        <v>15378</v>
      </c>
      <c r="B75" t="s">
        <v>430</v>
      </c>
      <c r="C75" t="s">
        <v>431</v>
      </c>
      <c r="D75" s="18">
        <v>44035</v>
      </c>
      <c r="E75" s="37">
        <f>YEAR(ClientDB[[#This Row],[Start Date]])</f>
        <v>2020</v>
      </c>
      <c r="F75" t="s">
        <v>839</v>
      </c>
      <c r="G75" t="str">
        <f>VLOOKUP(ClientDB[[#This Row],[Org Code]],'Lookup Lists'!$A$7:$B$52,2,0)</f>
        <v>Zconnect, Inc</v>
      </c>
      <c r="H75" s="10" t="s">
        <v>54</v>
      </c>
      <c r="I75" s="10" t="str">
        <f>VLOOKUP(ClientDB[[#This Row],[Country Code]],'Lookup Lists'!$D$7:$E$59,2,0)</f>
        <v>Romania</v>
      </c>
      <c r="J75" s="15">
        <v>2</v>
      </c>
      <c r="K75" s="15" t="str">
        <f>IF(ClientDB[[#This Row],[Start Date]]&gt;=$U$14,"New","")</f>
        <v>New</v>
      </c>
      <c r="L75" s="15" t="str">
        <f>IF(AND(ClientDB[[#This Row],[Start Year]]&lt;2016,ClientDB[[#This Row],[Events]]&gt;=6),"Gift","")</f>
        <v/>
      </c>
      <c r="M7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75" s="15">
        <v>3</v>
      </c>
      <c r="O75" s="38">
        <f>ClientDB[[#This Row],[Days]]*(IF(ClientDB[[#This Row],[Days]]&gt;1,300,350))</f>
        <v>900</v>
      </c>
      <c r="P7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75" s="15" t="s">
        <v>901</v>
      </c>
      <c r="R75" s="15" t="str">
        <f>INDEX('Lookup Lists'!$H$7:$K$59,MATCH(ClientDB[[#This Row],[Country Code]],'Lookup Lists'!$G$7:$G$59,0),(MATCH(ClientDB[[#This Row],[Meal]],'Lookup Lists'!$H$6:$K$6,0)))</f>
        <v>G</v>
      </c>
    </row>
    <row r="76" spans="1:18" x14ac:dyDescent="0.2">
      <c r="A76" s="10">
        <v>15458</v>
      </c>
      <c r="B76" t="s">
        <v>31</v>
      </c>
      <c r="C76" t="s">
        <v>32</v>
      </c>
      <c r="D76" s="18">
        <v>43359</v>
      </c>
      <c r="E76" s="37">
        <f>YEAR(ClientDB[[#This Row],[Start Date]])</f>
        <v>2018</v>
      </c>
      <c r="F76" t="s">
        <v>795</v>
      </c>
      <c r="G76" t="str">
        <f>VLOOKUP(ClientDB[[#This Row],[Org Code]],'Lookup Lists'!$A$7:$B$52,2,0)</f>
        <v>AHA Networks</v>
      </c>
      <c r="H76" s="10" t="s">
        <v>34</v>
      </c>
      <c r="I76" s="10" t="str">
        <f>VLOOKUP(ClientDB[[#This Row],[Country Code]],'Lookup Lists'!$D$7:$E$59,2,0)</f>
        <v>United States</v>
      </c>
      <c r="J76" s="15">
        <v>13</v>
      </c>
      <c r="K76" s="15" t="str">
        <f>IF(ClientDB[[#This Row],[Start Date]]&gt;=$U$14,"New","")</f>
        <v/>
      </c>
      <c r="L76" s="15" t="str">
        <f>IF(AND(ClientDB[[#This Row],[Start Year]]&lt;2016,ClientDB[[#This Row],[Events]]&gt;=6),"Gift","")</f>
        <v/>
      </c>
      <c r="M7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76" s="15">
        <v>1</v>
      </c>
      <c r="O76" s="38">
        <f>ClientDB[[#This Row],[Days]]*(IF(ClientDB[[#This Row],[Days]]&gt;1,300,350))</f>
        <v>350</v>
      </c>
      <c r="P7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76" s="15" t="s">
        <v>902</v>
      </c>
      <c r="R76" s="15" t="str">
        <f>INDEX('Lookup Lists'!$H$7:$K$59,MATCH(ClientDB[[#This Row],[Country Code]],'Lookup Lists'!$G$7:$G$59,0),(MATCH(ClientDB[[#This Row],[Meal]],'Lookup Lists'!$H$6:$K$6,0)))</f>
        <v>F</v>
      </c>
    </row>
    <row r="77" spans="1:18" x14ac:dyDescent="0.2">
      <c r="A77" s="10">
        <v>15513</v>
      </c>
      <c r="B77" t="s">
        <v>672</v>
      </c>
      <c r="C77" t="s">
        <v>673</v>
      </c>
      <c r="D77" s="18">
        <v>43518</v>
      </c>
      <c r="E77" s="37">
        <f>YEAR(ClientDB[[#This Row],[Start Date]])</f>
        <v>2019</v>
      </c>
      <c r="F77" t="s">
        <v>830</v>
      </c>
      <c r="G77" t="str">
        <f>VLOOKUP(ClientDB[[#This Row],[Org Code]],'Lookup Lists'!$A$7:$B$52,2,0)</f>
        <v>Steps IT Training</v>
      </c>
      <c r="H77" s="10" t="s">
        <v>396</v>
      </c>
      <c r="I77" s="10" t="str">
        <f>VLOOKUP(ClientDB[[#This Row],[Country Code]],'Lookup Lists'!$D$7:$E$59,2,0)</f>
        <v>Lithuania</v>
      </c>
      <c r="J77" s="15">
        <v>4</v>
      </c>
      <c r="K77" s="15" t="str">
        <f>IF(ClientDB[[#This Row],[Start Date]]&gt;=$U$14,"New","")</f>
        <v/>
      </c>
      <c r="L77" s="15" t="str">
        <f>IF(AND(ClientDB[[#This Row],[Start Year]]&lt;2016,ClientDB[[#This Row],[Events]]&gt;=6),"Gift","")</f>
        <v/>
      </c>
      <c r="M7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77" s="15">
        <v>3</v>
      </c>
      <c r="O77" s="38">
        <f>ClientDB[[#This Row],[Days]]*(IF(ClientDB[[#This Row],[Days]]&gt;1,300,350))</f>
        <v>900</v>
      </c>
      <c r="P7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77" s="15" t="s">
        <v>899</v>
      </c>
      <c r="R77" s="15" t="str">
        <f>INDEX('Lookup Lists'!$H$7:$K$59,MATCH(ClientDB[[#This Row],[Country Code]],'Lookup Lists'!$G$7:$G$59,0),(MATCH(ClientDB[[#This Row],[Meal]],'Lookup Lists'!$H$6:$K$6,0)))</f>
        <v>B</v>
      </c>
    </row>
    <row r="78" spans="1:18" x14ac:dyDescent="0.2">
      <c r="A78" s="10">
        <v>15627</v>
      </c>
      <c r="B78" t="s">
        <v>201</v>
      </c>
      <c r="C78" t="s">
        <v>202</v>
      </c>
      <c r="D78" s="18">
        <v>43936</v>
      </c>
      <c r="E78" s="37">
        <f>YEAR(ClientDB[[#This Row],[Start Date]])</f>
        <v>2020</v>
      </c>
      <c r="F78" t="s">
        <v>835</v>
      </c>
      <c r="G78" t="str">
        <f>VLOOKUP(ClientDB[[#This Row],[Org Code]],'Lookup Lists'!$A$7:$B$52,2,0)</f>
        <v>West Telco</v>
      </c>
      <c r="H78" s="10" t="s">
        <v>203</v>
      </c>
      <c r="I78" s="10" t="str">
        <f>VLOOKUP(ClientDB[[#This Row],[Country Code]],'Lookup Lists'!$D$7:$E$59,2,0)</f>
        <v>Uganda</v>
      </c>
      <c r="J78" s="15">
        <v>3</v>
      </c>
      <c r="K78" s="15" t="str">
        <f>IF(ClientDB[[#This Row],[Start Date]]&gt;=$U$14,"New","")</f>
        <v>New</v>
      </c>
      <c r="L78" s="15" t="str">
        <f>IF(AND(ClientDB[[#This Row],[Start Year]]&lt;2016,ClientDB[[#This Row],[Events]]&gt;=6),"Gift","")</f>
        <v/>
      </c>
      <c r="M7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78" s="15">
        <v>1</v>
      </c>
      <c r="O78" s="38">
        <f>ClientDB[[#This Row],[Days]]*(IF(ClientDB[[#This Row],[Days]]&gt;1,300,350))</f>
        <v>350</v>
      </c>
      <c r="P7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78" s="15" t="s">
        <v>901</v>
      </c>
      <c r="R78" s="15" t="str">
        <f>INDEX('Lookup Lists'!$H$7:$K$59,MATCH(ClientDB[[#This Row],[Country Code]],'Lookup Lists'!$G$7:$G$59,0),(MATCH(ClientDB[[#This Row],[Meal]],'Lookup Lists'!$H$6:$K$6,0)))</f>
        <v>G</v>
      </c>
    </row>
    <row r="79" spans="1:18" x14ac:dyDescent="0.2">
      <c r="A79" s="10">
        <v>15663</v>
      </c>
      <c r="B79" t="s">
        <v>312</v>
      </c>
      <c r="C79" t="s">
        <v>313</v>
      </c>
      <c r="D79" s="18">
        <v>43013</v>
      </c>
      <c r="E79" s="37">
        <f>YEAR(ClientDB[[#This Row],[Start Date]])</f>
        <v>2017</v>
      </c>
      <c r="F79" t="s">
        <v>838</v>
      </c>
      <c r="G79" t="str">
        <f>VLOOKUP(ClientDB[[#This Row],[Org Code]],'Lookup Lists'!$A$7:$B$52,2,0)</f>
        <v>xLAN Internet Exchange</v>
      </c>
      <c r="H79" s="10" t="s">
        <v>34</v>
      </c>
      <c r="I79" s="10" t="str">
        <f>VLOOKUP(ClientDB[[#This Row],[Country Code]],'Lookup Lists'!$D$7:$E$59,2,0)</f>
        <v>United States</v>
      </c>
      <c r="J79" s="15">
        <v>5</v>
      </c>
      <c r="K79" s="15" t="str">
        <f>IF(ClientDB[[#This Row],[Start Date]]&gt;=$U$14,"New","")</f>
        <v/>
      </c>
      <c r="L79" s="15" t="str">
        <f>IF(AND(ClientDB[[#This Row],[Start Year]]&lt;2016,ClientDB[[#This Row],[Events]]&gt;=6),"Gift","")</f>
        <v/>
      </c>
      <c r="M7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79" s="15">
        <v>2</v>
      </c>
      <c r="O79" s="38">
        <f>ClientDB[[#This Row],[Days]]*(IF(ClientDB[[#This Row],[Days]]&gt;1,300,350))</f>
        <v>600</v>
      </c>
      <c r="P7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79" s="15" t="s">
        <v>901</v>
      </c>
      <c r="R79" s="15" t="str">
        <f>INDEX('Lookup Lists'!$H$7:$K$59,MATCH(ClientDB[[#This Row],[Country Code]],'Lookup Lists'!$G$7:$G$59,0),(MATCH(ClientDB[[#This Row],[Meal]],'Lookup Lists'!$H$6:$K$6,0)))</f>
        <v>G</v>
      </c>
    </row>
    <row r="80" spans="1:18" x14ac:dyDescent="0.2">
      <c r="A80" s="10">
        <v>15843</v>
      </c>
      <c r="B80" t="s">
        <v>745</v>
      </c>
      <c r="C80" t="s">
        <v>746</v>
      </c>
      <c r="D80" s="18">
        <v>42305</v>
      </c>
      <c r="E80" s="37">
        <f>YEAR(ClientDB[[#This Row],[Start Date]])</f>
        <v>2015</v>
      </c>
      <c r="F80" t="s">
        <v>840</v>
      </c>
      <c r="G80" t="str">
        <f>VLOOKUP(ClientDB[[#This Row],[Org Code]],'Lookup Lists'!$A$7:$B$52,2,0)</f>
        <v>Zim Sales</v>
      </c>
      <c r="H80" s="10" t="s">
        <v>340</v>
      </c>
      <c r="I80" s="10" t="str">
        <f>VLOOKUP(ClientDB[[#This Row],[Country Code]],'Lookup Lists'!$D$7:$E$59,2,0)</f>
        <v>Bulgaria</v>
      </c>
      <c r="J80" s="15">
        <v>10</v>
      </c>
      <c r="K80" s="15" t="str">
        <f>IF(ClientDB[[#This Row],[Start Date]]&gt;=$U$14,"New","")</f>
        <v/>
      </c>
      <c r="L80" s="15" t="str">
        <f>IF(AND(ClientDB[[#This Row],[Start Year]]&lt;2016,ClientDB[[#This Row],[Events]]&gt;=6),"Gift","")</f>
        <v>Gift</v>
      </c>
      <c r="M8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80" s="15">
        <v>1</v>
      </c>
      <c r="O80" s="38">
        <f>ClientDB[[#This Row],[Days]]*(IF(ClientDB[[#This Row],[Days]]&gt;1,300,350))</f>
        <v>350</v>
      </c>
      <c r="P8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80" s="15" t="s">
        <v>901</v>
      </c>
      <c r="R80" s="15" t="str">
        <f>INDEX('Lookup Lists'!$H$7:$K$59,MATCH(ClientDB[[#This Row],[Country Code]],'Lookup Lists'!$G$7:$G$59,0),(MATCH(ClientDB[[#This Row],[Meal]],'Lookup Lists'!$H$6:$K$6,0)))</f>
        <v>D</v>
      </c>
    </row>
    <row r="81" spans="1:18" x14ac:dyDescent="0.2">
      <c r="A81" s="10">
        <v>15866</v>
      </c>
      <c r="B81" t="s">
        <v>675</v>
      </c>
      <c r="C81" t="s">
        <v>676</v>
      </c>
      <c r="D81" s="18">
        <v>43115</v>
      </c>
      <c r="E81" s="37">
        <f>YEAR(ClientDB[[#This Row],[Start Date]])</f>
        <v>2018</v>
      </c>
      <c r="F81" t="s">
        <v>803</v>
      </c>
      <c r="G81" t="str">
        <f>VLOOKUP(ClientDB[[#This Row],[Org Code]],'Lookup Lists'!$A$7:$B$52,2,0)</f>
        <v>CTX</v>
      </c>
      <c r="H81" s="10" t="s">
        <v>274</v>
      </c>
      <c r="I81" s="10" t="str">
        <f>VLOOKUP(ClientDB[[#This Row],[Country Code]],'Lookup Lists'!$D$7:$E$59,2,0)</f>
        <v>Spain</v>
      </c>
      <c r="J81" s="15">
        <v>14</v>
      </c>
      <c r="K81" s="15" t="str">
        <f>IF(ClientDB[[#This Row],[Start Date]]&gt;=$U$14,"New","")</f>
        <v/>
      </c>
      <c r="L81" s="15" t="str">
        <f>IF(AND(ClientDB[[#This Row],[Start Year]]&lt;2016,ClientDB[[#This Row],[Events]]&gt;=6),"Gift","")</f>
        <v/>
      </c>
      <c r="M8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81" s="15">
        <v>1</v>
      </c>
      <c r="O81" s="38">
        <f>ClientDB[[#This Row],[Days]]*(IF(ClientDB[[#This Row],[Days]]&gt;1,300,350))</f>
        <v>350</v>
      </c>
      <c r="P8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81" s="15" t="s">
        <v>902</v>
      </c>
      <c r="R81" s="15" t="str">
        <f>INDEX('Lookup Lists'!$H$7:$K$59,MATCH(ClientDB[[#This Row],[Country Code]],'Lookup Lists'!$G$7:$G$59,0),(MATCH(ClientDB[[#This Row],[Meal]],'Lookup Lists'!$H$6:$K$6,0)))</f>
        <v>B</v>
      </c>
    </row>
    <row r="82" spans="1:18" x14ac:dyDescent="0.2">
      <c r="A82" s="10">
        <v>15895</v>
      </c>
      <c r="B82" t="s">
        <v>159</v>
      </c>
      <c r="C82" t="s">
        <v>160</v>
      </c>
      <c r="D82" s="18">
        <v>42858</v>
      </c>
      <c r="E82" s="37">
        <f>YEAR(ClientDB[[#This Row],[Start Date]])</f>
        <v>2017</v>
      </c>
      <c r="F82" t="s">
        <v>827</v>
      </c>
      <c r="G82" t="str">
        <f>VLOOKUP(ClientDB[[#This Row],[Org Code]],'Lookup Lists'!$A$7:$B$52,2,0)</f>
        <v>Ripple Com</v>
      </c>
      <c r="H82" s="10" t="s">
        <v>15</v>
      </c>
      <c r="I82" s="10" t="str">
        <f>VLOOKUP(ClientDB[[#This Row],[Country Code]],'Lookup Lists'!$D$7:$E$59,2,0)</f>
        <v>United Kingdom</v>
      </c>
      <c r="J82" s="15">
        <v>11</v>
      </c>
      <c r="K82" s="15" t="str">
        <f>IF(ClientDB[[#This Row],[Start Date]]&gt;=$U$14,"New","")</f>
        <v/>
      </c>
      <c r="L82" s="15" t="str">
        <f>IF(AND(ClientDB[[#This Row],[Start Year]]&lt;2016,ClientDB[[#This Row],[Events]]&gt;=6),"Gift","")</f>
        <v/>
      </c>
      <c r="M8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82" s="15">
        <v>2</v>
      </c>
      <c r="O82" s="38">
        <f>ClientDB[[#This Row],[Days]]*(IF(ClientDB[[#This Row],[Days]]&gt;1,300,350))</f>
        <v>600</v>
      </c>
      <c r="P8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82" s="15" t="s">
        <v>901</v>
      </c>
      <c r="R82" s="15" t="str">
        <f>INDEX('Lookup Lists'!$H$7:$K$59,MATCH(ClientDB[[#This Row],[Country Code]],'Lookup Lists'!$G$7:$G$59,0),(MATCH(ClientDB[[#This Row],[Meal]],'Lookup Lists'!$H$6:$K$6,0)))</f>
        <v>E</v>
      </c>
    </row>
    <row r="83" spans="1:18" x14ac:dyDescent="0.2">
      <c r="A83" s="10">
        <v>15928</v>
      </c>
      <c r="B83" t="s">
        <v>495</v>
      </c>
      <c r="C83" t="s">
        <v>496</v>
      </c>
      <c r="D83" s="18">
        <v>42474</v>
      </c>
      <c r="E83" s="37">
        <f>YEAR(ClientDB[[#This Row],[Start Date]])</f>
        <v>2016</v>
      </c>
      <c r="F83" t="s">
        <v>808</v>
      </c>
      <c r="G83" t="str">
        <f>VLOOKUP(ClientDB[[#This Row],[Org Code]],'Lookup Lists'!$A$7:$B$52,2,0)</f>
        <v>Ebony Telecoms</v>
      </c>
      <c r="H83" s="10" t="s">
        <v>38</v>
      </c>
      <c r="I83" s="10" t="str">
        <f>VLOOKUP(ClientDB[[#This Row],[Country Code]],'Lookup Lists'!$D$7:$E$59,2,0)</f>
        <v>Czech Republic</v>
      </c>
      <c r="J83" s="15">
        <v>7</v>
      </c>
      <c r="K83" s="15" t="str">
        <f>IF(ClientDB[[#This Row],[Start Date]]&gt;=$U$14,"New","")</f>
        <v/>
      </c>
      <c r="L83" s="15" t="str">
        <f>IF(AND(ClientDB[[#This Row],[Start Year]]&lt;2016,ClientDB[[#This Row],[Events]]&gt;=6),"Gift","")</f>
        <v/>
      </c>
      <c r="M8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83" s="15">
        <v>3</v>
      </c>
      <c r="O83" s="38">
        <f>ClientDB[[#This Row],[Days]]*(IF(ClientDB[[#This Row],[Days]]&gt;1,300,350))</f>
        <v>900</v>
      </c>
      <c r="P8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83" s="15" t="s">
        <v>899</v>
      </c>
      <c r="R83" s="15" t="str">
        <f>INDEX('Lookup Lists'!$H$7:$K$59,MATCH(ClientDB[[#This Row],[Country Code]],'Lookup Lists'!$G$7:$G$59,0),(MATCH(ClientDB[[#This Row],[Meal]],'Lookup Lists'!$H$6:$K$6,0)))</f>
        <v>A</v>
      </c>
    </row>
    <row r="84" spans="1:18" x14ac:dyDescent="0.2">
      <c r="A84" s="10">
        <v>15957</v>
      </c>
      <c r="B84" t="s">
        <v>616</v>
      </c>
      <c r="C84" t="s">
        <v>617</v>
      </c>
      <c r="D84" s="18">
        <v>43932</v>
      </c>
      <c r="E84" s="37">
        <f>YEAR(ClientDB[[#This Row],[Start Date]])</f>
        <v>2020</v>
      </c>
      <c r="F84" t="s">
        <v>837</v>
      </c>
      <c r="G84" t="str">
        <f>VLOOKUP(ClientDB[[#This Row],[Org Code]],'Lookup Lists'!$A$7:$B$52,2,0)</f>
        <v>WWT</v>
      </c>
      <c r="H84" s="10" t="s">
        <v>7</v>
      </c>
      <c r="I84" s="10" t="str">
        <f>VLOOKUP(ClientDB[[#This Row],[Country Code]],'Lookup Lists'!$D$7:$E$59,2,0)</f>
        <v>Iran</v>
      </c>
      <c r="J84" s="15">
        <v>12</v>
      </c>
      <c r="K84" s="15" t="str">
        <f>IF(ClientDB[[#This Row],[Start Date]]&gt;=$U$14,"New","")</f>
        <v>New</v>
      </c>
      <c r="L84" s="15" t="str">
        <f>IF(AND(ClientDB[[#This Row],[Start Year]]&lt;2016,ClientDB[[#This Row],[Events]]&gt;=6),"Gift","")</f>
        <v/>
      </c>
      <c r="M8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84" s="15">
        <v>3</v>
      </c>
      <c r="O84" s="38">
        <f>ClientDB[[#This Row],[Days]]*(IF(ClientDB[[#This Row],[Days]]&gt;1,300,350))</f>
        <v>900</v>
      </c>
      <c r="P8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84" s="15" t="s">
        <v>901</v>
      </c>
      <c r="R84" s="15" t="str">
        <f>INDEX('Lookup Lists'!$H$7:$K$59,MATCH(ClientDB[[#This Row],[Country Code]],'Lookup Lists'!$G$7:$G$59,0),(MATCH(ClientDB[[#This Row],[Meal]],'Lookup Lists'!$H$6:$K$6,0)))</f>
        <v>F</v>
      </c>
    </row>
    <row r="85" spans="1:18" x14ac:dyDescent="0.2">
      <c r="A85" s="10">
        <v>16000</v>
      </c>
      <c r="B85" t="s">
        <v>593</v>
      </c>
      <c r="C85" t="s">
        <v>594</v>
      </c>
      <c r="D85" s="18">
        <v>41550</v>
      </c>
      <c r="E85" s="37">
        <f>YEAR(ClientDB[[#This Row],[Start Date]])</f>
        <v>2013</v>
      </c>
      <c r="F85" t="s">
        <v>814</v>
      </c>
      <c r="G85" t="str">
        <f>VLOOKUP(ClientDB[[#This Row],[Org Code]],'Lookup Lists'!$A$7:$B$52,2,0)</f>
        <v>ICANT</v>
      </c>
      <c r="H85" s="10" t="s">
        <v>59</v>
      </c>
      <c r="I85" s="10" t="str">
        <f>VLOOKUP(ClientDB[[#This Row],[Country Code]],'Lookup Lists'!$D$7:$E$59,2,0)</f>
        <v>Netherlands</v>
      </c>
      <c r="J85" s="15">
        <v>37</v>
      </c>
      <c r="K85" s="15" t="str">
        <f>IF(ClientDB[[#This Row],[Start Date]]&gt;=$U$14,"New","")</f>
        <v/>
      </c>
      <c r="L85" s="15" t="str">
        <f>IF(AND(ClientDB[[#This Row],[Start Year]]&lt;2016,ClientDB[[#This Row],[Events]]&gt;=6),"Gift","")</f>
        <v>Gift</v>
      </c>
      <c r="M8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Platinum</v>
      </c>
      <c r="N85" s="15">
        <v>2</v>
      </c>
      <c r="O85" s="38">
        <f>ClientDB[[#This Row],[Days]]*(IF(ClientDB[[#This Row],[Days]]&gt;1,300,350))</f>
        <v>600</v>
      </c>
      <c r="P8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85" s="15" t="s">
        <v>902</v>
      </c>
      <c r="R85" s="15" t="str">
        <f>INDEX('Lookup Lists'!$H$7:$K$59,MATCH(ClientDB[[#This Row],[Country Code]],'Lookup Lists'!$G$7:$G$59,0),(MATCH(ClientDB[[#This Row],[Meal]],'Lookup Lists'!$H$6:$K$6,0)))</f>
        <v>C</v>
      </c>
    </row>
    <row r="86" spans="1:18" x14ac:dyDescent="0.2">
      <c r="A86" s="10">
        <v>16152</v>
      </c>
      <c r="B86" t="s">
        <v>35</v>
      </c>
      <c r="C86" t="s">
        <v>36</v>
      </c>
      <c r="D86" s="18">
        <v>43673</v>
      </c>
      <c r="E86" s="37">
        <f>YEAR(ClientDB[[#This Row],[Start Date]])</f>
        <v>2019</v>
      </c>
      <c r="F86" t="s">
        <v>824</v>
      </c>
      <c r="G86" t="str">
        <f>VLOOKUP(ClientDB[[#This Row],[Org Code]],'Lookup Lists'!$A$7:$B$52,2,0)</f>
        <v>Pink Cloud Networks</v>
      </c>
      <c r="H86" s="10" t="s">
        <v>38</v>
      </c>
      <c r="I86" s="10" t="str">
        <f>VLOOKUP(ClientDB[[#This Row],[Country Code]],'Lookup Lists'!$D$7:$E$59,2,0)</f>
        <v>Czech Republic</v>
      </c>
      <c r="J86" s="15">
        <v>19</v>
      </c>
      <c r="K86" s="15" t="str">
        <f>IF(ClientDB[[#This Row],[Start Date]]&gt;=$U$14,"New","")</f>
        <v/>
      </c>
      <c r="L86" s="15" t="str">
        <f>IF(AND(ClientDB[[#This Row],[Start Year]]&lt;2016,ClientDB[[#This Row],[Events]]&gt;=6),"Gift","")</f>
        <v/>
      </c>
      <c r="M8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86" s="15">
        <v>2</v>
      </c>
      <c r="O86" s="38">
        <f>ClientDB[[#This Row],[Days]]*(IF(ClientDB[[#This Row],[Days]]&gt;1,300,350))</f>
        <v>600</v>
      </c>
      <c r="P8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86" s="15" t="s">
        <v>902</v>
      </c>
      <c r="R86" s="15" t="str">
        <f>INDEX('Lookup Lists'!$H$7:$K$59,MATCH(ClientDB[[#This Row],[Country Code]],'Lookup Lists'!$G$7:$G$59,0),(MATCH(ClientDB[[#This Row],[Meal]],'Lookup Lists'!$H$6:$K$6,0)))</f>
        <v>B</v>
      </c>
    </row>
    <row r="87" spans="1:18" x14ac:dyDescent="0.2">
      <c r="A87" s="10">
        <v>16316</v>
      </c>
      <c r="B87" t="s">
        <v>189</v>
      </c>
      <c r="C87" t="s">
        <v>719</v>
      </c>
      <c r="D87" s="18">
        <v>43063</v>
      </c>
      <c r="E87" s="37">
        <f>YEAR(ClientDB[[#This Row],[Start Date]])</f>
        <v>2017</v>
      </c>
      <c r="F87" t="s">
        <v>797</v>
      </c>
      <c r="G87" t="str">
        <f>VLOOKUP(ClientDB[[#This Row],[Org Code]],'Lookup Lists'!$A$7:$B$52,2,0)</f>
        <v>ASET PLC</v>
      </c>
      <c r="H87" s="10" t="s">
        <v>7</v>
      </c>
      <c r="I87" s="10" t="str">
        <f>VLOOKUP(ClientDB[[#This Row],[Country Code]],'Lookup Lists'!$D$7:$E$59,2,0)</f>
        <v>Iran</v>
      </c>
      <c r="J87" s="15">
        <v>8</v>
      </c>
      <c r="K87" s="15" t="str">
        <f>IF(ClientDB[[#This Row],[Start Date]]&gt;=$U$14,"New","")</f>
        <v/>
      </c>
      <c r="L87" s="15" t="str">
        <f>IF(AND(ClientDB[[#This Row],[Start Year]]&lt;2016,ClientDB[[#This Row],[Events]]&gt;=6),"Gift","")</f>
        <v/>
      </c>
      <c r="M8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87" s="15">
        <v>3</v>
      </c>
      <c r="O87" s="38">
        <f>ClientDB[[#This Row],[Days]]*(IF(ClientDB[[#This Row],[Days]]&gt;1,300,350))</f>
        <v>900</v>
      </c>
      <c r="P8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87" s="15" t="s">
        <v>900</v>
      </c>
      <c r="R87" s="15" t="str">
        <f>INDEX('Lookup Lists'!$H$7:$K$59,MATCH(ClientDB[[#This Row],[Country Code]],'Lookup Lists'!$G$7:$G$59,0),(MATCH(ClientDB[[#This Row],[Meal]],'Lookup Lists'!$H$6:$K$6,0)))</f>
        <v>A</v>
      </c>
    </row>
    <row r="88" spans="1:18" x14ac:dyDescent="0.2">
      <c r="A88" s="10">
        <v>16399</v>
      </c>
      <c r="B88" t="s">
        <v>336</v>
      </c>
      <c r="C88" t="s">
        <v>337</v>
      </c>
      <c r="D88" s="18">
        <v>42193</v>
      </c>
      <c r="E88" s="37">
        <f>YEAR(ClientDB[[#This Row],[Start Date]])</f>
        <v>2015</v>
      </c>
      <c r="F88" t="s">
        <v>823</v>
      </c>
      <c r="G88" t="str">
        <f>VLOOKUP(ClientDB[[#This Row],[Org Code]],'Lookup Lists'!$A$7:$B$52,2,0)</f>
        <v>Pilco Streambank</v>
      </c>
      <c r="H88" s="10" t="s">
        <v>155</v>
      </c>
      <c r="I88" s="10" t="str">
        <f>VLOOKUP(ClientDB[[#This Row],[Country Code]],'Lookup Lists'!$D$7:$E$59,2,0)</f>
        <v>United Arab Emirates</v>
      </c>
      <c r="J88" s="15">
        <v>2</v>
      </c>
      <c r="K88" s="15" t="str">
        <f>IF(ClientDB[[#This Row],[Start Date]]&gt;=$U$14,"New","")</f>
        <v/>
      </c>
      <c r="L88" s="15" t="str">
        <f>IF(AND(ClientDB[[#This Row],[Start Year]]&lt;2016,ClientDB[[#This Row],[Events]]&gt;=6),"Gift","")</f>
        <v/>
      </c>
      <c r="M8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88" s="15">
        <v>3</v>
      </c>
      <c r="O88" s="38">
        <f>ClientDB[[#This Row],[Days]]*(IF(ClientDB[[#This Row],[Days]]&gt;1,300,350))</f>
        <v>900</v>
      </c>
      <c r="P8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88" s="15" t="s">
        <v>899</v>
      </c>
      <c r="R88" s="15" t="str">
        <f>INDEX('Lookup Lists'!$H$7:$K$59,MATCH(ClientDB[[#This Row],[Country Code]],'Lookup Lists'!$G$7:$G$59,0),(MATCH(ClientDB[[#This Row],[Meal]],'Lookup Lists'!$H$6:$K$6,0)))</f>
        <v>A</v>
      </c>
    </row>
    <row r="89" spans="1:18" x14ac:dyDescent="0.2">
      <c r="A89" s="10">
        <v>16572</v>
      </c>
      <c r="B89" t="s">
        <v>150</v>
      </c>
      <c r="C89" t="s">
        <v>151</v>
      </c>
      <c r="D89" s="18">
        <v>42342</v>
      </c>
      <c r="E89" s="37">
        <f>YEAR(ClientDB[[#This Row],[Start Date]])</f>
        <v>2015</v>
      </c>
      <c r="F89" t="s">
        <v>817</v>
      </c>
      <c r="G89" t="str">
        <f>VLOOKUP(ClientDB[[#This Row],[Org Code]],'Lookup Lists'!$A$7:$B$52,2,0)</f>
        <v>LACNE</v>
      </c>
      <c r="H89" s="10" t="s">
        <v>15</v>
      </c>
      <c r="I89" s="10" t="str">
        <f>VLOOKUP(ClientDB[[#This Row],[Country Code]],'Lookup Lists'!$D$7:$E$59,2,0)</f>
        <v>United Kingdom</v>
      </c>
      <c r="J89" s="15">
        <v>30</v>
      </c>
      <c r="K89" s="15" t="str">
        <f>IF(ClientDB[[#This Row],[Start Date]]&gt;=$U$14,"New","")</f>
        <v/>
      </c>
      <c r="L89" s="15" t="str">
        <f>IF(AND(ClientDB[[#This Row],[Start Year]]&lt;2016,ClientDB[[#This Row],[Events]]&gt;=6),"Gift","")</f>
        <v>Gift</v>
      </c>
      <c r="M8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Platinum</v>
      </c>
      <c r="N89" s="15">
        <v>2</v>
      </c>
      <c r="O89" s="38">
        <f>ClientDB[[#This Row],[Days]]*(IF(ClientDB[[#This Row],[Days]]&gt;1,300,350))</f>
        <v>600</v>
      </c>
      <c r="P8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89" s="15" t="s">
        <v>902</v>
      </c>
      <c r="R89" s="15" t="str">
        <f>INDEX('Lookup Lists'!$H$7:$K$59,MATCH(ClientDB[[#This Row],[Country Code]],'Lookup Lists'!$G$7:$G$59,0),(MATCH(ClientDB[[#This Row],[Meal]],'Lookup Lists'!$H$6:$K$6,0)))</f>
        <v>B</v>
      </c>
    </row>
    <row r="90" spans="1:18" x14ac:dyDescent="0.2">
      <c r="A90" s="10">
        <v>16755</v>
      </c>
      <c r="B90" t="s">
        <v>323</v>
      </c>
      <c r="C90" t="s">
        <v>324</v>
      </c>
      <c r="D90" s="18">
        <v>43418</v>
      </c>
      <c r="E90" s="37">
        <f>YEAR(ClientDB[[#This Row],[Start Date]])</f>
        <v>2018</v>
      </c>
      <c r="F90" t="s">
        <v>807</v>
      </c>
      <c r="G90" t="str">
        <f>VLOOKUP(ClientDB[[#This Row],[Org Code]],'Lookup Lists'!$A$7:$B$52,2,0)</f>
        <v>Duet</v>
      </c>
      <c r="H90" s="10" t="s">
        <v>325</v>
      </c>
      <c r="I90" s="10" t="str">
        <f>VLOOKUP(ClientDB[[#This Row],[Country Code]],'Lookup Lists'!$D$7:$E$59,2,0)</f>
        <v>New Zealand</v>
      </c>
      <c r="J90" s="15">
        <v>8</v>
      </c>
      <c r="K90" s="15" t="str">
        <f>IF(ClientDB[[#This Row],[Start Date]]&gt;=$U$14,"New","")</f>
        <v/>
      </c>
      <c r="L90" s="15" t="str">
        <f>IF(AND(ClientDB[[#This Row],[Start Year]]&lt;2016,ClientDB[[#This Row],[Events]]&gt;=6),"Gift","")</f>
        <v/>
      </c>
      <c r="M9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90" s="15">
        <v>2</v>
      </c>
      <c r="O90" s="38">
        <f>ClientDB[[#This Row],[Days]]*(IF(ClientDB[[#This Row],[Days]]&gt;1,300,350))</f>
        <v>600</v>
      </c>
      <c r="P9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90" s="15" t="s">
        <v>899</v>
      </c>
      <c r="R90" s="15" t="str">
        <f>INDEX('Lookup Lists'!$H$7:$K$59,MATCH(ClientDB[[#This Row],[Country Code]],'Lookup Lists'!$G$7:$G$59,0),(MATCH(ClientDB[[#This Row],[Meal]],'Lookup Lists'!$H$6:$K$6,0)))</f>
        <v>B</v>
      </c>
    </row>
    <row r="91" spans="1:18" x14ac:dyDescent="0.2">
      <c r="A91" s="10">
        <v>16823</v>
      </c>
      <c r="B91" t="s">
        <v>705</v>
      </c>
      <c r="C91" t="s">
        <v>706</v>
      </c>
      <c r="D91" s="18">
        <v>42202</v>
      </c>
      <c r="E91" s="37">
        <f>YEAR(ClientDB[[#This Row],[Start Date]])</f>
        <v>2015</v>
      </c>
      <c r="F91" t="s">
        <v>840</v>
      </c>
      <c r="G91" t="str">
        <f>VLOOKUP(ClientDB[[#This Row],[Org Code]],'Lookup Lists'!$A$7:$B$52,2,0)</f>
        <v>Zim Sales</v>
      </c>
      <c r="H91" s="10" t="s">
        <v>46</v>
      </c>
      <c r="I91" s="10" t="str">
        <f>VLOOKUP(ClientDB[[#This Row],[Country Code]],'Lookup Lists'!$D$7:$E$59,2,0)</f>
        <v>Germany</v>
      </c>
      <c r="J91" s="15">
        <v>16</v>
      </c>
      <c r="K91" s="15" t="str">
        <f>IF(ClientDB[[#This Row],[Start Date]]&gt;=$U$14,"New","")</f>
        <v/>
      </c>
      <c r="L91" s="15" t="str">
        <f>IF(AND(ClientDB[[#This Row],[Start Year]]&lt;2016,ClientDB[[#This Row],[Events]]&gt;=6),"Gift","")</f>
        <v>Gift</v>
      </c>
      <c r="M9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91" s="15">
        <v>3</v>
      </c>
      <c r="O91" s="38">
        <f>ClientDB[[#This Row],[Days]]*(IF(ClientDB[[#This Row],[Days]]&gt;1,300,350))</f>
        <v>900</v>
      </c>
      <c r="P9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91" s="15" t="s">
        <v>901</v>
      </c>
      <c r="R91" s="15" t="str">
        <f>INDEX('Lookup Lists'!$H$7:$K$59,MATCH(ClientDB[[#This Row],[Country Code]],'Lookup Lists'!$G$7:$G$59,0),(MATCH(ClientDB[[#This Row],[Meal]],'Lookup Lists'!$H$6:$K$6,0)))</f>
        <v>D</v>
      </c>
    </row>
    <row r="92" spans="1:18" x14ac:dyDescent="0.2">
      <c r="A92" s="10">
        <v>16991</v>
      </c>
      <c r="B92" t="s">
        <v>278</v>
      </c>
      <c r="C92" t="s">
        <v>279</v>
      </c>
      <c r="D92" s="18">
        <v>43326</v>
      </c>
      <c r="E92" s="37">
        <f>YEAR(ClientDB[[#This Row],[Start Date]])</f>
        <v>2018</v>
      </c>
      <c r="F92" t="s">
        <v>827</v>
      </c>
      <c r="G92" t="str">
        <f>VLOOKUP(ClientDB[[#This Row],[Org Code]],'Lookup Lists'!$A$7:$B$52,2,0)</f>
        <v>Ripple Com</v>
      </c>
      <c r="H92" s="10" t="s">
        <v>34</v>
      </c>
      <c r="I92" s="10" t="str">
        <f>VLOOKUP(ClientDB[[#This Row],[Country Code]],'Lookup Lists'!$D$7:$E$59,2,0)</f>
        <v>United States</v>
      </c>
      <c r="J92" s="15">
        <v>19</v>
      </c>
      <c r="K92" s="15" t="str">
        <f>IF(ClientDB[[#This Row],[Start Date]]&gt;=$U$14,"New","")</f>
        <v/>
      </c>
      <c r="L92" s="15" t="str">
        <f>IF(AND(ClientDB[[#This Row],[Start Year]]&lt;2016,ClientDB[[#This Row],[Events]]&gt;=6),"Gift","")</f>
        <v/>
      </c>
      <c r="M9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92" s="15">
        <v>2</v>
      </c>
      <c r="O92" s="38">
        <f>ClientDB[[#This Row],[Days]]*(IF(ClientDB[[#This Row],[Days]]&gt;1,300,350))</f>
        <v>600</v>
      </c>
      <c r="P9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92" s="15" t="s">
        <v>900</v>
      </c>
      <c r="R92" s="15" t="str">
        <f>INDEX('Lookup Lists'!$H$7:$K$59,MATCH(ClientDB[[#This Row],[Country Code]],'Lookup Lists'!$G$7:$G$59,0),(MATCH(ClientDB[[#This Row],[Meal]],'Lookup Lists'!$H$6:$K$6,0)))</f>
        <v>F</v>
      </c>
    </row>
    <row r="93" spans="1:18" x14ac:dyDescent="0.2">
      <c r="A93" s="10">
        <v>17020</v>
      </c>
      <c r="B93" t="s">
        <v>478</v>
      </c>
      <c r="C93" t="s">
        <v>479</v>
      </c>
      <c r="D93" s="18">
        <v>42666</v>
      </c>
      <c r="E93" s="37">
        <f>YEAR(ClientDB[[#This Row],[Start Date]])</f>
        <v>2016</v>
      </c>
      <c r="F93" t="s">
        <v>822</v>
      </c>
      <c r="G93" t="str">
        <f>VLOOKUP(ClientDB[[#This Row],[Org Code]],'Lookup Lists'!$A$7:$B$52,2,0)</f>
        <v>PicSure</v>
      </c>
      <c r="H93" s="10" t="s">
        <v>59</v>
      </c>
      <c r="I93" s="10" t="str">
        <f>VLOOKUP(ClientDB[[#This Row],[Country Code]],'Lookup Lists'!$D$7:$E$59,2,0)</f>
        <v>Netherlands</v>
      </c>
      <c r="J93" s="15">
        <v>2</v>
      </c>
      <c r="K93" s="15" t="str">
        <f>IF(ClientDB[[#This Row],[Start Date]]&gt;=$U$14,"New","")</f>
        <v/>
      </c>
      <c r="L93" s="15" t="str">
        <f>IF(AND(ClientDB[[#This Row],[Start Year]]&lt;2016,ClientDB[[#This Row],[Events]]&gt;=6),"Gift","")</f>
        <v/>
      </c>
      <c r="M9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93" s="15">
        <v>2</v>
      </c>
      <c r="O93" s="38">
        <f>ClientDB[[#This Row],[Days]]*(IF(ClientDB[[#This Row],[Days]]&gt;1,300,350))</f>
        <v>600</v>
      </c>
      <c r="P9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93" s="15" t="s">
        <v>901</v>
      </c>
      <c r="R93" s="15" t="str">
        <f>INDEX('Lookup Lists'!$H$7:$K$59,MATCH(ClientDB[[#This Row],[Country Code]],'Lookup Lists'!$G$7:$G$59,0),(MATCH(ClientDB[[#This Row],[Meal]],'Lookup Lists'!$H$6:$K$6,0)))</f>
        <v>F</v>
      </c>
    </row>
    <row r="94" spans="1:18" x14ac:dyDescent="0.2">
      <c r="A94" s="10">
        <v>17050</v>
      </c>
      <c r="B94" t="s">
        <v>754</v>
      </c>
      <c r="C94" t="s">
        <v>755</v>
      </c>
      <c r="D94" s="18">
        <v>42380</v>
      </c>
      <c r="E94" s="37">
        <f>YEAR(ClientDB[[#This Row],[Start Date]])</f>
        <v>2016</v>
      </c>
      <c r="F94" t="s">
        <v>827</v>
      </c>
      <c r="G94" t="str">
        <f>VLOOKUP(ClientDB[[#This Row],[Org Code]],'Lookup Lists'!$A$7:$B$52,2,0)</f>
        <v>Ripple Com</v>
      </c>
      <c r="H94" s="10" t="s">
        <v>15</v>
      </c>
      <c r="I94" s="10" t="str">
        <f>VLOOKUP(ClientDB[[#This Row],[Country Code]],'Lookup Lists'!$D$7:$E$59,2,0)</f>
        <v>United Kingdom</v>
      </c>
      <c r="J94" s="15">
        <v>12</v>
      </c>
      <c r="K94" s="15" t="str">
        <f>IF(ClientDB[[#This Row],[Start Date]]&gt;=$U$14,"New","")</f>
        <v/>
      </c>
      <c r="L94" s="15" t="str">
        <f>IF(AND(ClientDB[[#This Row],[Start Year]]&lt;2016,ClientDB[[#This Row],[Events]]&gt;=6),"Gift","")</f>
        <v/>
      </c>
      <c r="M9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94" s="15">
        <v>1</v>
      </c>
      <c r="O94" s="38">
        <f>ClientDB[[#This Row],[Days]]*(IF(ClientDB[[#This Row],[Days]]&gt;1,300,350))</f>
        <v>350</v>
      </c>
      <c r="P9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94" s="15" t="s">
        <v>899</v>
      </c>
      <c r="R94" s="15" t="str">
        <f>INDEX('Lookup Lists'!$H$7:$K$59,MATCH(ClientDB[[#This Row],[Country Code]],'Lookup Lists'!$G$7:$G$59,0),(MATCH(ClientDB[[#This Row],[Meal]],'Lookup Lists'!$H$6:$K$6,0)))</f>
        <v>A</v>
      </c>
    </row>
    <row r="95" spans="1:18" x14ac:dyDescent="0.2">
      <c r="A95" s="10">
        <v>17091</v>
      </c>
      <c r="B95" t="s">
        <v>665</v>
      </c>
      <c r="C95" t="s">
        <v>666</v>
      </c>
      <c r="D95" s="18">
        <v>42197</v>
      </c>
      <c r="E95" s="37">
        <f>YEAR(ClientDB[[#This Row],[Start Date]])</f>
        <v>2015</v>
      </c>
      <c r="F95" t="s">
        <v>818</v>
      </c>
      <c r="G95" t="str">
        <f>VLOOKUP(ClientDB[[#This Row],[Org Code]],'Lookup Lists'!$A$7:$B$52,2,0)</f>
        <v>Mojbal</v>
      </c>
      <c r="H95" s="10" t="s">
        <v>34</v>
      </c>
      <c r="I95" s="10" t="str">
        <f>VLOOKUP(ClientDB[[#This Row],[Country Code]],'Lookup Lists'!$D$7:$E$59,2,0)</f>
        <v>United States</v>
      </c>
      <c r="J95" s="15">
        <v>11</v>
      </c>
      <c r="K95" s="15" t="str">
        <f>IF(ClientDB[[#This Row],[Start Date]]&gt;=$U$14,"New","")</f>
        <v/>
      </c>
      <c r="L95" s="15" t="str">
        <f>IF(AND(ClientDB[[#This Row],[Start Year]]&lt;2016,ClientDB[[#This Row],[Events]]&gt;=6),"Gift","")</f>
        <v>Gift</v>
      </c>
      <c r="M9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95" s="15">
        <v>3</v>
      </c>
      <c r="O95" s="38">
        <f>ClientDB[[#This Row],[Days]]*(IF(ClientDB[[#This Row],[Days]]&gt;1,300,350))</f>
        <v>900</v>
      </c>
      <c r="P9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95" s="15" t="s">
        <v>899</v>
      </c>
      <c r="R95" s="15" t="str">
        <f>INDEX('Lookup Lists'!$H$7:$K$59,MATCH(ClientDB[[#This Row],[Country Code]],'Lookup Lists'!$G$7:$G$59,0),(MATCH(ClientDB[[#This Row],[Meal]],'Lookup Lists'!$H$6:$K$6,0)))</f>
        <v>F</v>
      </c>
    </row>
    <row r="96" spans="1:18" x14ac:dyDescent="0.2">
      <c r="A96" s="10">
        <v>17163</v>
      </c>
      <c r="B96" t="s">
        <v>530</v>
      </c>
      <c r="C96" t="s">
        <v>531</v>
      </c>
      <c r="D96" s="18">
        <v>43444</v>
      </c>
      <c r="E96" s="37">
        <f>YEAR(ClientDB[[#This Row],[Start Date]])</f>
        <v>2018</v>
      </c>
      <c r="F96" t="s">
        <v>795</v>
      </c>
      <c r="G96" t="str">
        <f>VLOOKUP(ClientDB[[#This Row],[Org Code]],'Lookup Lists'!$A$7:$B$52,2,0)</f>
        <v>AHA Networks</v>
      </c>
      <c r="H96" s="10" t="s">
        <v>46</v>
      </c>
      <c r="I96" s="10" t="str">
        <f>VLOOKUP(ClientDB[[#This Row],[Country Code]],'Lookup Lists'!$D$7:$E$59,2,0)</f>
        <v>Germany</v>
      </c>
      <c r="J96" s="15">
        <v>21</v>
      </c>
      <c r="K96" s="15" t="str">
        <f>IF(ClientDB[[#This Row],[Start Date]]&gt;=$U$14,"New","")</f>
        <v/>
      </c>
      <c r="L96" s="15" t="str">
        <f>IF(AND(ClientDB[[#This Row],[Start Year]]&lt;2016,ClientDB[[#This Row],[Events]]&gt;=6),"Gift","")</f>
        <v/>
      </c>
      <c r="M9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Gold</v>
      </c>
      <c r="N96" s="15">
        <v>2</v>
      </c>
      <c r="O96" s="38">
        <f>ClientDB[[#This Row],[Days]]*(IF(ClientDB[[#This Row],[Days]]&gt;1,300,350))</f>
        <v>600</v>
      </c>
      <c r="P9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96" s="15" t="s">
        <v>900</v>
      </c>
      <c r="R96" s="15" t="str">
        <f>INDEX('Lookup Lists'!$H$7:$K$59,MATCH(ClientDB[[#This Row],[Country Code]],'Lookup Lists'!$G$7:$G$59,0),(MATCH(ClientDB[[#This Row],[Meal]],'Lookup Lists'!$H$6:$K$6,0)))</f>
        <v>A</v>
      </c>
    </row>
    <row r="97" spans="1:18" x14ac:dyDescent="0.2">
      <c r="A97" s="10">
        <v>17367</v>
      </c>
      <c r="B97" t="s">
        <v>195</v>
      </c>
      <c r="C97" t="s">
        <v>196</v>
      </c>
      <c r="D97" s="18">
        <v>42112</v>
      </c>
      <c r="E97" s="37">
        <f>YEAR(ClientDB[[#This Row],[Start Date]])</f>
        <v>2015</v>
      </c>
      <c r="F97" t="s">
        <v>802</v>
      </c>
      <c r="G97" t="str">
        <f>VLOOKUP(ClientDB[[#This Row],[Org Code]],'Lookup Lists'!$A$7:$B$52,2,0)</f>
        <v>Colot</v>
      </c>
      <c r="H97" s="10" t="s">
        <v>78</v>
      </c>
      <c r="I97" s="10" t="str">
        <f>VLOOKUP(ClientDB[[#This Row],[Country Code]],'Lookup Lists'!$D$7:$E$59,2,0)</f>
        <v>Sweden</v>
      </c>
      <c r="J97" s="15">
        <v>26</v>
      </c>
      <c r="K97" s="15" t="str">
        <f>IF(ClientDB[[#This Row],[Start Date]]&gt;=$U$14,"New","")</f>
        <v/>
      </c>
      <c r="L97" s="15" t="str">
        <f>IF(AND(ClientDB[[#This Row],[Start Year]]&lt;2016,ClientDB[[#This Row],[Events]]&gt;=6),"Gift","")</f>
        <v>Gift</v>
      </c>
      <c r="M9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Gold</v>
      </c>
      <c r="N97" s="15">
        <v>1</v>
      </c>
      <c r="O97" s="38">
        <f>ClientDB[[#This Row],[Days]]*(IF(ClientDB[[#This Row],[Days]]&gt;1,300,350))</f>
        <v>350</v>
      </c>
      <c r="P9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97" s="15" t="s">
        <v>902</v>
      </c>
      <c r="R97" s="15" t="str">
        <f>INDEX('Lookup Lists'!$H$7:$K$59,MATCH(ClientDB[[#This Row],[Country Code]],'Lookup Lists'!$G$7:$G$59,0),(MATCH(ClientDB[[#This Row],[Meal]],'Lookup Lists'!$H$6:$K$6,0)))</f>
        <v>C</v>
      </c>
    </row>
    <row r="98" spans="1:18" x14ac:dyDescent="0.2">
      <c r="A98" s="10">
        <v>17422</v>
      </c>
      <c r="B98" t="s">
        <v>723</v>
      </c>
      <c r="C98" t="s">
        <v>724</v>
      </c>
      <c r="D98" s="18">
        <v>42185</v>
      </c>
      <c r="E98" s="37">
        <f>YEAR(ClientDB[[#This Row],[Start Date]])</f>
        <v>2015</v>
      </c>
      <c r="F98" t="s">
        <v>797</v>
      </c>
      <c r="G98" t="str">
        <f>VLOOKUP(ClientDB[[#This Row],[Org Code]],'Lookup Lists'!$A$7:$B$52,2,0)</f>
        <v>ASET PLC</v>
      </c>
      <c r="H98" s="10" t="s">
        <v>311</v>
      </c>
      <c r="I98" s="10" t="str">
        <f>VLOOKUP(ClientDB[[#This Row],[Country Code]],'Lookup Lists'!$D$7:$E$59,2,0)</f>
        <v>France</v>
      </c>
      <c r="J98" s="15">
        <v>11</v>
      </c>
      <c r="K98" s="15" t="str">
        <f>IF(ClientDB[[#This Row],[Start Date]]&gt;=$U$14,"New","")</f>
        <v/>
      </c>
      <c r="L98" s="15" t="str">
        <f>IF(AND(ClientDB[[#This Row],[Start Year]]&lt;2016,ClientDB[[#This Row],[Events]]&gt;=6),"Gift","")</f>
        <v>Gift</v>
      </c>
      <c r="M9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98" s="15">
        <v>2</v>
      </c>
      <c r="O98" s="38">
        <f>ClientDB[[#This Row],[Days]]*(IF(ClientDB[[#This Row],[Days]]&gt;1,300,350))</f>
        <v>600</v>
      </c>
      <c r="P9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98" s="15" t="s">
        <v>901</v>
      </c>
      <c r="R98" s="15" t="str">
        <f>INDEX('Lookup Lists'!$H$7:$K$59,MATCH(ClientDB[[#This Row],[Country Code]],'Lookup Lists'!$G$7:$G$59,0),(MATCH(ClientDB[[#This Row],[Meal]],'Lookup Lists'!$H$6:$K$6,0)))</f>
        <v>D</v>
      </c>
    </row>
    <row r="99" spans="1:18" x14ac:dyDescent="0.2">
      <c r="A99" s="10">
        <v>17464</v>
      </c>
      <c r="B99" t="s">
        <v>432</v>
      </c>
      <c r="C99" t="s">
        <v>433</v>
      </c>
      <c r="D99" s="18">
        <v>43477</v>
      </c>
      <c r="E99" s="37">
        <f>YEAR(ClientDB[[#This Row],[Start Date]])</f>
        <v>2019</v>
      </c>
      <c r="F99" t="s">
        <v>812</v>
      </c>
      <c r="G99" t="str">
        <f>VLOOKUP(ClientDB[[#This Row],[Org Code]],'Lookup Lists'!$A$7:$B$52,2,0)</f>
        <v>Fzig Fibre</v>
      </c>
      <c r="H99" s="10" t="s">
        <v>34</v>
      </c>
      <c r="I99" s="10" t="str">
        <f>VLOOKUP(ClientDB[[#This Row],[Country Code]],'Lookup Lists'!$D$7:$E$59,2,0)</f>
        <v>United States</v>
      </c>
      <c r="J99" s="15">
        <v>11</v>
      </c>
      <c r="K99" s="15" t="str">
        <f>IF(ClientDB[[#This Row],[Start Date]]&gt;=$U$14,"New","")</f>
        <v/>
      </c>
      <c r="L99" s="15" t="str">
        <f>IF(AND(ClientDB[[#This Row],[Start Year]]&lt;2016,ClientDB[[#This Row],[Events]]&gt;=6),"Gift","")</f>
        <v/>
      </c>
      <c r="M9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99" s="15">
        <v>3</v>
      </c>
      <c r="O99" s="38">
        <f>ClientDB[[#This Row],[Days]]*(IF(ClientDB[[#This Row],[Days]]&gt;1,300,350))</f>
        <v>900</v>
      </c>
      <c r="P9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99" s="15" t="s">
        <v>901</v>
      </c>
      <c r="R99" s="15" t="str">
        <f>INDEX('Lookup Lists'!$H$7:$K$59,MATCH(ClientDB[[#This Row],[Country Code]],'Lookup Lists'!$G$7:$G$59,0),(MATCH(ClientDB[[#This Row],[Meal]],'Lookup Lists'!$H$6:$K$6,0)))</f>
        <v>G</v>
      </c>
    </row>
    <row r="100" spans="1:18" x14ac:dyDescent="0.2">
      <c r="A100" s="10">
        <v>17546</v>
      </c>
      <c r="B100" t="s">
        <v>581</v>
      </c>
      <c r="C100" t="s">
        <v>582</v>
      </c>
      <c r="D100" s="18">
        <v>43315</v>
      </c>
      <c r="E100" s="37">
        <f>YEAR(ClientDB[[#This Row],[Start Date]])</f>
        <v>2018</v>
      </c>
      <c r="F100" t="s">
        <v>834</v>
      </c>
      <c r="G100" t="str">
        <f>VLOOKUP(ClientDB[[#This Row],[Org Code]],'Lookup Lists'!$A$7:$B$52,2,0)</f>
        <v>Verisize</v>
      </c>
      <c r="H100" s="10" t="s">
        <v>38</v>
      </c>
      <c r="I100" s="10" t="str">
        <f>VLOOKUP(ClientDB[[#This Row],[Country Code]],'Lookup Lists'!$D$7:$E$59,2,0)</f>
        <v>Czech Republic</v>
      </c>
      <c r="J100" s="15">
        <v>3</v>
      </c>
      <c r="K100" s="15" t="str">
        <f>IF(ClientDB[[#This Row],[Start Date]]&gt;=$U$14,"New","")</f>
        <v/>
      </c>
      <c r="L100" s="15" t="str">
        <f>IF(AND(ClientDB[[#This Row],[Start Year]]&lt;2016,ClientDB[[#This Row],[Events]]&gt;=6),"Gift","")</f>
        <v/>
      </c>
      <c r="M10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00" s="15">
        <v>3</v>
      </c>
      <c r="O100" s="38">
        <f>ClientDB[[#This Row],[Days]]*(IF(ClientDB[[#This Row],[Days]]&gt;1,300,350))</f>
        <v>900</v>
      </c>
      <c r="P10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100" s="15" t="s">
        <v>900</v>
      </c>
      <c r="R100" s="15" t="str">
        <f>INDEX('Lookup Lists'!$H$7:$K$59,MATCH(ClientDB[[#This Row],[Country Code]],'Lookup Lists'!$G$7:$G$59,0),(MATCH(ClientDB[[#This Row],[Meal]],'Lookup Lists'!$H$6:$K$6,0)))</f>
        <v>A</v>
      </c>
    </row>
    <row r="101" spans="1:18" x14ac:dyDescent="0.2">
      <c r="A101" s="10">
        <v>17637</v>
      </c>
      <c r="B101" t="s">
        <v>583</v>
      </c>
      <c r="C101" t="s">
        <v>584</v>
      </c>
      <c r="D101" s="18">
        <v>42655</v>
      </c>
      <c r="E101" s="37">
        <f>YEAR(ClientDB[[#This Row],[Start Date]])</f>
        <v>2016</v>
      </c>
      <c r="F101" t="s">
        <v>832</v>
      </c>
      <c r="G101" t="str">
        <f>VLOOKUP(ClientDB[[#This Row],[Org Code]],'Lookup Lists'!$A$7:$B$52,2,0)</f>
        <v>TQ Processes</v>
      </c>
      <c r="H101" s="10" t="s">
        <v>155</v>
      </c>
      <c r="I101" s="10" t="str">
        <f>VLOOKUP(ClientDB[[#This Row],[Country Code]],'Lookup Lists'!$D$7:$E$59,2,0)</f>
        <v>United Arab Emirates</v>
      </c>
      <c r="J101" s="15">
        <v>6</v>
      </c>
      <c r="K101" s="15" t="str">
        <f>IF(ClientDB[[#This Row],[Start Date]]&gt;=$U$14,"New","")</f>
        <v/>
      </c>
      <c r="L101" s="15" t="str">
        <f>IF(AND(ClientDB[[#This Row],[Start Year]]&lt;2016,ClientDB[[#This Row],[Events]]&gt;=6),"Gift","")</f>
        <v/>
      </c>
      <c r="M10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01" s="15">
        <v>1</v>
      </c>
      <c r="O101" s="38">
        <f>ClientDB[[#This Row],[Days]]*(IF(ClientDB[[#This Row],[Days]]&gt;1,300,350))</f>
        <v>350</v>
      </c>
      <c r="P10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101" s="15" t="s">
        <v>900</v>
      </c>
      <c r="R101" s="15" t="str">
        <f>INDEX('Lookup Lists'!$H$7:$K$59,MATCH(ClientDB[[#This Row],[Country Code]],'Lookup Lists'!$G$7:$G$59,0),(MATCH(ClientDB[[#This Row],[Meal]],'Lookup Lists'!$H$6:$K$6,0)))</f>
        <v>A</v>
      </c>
    </row>
    <row r="102" spans="1:18" x14ac:dyDescent="0.2">
      <c r="A102" s="10">
        <v>17721</v>
      </c>
      <c r="B102" t="s">
        <v>266</v>
      </c>
      <c r="C102" t="s">
        <v>267</v>
      </c>
      <c r="D102" s="18">
        <v>42436</v>
      </c>
      <c r="E102" s="37">
        <f>YEAR(ClientDB[[#This Row],[Start Date]])</f>
        <v>2016</v>
      </c>
      <c r="F102" t="s">
        <v>797</v>
      </c>
      <c r="G102" t="str">
        <f>VLOOKUP(ClientDB[[#This Row],[Org Code]],'Lookup Lists'!$A$7:$B$52,2,0)</f>
        <v>ASET PLC</v>
      </c>
      <c r="H102" s="10" t="s">
        <v>26</v>
      </c>
      <c r="I102" s="10" t="str">
        <f>VLOOKUP(ClientDB[[#This Row],[Country Code]],'Lookup Lists'!$D$7:$E$59,2,0)</f>
        <v>Ukraine</v>
      </c>
      <c r="J102" s="15">
        <v>29</v>
      </c>
      <c r="K102" s="15" t="str">
        <f>IF(ClientDB[[#This Row],[Start Date]]&gt;=$U$14,"New","")</f>
        <v/>
      </c>
      <c r="L102" s="15" t="str">
        <f>IF(AND(ClientDB[[#This Row],[Start Year]]&lt;2016,ClientDB[[#This Row],[Events]]&gt;=6),"Gift","")</f>
        <v/>
      </c>
      <c r="M10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Gold</v>
      </c>
      <c r="N102" s="15">
        <v>2</v>
      </c>
      <c r="O102" s="38">
        <f>ClientDB[[#This Row],[Days]]*(IF(ClientDB[[#This Row],[Days]]&gt;1,300,350))</f>
        <v>600</v>
      </c>
      <c r="P10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102" s="15" t="s">
        <v>902</v>
      </c>
      <c r="R102" s="15" t="str">
        <f>INDEX('Lookup Lists'!$H$7:$K$59,MATCH(ClientDB[[#This Row],[Country Code]],'Lookup Lists'!$G$7:$G$59,0),(MATCH(ClientDB[[#This Row],[Meal]],'Lookup Lists'!$H$6:$K$6,0)))</f>
        <v>C</v>
      </c>
    </row>
    <row r="103" spans="1:18" x14ac:dyDescent="0.2">
      <c r="A103" s="10">
        <v>17721</v>
      </c>
      <c r="B103" t="s">
        <v>749</v>
      </c>
      <c r="C103" t="s">
        <v>750</v>
      </c>
      <c r="D103" s="18">
        <v>42299</v>
      </c>
      <c r="E103" s="37">
        <f>YEAR(ClientDB[[#This Row],[Start Date]])</f>
        <v>2015</v>
      </c>
      <c r="F103" t="s">
        <v>827</v>
      </c>
      <c r="G103" t="str">
        <f>VLOOKUP(ClientDB[[#This Row],[Org Code]],'Lookup Lists'!$A$7:$B$52,2,0)</f>
        <v>Ripple Com</v>
      </c>
      <c r="H103" s="10" t="s">
        <v>15</v>
      </c>
      <c r="I103" s="10" t="str">
        <f>VLOOKUP(ClientDB[[#This Row],[Country Code]],'Lookup Lists'!$D$7:$E$59,2,0)</f>
        <v>United Kingdom</v>
      </c>
      <c r="J103" s="15">
        <v>5</v>
      </c>
      <c r="K103" s="15" t="str">
        <f>IF(ClientDB[[#This Row],[Start Date]]&gt;=$U$14,"New","")</f>
        <v/>
      </c>
      <c r="L103" s="15" t="str">
        <f>IF(AND(ClientDB[[#This Row],[Start Year]]&lt;2016,ClientDB[[#This Row],[Events]]&gt;=6),"Gift","")</f>
        <v/>
      </c>
      <c r="M10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03" s="15">
        <v>3</v>
      </c>
      <c r="O103" s="38">
        <f>ClientDB[[#This Row],[Days]]*(IF(ClientDB[[#This Row],[Days]]&gt;1,300,350))</f>
        <v>900</v>
      </c>
      <c r="P10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103" s="15" t="s">
        <v>900</v>
      </c>
      <c r="R103" s="15" t="str">
        <f>INDEX('Lookup Lists'!$H$7:$K$59,MATCH(ClientDB[[#This Row],[Country Code]],'Lookup Lists'!$G$7:$G$59,0),(MATCH(ClientDB[[#This Row],[Meal]],'Lookup Lists'!$H$6:$K$6,0)))</f>
        <v>A</v>
      </c>
    </row>
    <row r="104" spans="1:18" x14ac:dyDescent="0.2">
      <c r="A104" s="10">
        <v>17769</v>
      </c>
      <c r="B104" t="s">
        <v>701</v>
      </c>
      <c r="C104" t="s">
        <v>702</v>
      </c>
      <c r="D104" s="18">
        <v>42540</v>
      </c>
      <c r="E104" s="37">
        <f>YEAR(ClientDB[[#This Row],[Start Date]])</f>
        <v>2016</v>
      </c>
      <c r="F104" t="s">
        <v>800</v>
      </c>
      <c r="G104" t="str">
        <f>VLOOKUP(ClientDB[[#This Row],[Org Code]],'Lookup Lists'!$A$7:$B$52,2,0)</f>
        <v>Chirah Technologies</v>
      </c>
      <c r="H104" s="10" t="s">
        <v>386</v>
      </c>
      <c r="I104" s="10" t="str">
        <f>VLOOKUP(ClientDB[[#This Row],[Country Code]],'Lookup Lists'!$D$7:$E$59,2,0)</f>
        <v>Belgium</v>
      </c>
      <c r="J104" s="15">
        <v>15</v>
      </c>
      <c r="K104" s="15" t="str">
        <f>IF(ClientDB[[#This Row],[Start Date]]&gt;=$U$14,"New","")</f>
        <v/>
      </c>
      <c r="L104" s="15" t="str">
        <f>IF(AND(ClientDB[[#This Row],[Start Year]]&lt;2016,ClientDB[[#This Row],[Events]]&gt;=6),"Gift","")</f>
        <v/>
      </c>
      <c r="M10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104" s="15">
        <v>3</v>
      </c>
      <c r="O104" s="38">
        <f>ClientDB[[#This Row],[Days]]*(IF(ClientDB[[#This Row],[Days]]&gt;1,300,350))</f>
        <v>900</v>
      </c>
      <c r="P10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104" s="15" t="s">
        <v>901</v>
      </c>
      <c r="R104" s="15" t="str">
        <f>INDEX('Lookup Lists'!$H$7:$K$59,MATCH(ClientDB[[#This Row],[Country Code]],'Lookup Lists'!$G$7:$G$59,0),(MATCH(ClientDB[[#This Row],[Meal]],'Lookup Lists'!$H$6:$K$6,0)))</f>
        <v>D</v>
      </c>
    </row>
    <row r="105" spans="1:18" x14ac:dyDescent="0.2">
      <c r="A105" s="10">
        <v>17805</v>
      </c>
      <c r="B105" t="s">
        <v>4</v>
      </c>
      <c r="C105" t="s">
        <v>5</v>
      </c>
      <c r="D105" s="18">
        <v>42444</v>
      </c>
      <c r="E105" s="37">
        <f>YEAR(ClientDB[[#This Row],[Start Date]])</f>
        <v>2016</v>
      </c>
      <c r="F105" t="s">
        <v>826</v>
      </c>
      <c r="G105" t="str">
        <f>VLOOKUP(ClientDB[[#This Row],[Org Code]],'Lookup Lists'!$A$7:$B$52,2,0)</f>
        <v>Respira Networks</v>
      </c>
      <c r="H105" s="10" t="s">
        <v>7</v>
      </c>
      <c r="I105" s="10" t="str">
        <f>VLOOKUP(ClientDB[[#This Row],[Country Code]],'Lookup Lists'!$D$7:$E$59,2,0)</f>
        <v>Iran</v>
      </c>
      <c r="J105" s="15">
        <v>7</v>
      </c>
      <c r="K105" s="15" t="str">
        <f>IF(ClientDB[[#This Row],[Start Date]]&gt;=$U$14,"New","")</f>
        <v/>
      </c>
      <c r="L105" s="15" t="str">
        <f>IF(AND(ClientDB[[#This Row],[Start Year]]&lt;2016,ClientDB[[#This Row],[Events]]&gt;=6),"Gift","")</f>
        <v/>
      </c>
      <c r="M10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05" s="15">
        <v>1</v>
      </c>
      <c r="O105" s="38">
        <f>ClientDB[[#This Row],[Days]]*(IF(ClientDB[[#This Row],[Days]]&gt;1,300,350))</f>
        <v>350</v>
      </c>
      <c r="P10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105" s="15" t="s">
        <v>901</v>
      </c>
      <c r="R105" s="15" t="str">
        <f>INDEX('Lookup Lists'!$H$7:$K$59,MATCH(ClientDB[[#This Row],[Country Code]],'Lookup Lists'!$G$7:$G$59,0),(MATCH(ClientDB[[#This Row],[Meal]],'Lookup Lists'!$H$6:$K$6,0)))</f>
        <v>F</v>
      </c>
    </row>
    <row r="106" spans="1:18" x14ac:dyDescent="0.2">
      <c r="A106" s="10">
        <v>18104</v>
      </c>
      <c r="B106" t="s">
        <v>370</v>
      </c>
      <c r="C106" t="s">
        <v>371</v>
      </c>
      <c r="D106" s="18">
        <v>43753</v>
      </c>
      <c r="E106" s="37">
        <f>YEAR(ClientDB[[#This Row],[Start Date]])</f>
        <v>2019</v>
      </c>
      <c r="F106" t="s">
        <v>804</v>
      </c>
      <c r="G106" t="str">
        <f>VLOOKUP(ClientDB[[#This Row],[Org Code]],'Lookup Lists'!$A$7:$B$52,2,0)</f>
        <v>Cyber Data Processing</v>
      </c>
      <c r="H106" s="10" t="s">
        <v>7</v>
      </c>
      <c r="I106" s="10" t="str">
        <f>VLOOKUP(ClientDB[[#This Row],[Country Code]],'Lookup Lists'!$D$7:$E$59,2,0)</f>
        <v>Iran</v>
      </c>
      <c r="J106" s="15">
        <v>10</v>
      </c>
      <c r="K106" s="15" t="str">
        <f>IF(ClientDB[[#This Row],[Start Date]]&gt;=$U$14,"New","")</f>
        <v/>
      </c>
      <c r="L106" s="15" t="str">
        <f>IF(AND(ClientDB[[#This Row],[Start Year]]&lt;2016,ClientDB[[#This Row],[Events]]&gt;=6),"Gift","")</f>
        <v/>
      </c>
      <c r="M10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106" s="15">
        <v>1</v>
      </c>
      <c r="O106" s="38">
        <f>ClientDB[[#This Row],[Days]]*(IF(ClientDB[[#This Row],[Days]]&gt;1,300,350))</f>
        <v>350</v>
      </c>
      <c r="P10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106" s="15" t="s">
        <v>900</v>
      </c>
      <c r="R106" s="15" t="str">
        <f>INDEX('Lookup Lists'!$H$7:$K$59,MATCH(ClientDB[[#This Row],[Country Code]],'Lookup Lists'!$G$7:$G$59,0),(MATCH(ClientDB[[#This Row],[Meal]],'Lookup Lists'!$H$6:$K$6,0)))</f>
        <v>A</v>
      </c>
    </row>
    <row r="107" spans="1:18" x14ac:dyDescent="0.2">
      <c r="A107" s="10">
        <v>18235</v>
      </c>
      <c r="B107" t="s">
        <v>23</v>
      </c>
      <c r="C107" t="s">
        <v>24</v>
      </c>
      <c r="D107" s="18">
        <v>43227</v>
      </c>
      <c r="E107" s="37">
        <f>YEAR(ClientDB[[#This Row],[Start Date]])</f>
        <v>2018</v>
      </c>
      <c r="F107" t="s">
        <v>837</v>
      </c>
      <c r="G107" t="str">
        <f>VLOOKUP(ClientDB[[#This Row],[Org Code]],'Lookup Lists'!$A$7:$B$52,2,0)</f>
        <v>WWT</v>
      </c>
      <c r="H107" s="10" t="s">
        <v>26</v>
      </c>
      <c r="I107" s="10" t="str">
        <f>VLOOKUP(ClientDB[[#This Row],[Country Code]],'Lookup Lists'!$D$7:$E$59,2,0)</f>
        <v>Ukraine</v>
      </c>
      <c r="J107" s="15">
        <v>8</v>
      </c>
      <c r="K107" s="15" t="str">
        <f>IF(ClientDB[[#This Row],[Start Date]]&gt;=$U$14,"New","")</f>
        <v/>
      </c>
      <c r="L107" s="15" t="str">
        <f>IF(AND(ClientDB[[#This Row],[Start Year]]&lt;2016,ClientDB[[#This Row],[Events]]&gt;=6),"Gift","")</f>
        <v/>
      </c>
      <c r="M10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07" s="15">
        <v>2</v>
      </c>
      <c r="O107" s="38">
        <f>ClientDB[[#This Row],[Days]]*(IF(ClientDB[[#This Row],[Days]]&gt;1,300,350))</f>
        <v>600</v>
      </c>
      <c r="P10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107" s="15" t="s">
        <v>901</v>
      </c>
      <c r="R107" s="15" t="str">
        <f>INDEX('Lookup Lists'!$H$7:$K$59,MATCH(ClientDB[[#This Row],[Country Code]],'Lookup Lists'!$G$7:$G$59,0),(MATCH(ClientDB[[#This Row],[Meal]],'Lookup Lists'!$H$6:$K$6,0)))</f>
        <v>G</v>
      </c>
    </row>
    <row r="108" spans="1:18" x14ac:dyDescent="0.2">
      <c r="A108" s="10">
        <v>18253</v>
      </c>
      <c r="B108" t="s">
        <v>167</v>
      </c>
      <c r="C108" t="s">
        <v>751</v>
      </c>
      <c r="D108" s="18">
        <v>42338</v>
      </c>
      <c r="E108" s="37">
        <f>YEAR(ClientDB[[#This Row],[Start Date]])</f>
        <v>2015</v>
      </c>
      <c r="F108" t="s">
        <v>832</v>
      </c>
      <c r="G108" t="str">
        <f>VLOOKUP(ClientDB[[#This Row],[Org Code]],'Lookup Lists'!$A$7:$B$52,2,0)</f>
        <v>TQ Processes</v>
      </c>
      <c r="H108" s="10" t="s">
        <v>97</v>
      </c>
      <c r="I108" s="10" t="str">
        <f>VLOOKUP(ClientDB[[#This Row],[Country Code]],'Lookup Lists'!$D$7:$E$59,2,0)</f>
        <v>Ireland</v>
      </c>
      <c r="J108" s="15">
        <v>11</v>
      </c>
      <c r="K108" s="15" t="str">
        <f>IF(ClientDB[[#This Row],[Start Date]]&gt;=$U$14,"New","")</f>
        <v/>
      </c>
      <c r="L108" s="15" t="str">
        <f>IF(AND(ClientDB[[#This Row],[Start Year]]&lt;2016,ClientDB[[#This Row],[Events]]&gt;=6),"Gift","")</f>
        <v>Gift</v>
      </c>
      <c r="M10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108" s="15">
        <v>2</v>
      </c>
      <c r="O108" s="38">
        <f>ClientDB[[#This Row],[Days]]*(IF(ClientDB[[#This Row],[Days]]&gt;1,300,350))</f>
        <v>600</v>
      </c>
      <c r="P10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108" s="15" t="s">
        <v>900</v>
      </c>
      <c r="R108" s="15" t="str">
        <f>INDEX('Lookup Lists'!$H$7:$K$59,MATCH(ClientDB[[#This Row],[Country Code]],'Lookup Lists'!$G$7:$G$59,0),(MATCH(ClientDB[[#This Row],[Meal]],'Lookup Lists'!$H$6:$K$6,0)))</f>
        <v>A</v>
      </c>
    </row>
    <row r="109" spans="1:18" x14ac:dyDescent="0.2">
      <c r="A109" s="10">
        <v>18366</v>
      </c>
      <c r="B109" t="s">
        <v>229</v>
      </c>
      <c r="C109" t="s">
        <v>230</v>
      </c>
      <c r="D109" s="18">
        <v>42580</v>
      </c>
      <c r="E109" s="37">
        <f>YEAR(ClientDB[[#This Row],[Start Date]])</f>
        <v>2016</v>
      </c>
      <c r="F109" t="s">
        <v>839</v>
      </c>
      <c r="G109" t="str">
        <f>VLOOKUP(ClientDB[[#This Row],[Org Code]],'Lookup Lists'!$A$7:$B$52,2,0)</f>
        <v>Zconnect, Inc</v>
      </c>
      <c r="H109" s="10" t="s">
        <v>26</v>
      </c>
      <c r="I109" s="10" t="str">
        <f>VLOOKUP(ClientDB[[#This Row],[Country Code]],'Lookup Lists'!$D$7:$E$59,2,0)</f>
        <v>Ukraine</v>
      </c>
      <c r="J109" s="15">
        <v>5</v>
      </c>
      <c r="K109" s="15" t="str">
        <f>IF(ClientDB[[#This Row],[Start Date]]&gt;=$U$14,"New","")</f>
        <v/>
      </c>
      <c r="L109" s="15" t="str">
        <f>IF(AND(ClientDB[[#This Row],[Start Year]]&lt;2016,ClientDB[[#This Row],[Events]]&gt;=6),"Gift","")</f>
        <v/>
      </c>
      <c r="M10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09" s="15">
        <v>3</v>
      </c>
      <c r="O109" s="38">
        <f>ClientDB[[#This Row],[Days]]*(IF(ClientDB[[#This Row],[Days]]&gt;1,300,350))</f>
        <v>900</v>
      </c>
      <c r="P10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109" s="15" t="s">
        <v>899</v>
      </c>
      <c r="R109" s="15" t="str">
        <f>INDEX('Lookup Lists'!$H$7:$K$59,MATCH(ClientDB[[#This Row],[Country Code]],'Lookup Lists'!$G$7:$G$59,0),(MATCH(ClientDB[[#This Row],[Meal]],'Lookup Lists'!$H$6:$K$6,0)))</f>
        <v>B</v>
      </c>
    </row>
    <row r="110" spans="1:18" x14ac:dyDescent="0.2">
      <c r="A110" s="10">
        <v>18487</v>
      </c>
      <c r="B110" t="s">
        <v>323</v>
      </c>
      <c r="C110" t="s">
        <v>508</v>
      </c>
      <c r="D110" s="18">
        <v>42515</v>
      </c>
      <c r="E110" s="37">
        <f>YEAR(ClientDB[[#This Row],[Start Date]])</f>
        <v>2016</v>
      </c>
      <c r="F110" t="s">
        <v>796</v>
      </c>
      <c r="G110" t="str">
        <f>VLOOKUP(ClientDB[[#This Row],[Org Code]],'Lookup Lists'!$A$7:$B$52,2,0)</f>
        <v>Ares</v>
      </c>
      <c r="H110" s="10" t="s">
        <v>46</v>
      </c>
      <c r="I110" s="10" t="str">
        <f>VLOOKUP(ClientDB[[#This Row],[Country Code]],'Lookup Lists'!$D$7:$E$59,2,0)</f>
        <v>Germany</v>
      </c>
      <c r="J110" s="15">
        <v>8</v>
      </c>
      <c r="K110" s="15" t="str">
        <f>IF(ClientDB[[#This Row],[Start Date]]&gt;=$U$14,"New","")</f>
        <v/>
      </c>
      <c r="L110" s="15" t="str">
        <f>IF(AND(ClientDB[[#This Row],[Start Year]]&lt;2016,ClientDB[[#This Row],[Events]]&gt;=6),"Gift","")</f>
        <v/>
      </c>
      <c r="M11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10" s="15">
        <v>1</v>
      </c>
      <c r="O110" s="38">
        <f>ClientDB[[#This Row],[Days]]*(IF(ClientDB[[#This Row],[Days]]&gt;1,300,350))</f>
        <v>350</v>
      </c>
      <c r="P11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110" s="15" t="s">
        <v>901</v>
      </c>
      <c r="R110" s="15" t="str">
        <f>INDEX('Lookup Lists'!$H$7:$K$59,MATCH(ClientDB[[#This Row],[Country Code]],'Lookup Lists'!$G$7:$G$59,0),(MATCH(ClientDB[[#This Row],[Meal]],'Lookup Lists'!$H$6:$K$6,0)))</f>
        <v>D</v>
      </c>
    </row>
    <row r="111" spans="1:18" x14ac:dyDescent="0.2">
      <c r="A111" s="10">
        <v>18489</v>
      </c>
      <c r="B111" t="s">
        <v>156</v>
      </c>
      <c r="C111" t="s">
        <v>157</v>
      </c>
      <c r="D111" s="18">
        <v>43486</v>
      </c>
      <c r="E111" s="37">
        <f>YEAR(ClientDB[[#This Row],[Start Date]])</f>
        <v>2019</v>
      </c>
      <c r="F111" t="s">
        <v>796</v>
      </c>
      <c r="G111" t="str">
        <f>VLOOKUP(ClientDB[[#This Row],[Org Code]],'Lookup Lists'!$A$7:$B$52,2,0)</f>
        <v>Ares</v>
      </c>
      <c r="H111" s="10" t="s">
        <v>84</v>
      </c>
      <c r="I111" s="10" t="str">
        <f>VLOOKUP(ClientDB[[#This Row],[Country Code]],'Lookup Lists'!$D$7:$E$59,2,0)</f>
        <v>Norway</v>
      </c>
      <c r="J111" s="15">
        <v>6</v>
      </c>
      <c r="K111" s="15" t="str">
        <f>IF(ClientDB[[#This Row],[Start Date]]&gt;=$U$14,"New","")</f>
        <v/>
      </c>
      <c r="L111" s="15" t="str">
        <f>IF(AND(ClientDB[[#This Row],[Start Year]]&lt;2016,ClientDB[[#This Row],[Events]]&gt;=6),"Gift","")</f>
        <v/>
      </c>
      <c r="M11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11" s="15">
        <v>2</v>
      </c>
      <c r="O111" s="38">
        <f>ClientDB[[#This Row],[Days]]*(IF(ClientDB[[#This Row],[Days]]&gt;1,300,350))</f>
        <v>600</v>
      </c>
      <c r="P11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111" s="15" t="s">
        <v>901</v>
      </c>
      <c r="R111" s="15" t="str">
        <f>INDEX('Lookup Lists'!$H$7:$K$59,MATCH(ClientDB[[#This Row],[Country Code]],'Lookup Lists'!$G$7:$G$59,0),(MATCH(ClientDB[[#This Row],[Meal]],'Lookup Lists'!$H$6:$K$6,0)))</f>
        <v>F</v>
      </c>
    </row>
    <row r="112" spans="1:18" x14ac:dyDescent="0.2">
      <c r="A112" s="10">
        <v>18528</v>
      </c>
      <c r="B112" t="s">
        <v>742</v>
      </c>
      <c r="C112" t="s">
        <v>743</v>
      </c>
      <c r="D112" s="18">
        <v>43952</v>
      </c>
      <c r="E112" s="37">
        <f>YEAR(ClientDB[[#This Row],[Start Date]])</f>
        <v>2020</v>
      </c>
      <c r="F112" t="s">
        <v>821</v>
      </c>
      <c r="G112" t="str">
        <f>VLOOKUP(ClientDB[[#This Row],[Org Code]],'Lookup Lists'!$A$7:$B$52,2,0)</f>
        <v>Parmis Technologies</v>
      </c>
      <c r="H112" s="10" t="s">
        <v>277</v>
      </c>
      <c r="I112" s="10" t="str">
        <f>VLOOKUP(ClientDB[[#This Row],[Country Code]],'Lookup Lists'!$D$7:$E$59,2,0)</f>
        <v>Saudi Arabia</v>
      </c>
      <c r="J112" s="15">
        <v>3</v>
      </c>
      <c r="K112" s="15" t="str">
        <f>IF(ClientDB[[#This Row],[Start Date]]&gt;=$U$14,"New","")</f>
        <v>New</v>
      </c>
      <c r="L112" s="15" t="str">
        <f>IF(AND(ClientDB[[#This Row],[Start Year]]&lt;2016,ClientDB[[#This Row],[Events]]&gt;=6),"Gift","")</f>
        <v/>
      </c>
      <c r="M11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12" s="15">
        <v>2</v>
      </c>
      <c r="O112" s="38">
        <f>ClientDB[[#This Row],[Days]]*(IF(ClientDB[[#This Row],[Days]]&gt;1,300,350))</f>
        <v>600</v>
      </c>
      <c r="P11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112" s="15" t="s">
        <v>900</v>
      </c>
      <c r="R112" s="15" t="str">
        <f>INDEX('Lookup Lists'!$H$7:$K$59,MATCH(ClientDB[[#This Row],[Country Code]],'Lookup Lists'!$G$7:$G$59,0),(MATCH(ClientDB[[#This Row],[Meal]],'Lookup Lists'!$H$6:$K$6,0)))</f>
        <v>C</v>
      </c>
    </row>
    <row r="113" spans="1:18" x14ac:dyDescent="0.2">
      <c r="A113" s="10">
        <v>18536</v>
      </c>
      <c r="B113" t="s">
        <v>231</v>
      </c>
      <c r="C113" t="s">
        <v>232</v>
      </c>
      <c r="D113" s="18">
        <v>42602</v>
      </c>
      <c r="E113" s="37">
        <f>YEAR(ClientDB[[#This Row],[Start Date]])</f>
        <v>2016</v>
      </c>
      <c r="F113" t="s">
        <v>816</v>
      </c>
      <c r="G113" t="str">
        <f>VLOOKUP(ClientDB[[#This Row],[Org Code]],'Lookup Lists'!$A$7:$B$52,2,0)</f>
        <v>IPI Bucharest</v>
      </c>
      <c r="H113" s="10" t="s">
        <v>54</v>
      </c>
      <c r="I113" s="10" t="str">
        <f>VLOOKUP(ClientDB[[#This Row],[Country Code]],'Lookup Lists'!$D$7:$E$59,2,0)</f>
        <v>Romania</v>
      </c>
      <c r="J113" s="15">
        <v>9</v>
      </c>
      <c r="K113" s="15" t="str">
        <f>IF(ClientDB[[#This Row],[Start Date]]&gt;=$U$14,"New","")</f>
        <v/>
      </c>
      <c r="L113" s="15" t="str">
        <f>IF(AND(ClientDB[[#This Row],[Start Year]]&lt;2016,ClientDB[[#This Row],[Events]]&gt;=6),"Gift","")</f>
        <v/>
      </c>
      <c r="M11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13" s="15">
        <v>1</v>
      </c>
      <c r="O113" s="38">
        <f>ClientDB[[#This Row],[Days]]*(IF(ClientDB[[#This Row],[Days]]&gt;1,300,350))</f>
        <v>350</v>
      </c>
      <c r="P11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113" s="15" t="s">
        <v>901</v>
      </c>
      <c r="R113" s="15" t="str">
        <f>INDEX('Lookup Lists'!$H$7:$K$59,MATCH(ClientDB[[#This Row],[Country Code]],'Lookup Lists'!$G$7:$G$59,0),(MATCH(ClientDB[[#This Row],[Meal]],'Lookup Lists'!$H$6:$K$6,0)))</f>
        <v>G</v>
      </c>
    </row>
    <row r="114" spans="1:18" x14ac:dyDescent="0.2">
      <c r="A114" s="10">
        <v>18610</v>
      </c>
      <c r="B114" t="s">
        <v>350</v>
      </c>
      <c r="C114" t="s">
        <v>766</v>
      </c>
      <c r="D114" s="18">
        <v>43784</v>
      </c>
      <c r="E114" s="37">
        <f>YEAR(ClientDB[[#This Row],[Start Date]])</f>
        <v>2019</v>
      </c>
      <c r="F114" t="s">
        <v>804</v>
      </c>
      <c r="G114" t="str">
        <f>VLOOKUP(ClientDB[[#This Row],[Org Code]],'Lookup Lists'!$A$7:$B$52,2,0)</f>
        <v>Cyber Data Processing</v>
      </c>
      <c r="H114" s="10" t="s">
        <v>15</v>
      </c>
      <c r="I114" s="10" t="str">
        <f>VLOOKUP(ClientDB[[#This Row],[Country Code]],'Lookup Lists'!$D$7:$E$59,2,0)</f>
        <v>United Kingdom</v>
      </c>
      <c r="J114" s="15">
        <v>8</v>
      </c>
      <c r="K114" s="15" t="str">
        <f>IF(ClientDB[[#This Row],[Start Date]]&gt;=$U$14,"New","")</f>
        <v/>
      </c>
      <c r="L114" s="15" t="str">
        <f>IF(AND(ClientDB[[#This Row],[Start Year]]&lt;2016,ClientDB[[#This Row],[Events]]&gt;=6),"Gift","")</f>
        <v/>
      </c>
      <c r="M11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14" s="15">
        <v>3</v>
      </c>
      <c r="O114" s="38">
        <f>ClientDB[[#This Row],[Days]]*(IF(ClientDB[[#This Row],[Days]]&gt;1,300,350))</f>
        <v>900</v>
      </c>
      <c r="P11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114" s="15" t="s">
        <v>899</v>
      </c>
      <c r="R114" s="15" t="str">
        <f>INDEX('Lookup Lists'!$H$7:$K$59,MATCH(ClientDB[[#This Row],[Country Code]],'Lookup Lists'!$G$7:$G$59,0),(MATCH(ClientDB[[#This Row],[Meal]],'Lookup Lists'!$H$6:$K$6,0)))</f>
        <v>A</v>
      </c>
    </row>
    <row r="115" spans="1:18" x14ac:dyDescent="0.2">
      <c r="A115" s="10">
        <v>18895</v>
      </c>
      <c r="B115" t="s">
        <v>242</v>
      </c>
      <c r="C115" t="s">
        <v>243</v>
      </c>
      <c r="D115" s="18">
        <v>43188</v>
      </c>
      <c r="E115" s="37">
        <f>YEAR(ClientDB[[#This Row],[Start Date]])</f>
        <v>2018</v>
      </c>
      <c r="F115" t="s">
        <v>798</v>
      </c>
      <c r="G115" t="str">
        <f>VLOOKUP(ClientDB[[#This Row],[Org Code]],'Lookup Lists'!$A$7:$B$52,2,0)</f>
        <v>Axell Group</v>
      </c>
      <c r="H115" s="10" t="s">
        <v>146</v>
      </c>
      <c r="I115" s="10" t="str">
        <f>VLOOKUP(ClientDB[[#This Row],[Country Code]],'Lookup Lists'!$D$7:$E$59,2,0)</f>
        <v>Russia</v>
      </c>
      <c r="J115" s="15">
        <v>12</v>
      </c>
      <c r="K115" s="15" t="str">
        <f>IF(ClientDB[[#This Row],[Start Date]]&gt;=$U$14,"New","")</f>
        <v/>
      </c>
      <c r="L115" s="15" t="str">
        <f>IF(AND(ClientDB[[#This Row],[Start Year]]&lt;2016,ClientDB[[#This Row],[Events]]&gt;=6),"Gift","")</f>
        <v/>
      </c>
      <c r="M11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115" s="15">
        <v>3</v>
      </c>
      <c r="O115" s="38">
        <f>ClientDB[[#This Row],[Days]]*(IF(ClientDB[[#This Row],[Days]]&gt;1,300,350))</f>
        <v>900</v>
      </c>
      <c r="P11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115" s="15" t="s">
        <v>901</v>
      </c>
      <c r="R115" s="15" t="str">
        <f>INDEX('Lookup Lists'!$H$7:$K$59,MATCH(ClientDB[[#This Row],[Country Code]],'Lookup Lists'!$G$7:$G$59,0),(MATCH(ClientDB[[#This Row],[Meal]],'Lookup Lists'!$H$6:$K$6,0)))</f>
        <v>G</v>
      </c>
    </row>
    <row r="116" spans="1:18" x14ac:dyDescent="0.2">
      <c r="A116" s="10">
        <v>19009</v>
      </c>
      <c r="B116" t="s">
        <v>768</v>
      </c>
      <c r="C116" t="s">
        <v>769</v>
      </c>
      <c r="D116" s="18">
        <v>43038</v>
      </c>
      <c r="E116" s="37">
        <f>YEAR(ClientDB[[#This Row],[Start Date]])</f>
        <v>2017</v>
      </c>
      <c r="F116" t="s">
        <v>824</v>
      </c>
      <c r="G116" t="str">
        <f>VLOOKUP(ClientDB[[#This Row],[Org Code]],'Lookup Lists'!$A$7:$B$52,2,0)</f>
        <v>Pink Cloud Networks</v>
      </c>
      <c r="H116" s="10" t="s">
        <v>59</v>
      </c>
      <c r="I116" s="10" t="str">
        <f>VLOOKUP(ClientDB[[#This Row],[Country Code]],'Lookup Lists'!$D$7:$E$59,2,0)</f>
        <v>Netherlands</v>
      </c>
      <c r="J116" s="15">
        <v>3</v>
      </c>
      <c r="K116" s="15" t="str">
        <f>IF(ClientDB[[#This Row],[Start Date]]&gt;=$U$14,"New","")</f>
        <v/>
      </c>
      <c r="L116" s="15" t="str">
        <f>IF(AND(ClientDB[[#This Row],[Start Year]]&lt;2016,ClientDB[[#This Row],[Events]]&gt;=6),"Gift","")</f>
        <v/>
      </c>
      <c r="M11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16" s="15">
        <v>1</v>
      </c>
      <c r="O116" s="38">
        <f>ClientDB[[#This Row],[Days]]*(IF(ClientDB[[#This Row],[Days]]&gt;1,300,350))</f>
        <v>350</v>
      </c>
      <c r="P11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116" s="15" t="s">
        <v>901</v>
      </c>
      <c r="R116" s="15" t="str">
        <f>INDEX('Lookup Lists'!$H$7:$K$59,MATCH(ClientDB[[#This Row],[Country Code]],'Lookup Lists'!$G$7:$G$59,0),(MATCH(ClientDB[[#This Row],[Meal]],'Lookup Lists'!$H$6:$K$6,0)))</f>
        <v>F</v>
      </c>
    </row>
    <row r="117" spans="1:18" x14ac:dyDescent="0.2">
      <c r="A117" s="10">
        <v>19381</v>
      </c>
      <c r="B117" t="s">
        <v>497</v>
      </c>
      <c r="C117" t="s">
        <v>498</v>
      </c>
      <c r="D117" s="18">
        <v>42915</v>
      </c>
      <c r="E117" s="37">
        <f>YEAR(ClientDB[[#This Row],[Start Date]])</f>
        <v>2017</v>
      </c>
      <c r="F117" t="s">
        <v>835</v>
      </c>
      <c r="G117" t="str">
        <f>VLOOKUP(ClientDB[[#This Row],[Org Code]],'Lookup Lists'!$A$7:$B$52,2,0)</f>
        <v>West Telco</v>
      </c>
      <c r="H117" s="10" t="s">
        <v>46</v>
      </c>
      <c r="I117" s="10" t="str">
        <f>VLOOKUP(ClientDB[[#This Row],[Country Code]],'Lookup Lists'!$D$7:$E$59,2,0)</f>
        <v>Germany</v>
      </c>
      <c r="J117" s="15">
        <v>6</v>
      </c>
      <c r="K117" s="15" t="str">
        <f>IF(ClientDB[[#This Row],[Start Date]]&gt;=$U$14,"New","")</f>
        <v/>
      </c>
      <c r="L117" s="15" t="str">
        <f>IF(AND(ClientDB[[#This Row],[Start Year]]&lt;2016,ClientDB[[#This Row],[Events]]&gt;=6),"Gift","")</f>
        <v/>
      </c>
      <c r="M11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17" s="15">
        <v>3</v>
      </c>
      <c r="O117" s="38">
        <f>ClientDB[[#This Row],[Days]]*(IF(ClientDB[[#This Row],[Days]]&gt;1,300,350))</f>
        <v>900</v>
      </c>
      <c r="P11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117" s="15" t="s">
        <v>899</v>
      </c>
      <c r="R117" s="15" t="str">
        <f>INDEX('Lookup Lists'!$H$7:$K$59,MATCH(ClientDB[[#This Row],[Country Code]],'Lookup Lists'!$G$7:$G$59,0),(MATCH(ClientDB[[#This Row],[Meal]],'Lookup Lists'!$H$6:$K$6,0)))</f>
        <v>A</v>
      </c>
    </row>
    <row r="118" spans="1:18" x14ac:dyDescent="0.2">
      <c r="A118" s="10">
        <v>19467</v>
      </c>
      <c r="B118" t="s">
        <v>721</v>
      </c>
      <c r="C118" t="s">
        <v>722</v>
      </c>
      <c r="D118" s="18">
        <v>42388</v>
      </c>
      <c r="E118" s="37">
        <f>YEAR(ClientDB[[#This Row],[Start Date]])</f>
        <v>2016</v>
      </c>
      <c r="F118" t="s">
        <v>827</v>
      </c>
      <c r="G118" t="str">
        <f>VLOOKUP(ClientDB[[#This Row],[Org Code]],'Lookup Lists'!$A$7:$B$52,2,0)</f>
        <v>Ripple Com</v>
      </c>
      <c r="H118" s="10" t="s">
        <v>15</v>
      </c>
      <c r="I118" s="10" t="str">
        <f>VLOOKUP(ClientDB[[#This Row],[Country Code]],'Lookup Lists'!$D$7:$E$59,2,0)</f>
        <v>United Kingdom</v>
      </c>
      <c r="J118" s="15">
        <v>13</v>
      </c>
      <c r="K118" s="15" t="str">
        <f>IF(ClientDB[[#This Row],[Start Date]]&gt;=$U$14,"New","")</f>
        <v/>
      </c>
      <c r="L118" s="15" t="str">
        <f>IF(AND(ClientDB[[#This Row],[Start Year]]&lt;2016,ClientDB[[#This Row],[Events]]&gt;=6),"Gift","")</f>
        <v/>
      </c>
      <c r="M11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118" s="15">
        <v>1</v>
      </c>
      <c r="O118" s="38">
        <f>ClientDB[[#This Row],[Days]]*(IF(ClientDB[[#This Row],[Days]]&gt;1,300,350))</f>
        <v>350</v>
      </c>
      <c r="P11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118" s="15" t="s">
        <v>901</v>
      </c>
      <c r="R118" s="15" t="str">
        <f>INDEX('Lookup Lists'!$H$7:$K$59,MATCH(ClientDB[[#This Row],[Country Code]],'Lookup Lists'!$G$7:$G$59,0),(MATCH(ClientDB[[#This Row],[Meal]],'Lookup Lists'!$H$6:$K$6,0)))</f>
        <v>E</v>
      </c>
    </row>
    <row r="119" spans="1:18" x14ac:dyDescent="0.2">
      <c r="A119" s="10">
        <v>19488</v>
      </c>
      <c r="B119" t="s">
        <v>81</v>
      </c>
      <c r="C119" t="s">
        <v>82</v>
      </c>
      <c r="D119" s="18">
        <v>42327</v>
      </c>
      <c r="E119" s="37">
        <f>YEAR(ClientDB[[#This Row],[Start Date]])</f>
        <v>2015</v>
      </c>
      <c r="F119" t="s">
        <v>828</v>
      </c>
      <c r="G119" t="str">
        <f>VLOOKUP(ClientDB[[#This Row],[Org Code]],'Lookup Lists'!$A$7:$B$52,2,0)</f>
        <v>Shaw Construction</v>
      </c>
      <c r="H119" s="10" t="s">
        <v>84</v>
      </c>
      <c r="I119" s="10" t="str">
        <f>VLOOKUP(ClientDB[[#This Row],[Country Code]],'Lookup Lists'!$D$7:$E$59,2,0)</f>
        <v>Norway</v>
      </c>
      <c r="J119" s="15">
        <v>21</v>
      </c>
      <c r="K119" s="15" t="str">
        <f>IF(ClientDB[[#This Row],[Start Date]]&gt;=$U$14,"New","")</f>
        <v/>
      </c>
      <c r="L119" s="15" t="str">
        <f>IF(AND(ClientDB[[#This Row],[Start Year]]&lt;2016,ClientDB[[#This Row],[Events]]&gt;=6),"Gift","")</f>
        <v>Gift</v>
      </c>
      <c r="M11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Gold</v>
      </c>
      <c r="N119" s="15">
        <v>2</v>
      </c>
      <c r="O119" s="38">
        <f>ClientDB[[#This Row],[Days]]*(IF(ClientDB[[#This Row],[Days]]&gt;1,300,350))</f>
        <v>600</v>
      </c>
      <c r="P11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119" s="15" t="s">
        <v>901</v>
      </c>
      <c r="R119" s="15" t="str">
        <f>INDEX('Lookup Lists'!$H$7:$K$59,MATCH(ClientDB[[#This Row],[Country Code]],'Lookup Lists'!$G$7:$G$59,0),(MATCH(ClientDB[[#This Row],[Meal]],'Lookup Lists'!$H$6:$K$6,0)))</f>
        <v>F</v>
      </c>
    </row>
    <row r="120" spans="1:18" x14ac:dyDescent="0.2">
      <c r="A120" s="10">
        <v>19639</v>
      </c>
      <c r="B120" t="s">
        <v>135</v>
      </c>
      <c r="C120" t="s">
        <v>577</v>
      </c>
      <c r="D120" s="18">
        <v>42786</v>
      </c>
      <c r="E120" s="37">
        <f>YEAR(ClientDB[[#This Row],[Start Date]])</f>
        <v>2017</v>
      </c>
      <c r="F120" t="s">
        <v>815</v>
      </c>
      <c r="G120" t="str">
        <f>VLOOKUP(ClientDB[[#This Row],[Org Code]],'Lookup Lists'!$A$7:$B$52,2,0)</f>
        <v>Intelligence Systems</v>
      </c>
      <c r="H120" s="10" t="s">
        <v>578</v>
      </c>
      <c r="I120" s="10" t="str">
        <f>VLOOKUP(ClientDB[[#This Row],[Country Code]],'Lookup Lists'!$D$7:$E$59,2,0)</f>
        <v>Canada</v>
      </c>
      <c r="J120" s="15">
        <v>10</v>
      </c>
      <c r="K120" s="15" t="str">
        <f>IF(ClientDB[[#This Row],[Start Date]]&gt;=$U$14,"New","")</f>
        <v/>
      </c>
      <c r="L120" s="15" t="str">
        <f>IF(AND(ClientDB[[#This Row],[Start Year]]&lt;2016,ClientDB[[#This Row],[Events]]&gt;=6),"Gift","")</f>
        <v/>
      </c>
      <c r="M12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120" s="15">
        <v>1</v>
      </c>
      <c r="O120" s="38">
        <f>ClientDB[[#This Row],[Days]]*(IF(ClientDB[[#This Row],[Days]]&gt;1,300,350))</f>
        <v>350</v>
      </c>
      <c r="P12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120" s="15" t="s">
        <v>902</v>
      </c>
      <c r="R120" s="15" t="str">
        <f>INDEX('Lookup Lists'!$H$7:$K$59,MATCH(ClientDB[[#This Row],[Country Code]],'Lookup Lists'!$G$7:$G$59,0),(MATCH(ClientDB[[#This Row],[Meal]],'Lookup Lists'!$H$6:$K$6,0)))</f>
        <v>B</v>
      </c>
    </row>
    <row r="121" spans="1:18" x14ac:dyDescent="0.2">
      <c r="A121" s="10">
        <v>19766</v>
      </c>
      <c r="B121" t="s">
        <v>216</v>
      </c>
      <c r="C121" t="s">
        <v>217</v>
      </c>
      <c r="D121" s="18">
        <v>43445</v>
      </c>
      <c r="E121" s="37">
        <f>YEAR(ClientDB[[#This Row],[Start Date]])</f>
        <v>2018</v>
      </c>
      <c r="F121" t="s">
        <v>839</v>
      </c>
      <c r="G121" t="str">
        <f>VLOOKUP(ClientDB[[#This Row],[Org Code]],'Lookup Lists'!$A$7:$B$52,2,0)</f>
        <v>Zconnect, Inc</v>
      </c>
      <c r="H121" s="10" t="s">
        <v>218</v>
      </c>
      <c r="I121" s="10" t="str">
        <f>VLOOKUP(ClientDB[[#This Row],[Country Code]],'Lookup Lists'!$D$7:$E$59,2,0)</f>
        <v>Estonia</v>
      </c>
      <c r="J121" s="15">
        <v>5</v>
      </c>
      <c r="K121" s="15" t="str">
        <f>IF(ClientDB[[#This Row],[Start Date]]&gt;=$U$14,"New","")</f>
        <v/>
      </c>
      <c r="L121" s="15" t="str">
        <f>IF(AND(ClientDB[[#This Row],[Start Year]]&lt;2016,ClientDB[[#This Row],[Events]]&gt;=6),"Gift","")</f>
        <v/>
      </c>
      <c r="M12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21" s="15">
        <v>3</v>
      </c>
      <c r="O121" s="38">
        <f>ClientDB[[#This Row],[Days]]*(IF(ClientDB[[#This Row],[Days]]&gt;1,300,350))</f>
        <v>900</v>
      </c>
      <c r="P12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121" s="15" t="s">
        <v>901</v>
      </c>
      <c r="R121" s="15" t="str">
        <f>INDEX('Lookup Lists'!$H$7:$K$59,MATCH(ClientDB[[#This Row],[Country Code]],'Lookup Lists'!$G$7:$G$59,0),(MATCH(ClientDB[[#This Row],[Meal]],'Lookup Lists'!$H$6:$K$6,0)))</f>
        <v>D</v>
      </c>
    </row>
    <row r="122" spans="1:18" x14ac:dyDescent="0.2">
      <c r="A122" s="10">
        <v>20093</v>
      </c>
      <c r="B122" t="s">
        <v>557</v>
      </c>
      <c r="C122" t="s">
        <v>558</v>
      </c>
      <c r="D122" s="18">
        <v>42403</v>
      </c>
      <c r="E122" s="37">
        <f>YEAR(ClientDB[[#This Row],[Start Date]])</f>
        <v>2016</v>
      </c>
      <c r="F122" t="s">
        <v>827</v>
      </c>
      <c r="G122" t="str">
        <f>VLOOKUP(ClientDB[[#This Row],[Org Code]],'Lookup Lists'!$A$7:$B$52,2,0)</f>
        <v>Ripple Com</v>
      </c>
      <c r="H122" s="10" t="s">
        <v>15</v>
      </c>
      <c r="I122" s="10" t="str">
        <f>VLOOKUP(ClientDB[[#This Row],[Country Code]],'Lookup Lists'!$D$7:$E$59,2,0)</f>
        <v>United Kingdom</v>
      </c>
      <c r="J122" s="15">
        <v>28</v>
      </c>
      <c r="K122" s="15" t="str">
        <f>IF(ClientDB[[#This Row],[Start Date]]&gt;=$U$14,"New","")</f>
        <v/>
      </c>
      <c r="L122" s="15" t="str">
        <f>IF(AND(ClientDB[[#This Row],[Start Year]]&lt;2016,ClientDB[[#This Row],[Events]]&gt;=6),"Gift","")</f>
        <v/>
      </c>
      <c r="M12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Gold</v>
      </c>
      <c r="N122" s="15">
        <v>3</v>
      </c>
      <c r="O122" s="38">
        <f>ClientDB[[#This Row],[Days]]*(IF(ClientDB[[#This Row],[Days]]&gt;1,300,350))</f>
        <v>900</v>
      </c>
      <c r="P12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122" s="15" t="s">
        <v>899</v>
      </c>
      <c r="R122" s="15" t="str">
        <f>INDEX('Lookup Lists'!$H$7:$K$59,MATCH(ClientDB[[#This Row],[Country Code]],'Lookup Lists'!$G$7:$G$59,0),(MATCH(ClientDB[[#This Row],[Meal]],'Lookup Lists'!$H$6:$K$6,0)))</f>
        <v>A</v>
      </c>
    </row>
    <row r="123" spans="1:18" x14ac:dyDescent="0.2">
      <c r="A123" s="10">
        <v>20210</v>
      </c>
      <c r="B123" t="s">
        <v>468</v>
      </c>
      <c r="C123" t="s">
        <v>469</v>
      </c>
      <c r="D123" s="18">
        <v>43467</v>
      </c>
      <c r="E123" s="37">
        <f>YEAR(ClientDB[[#This Row],[Start Date]])</f>
        <v>2019</v>
      </c>
      <c r="F123" t="s">
        <v>827</v>
      </c>
      <c r="G123" t="str">
        <f>VLOOKUP(ClientDB[[#This Row],[Org Code]],'Lookup Lists'!$A$7:$B$52,2,0)</f>
        <v>Ripple Com</v>
      </c>
      <c r="H123" s="10" t="s">
        <v>34</v>
      </c>
      <c r="I123" s="10" t="str">
        <f>VLOOKUP(ClientDB[[#This Row],[Country Code]],'Lookup Lists'!$D$7:$E$59,2,0)</f>
        <v>United States</v>
      </c>
      <c r="J123" s="15">
        <v>13</v>
      </c>
      <c r="K123" s="15" t="str">
        <f>IF(ClientDB[[#This Row],[Start Date]]&gt;=$U$14,"New","")</f>
        <v/>
      </c>
      <c r="L123" s="15" t="str">
        <f>IF(AND(ClientDB[[#This Row],[Start Year]]&lt;2016,ClientDB[[#This Row],[Events]]&gt;=6),"Gift","")</f>
        <v/>
      </c>
      <c r="M12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123" s="15">
        <v>3</v>
      </c>
      <c r="O123" s="38">
        <f>ClientDB[[#This Row],[Days]]*(IF(ClientDB[[#This Row],[Days]]&gt;1,300,350))</f>
        <v>900</v>
      </c>
      <c r="P12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123" s="15" t="s">
        <v>901</v>
      </c>
      <c r="R123" s="15" t="str">
        <f>INDEX('Lookup Lists'!$H$7:$K$59,MATCH(ClientDB[[#This Row],[Country Code]],'Lookup Lists'!$G$7:$G$59,0),(MATCH(ClientDB[[#This Row],[Meal]],'Lookup Lists'!$H$6:$K$6,0)))</f>
        <v>G</v>
      </c>
    </row>
    <row r="124" spans="1:18" x14ac:dyDescent="0.2">
      <c r="A124" s="10">
        <v>20262</v>
      </c>
      <c r="B124" t="s">
        <v>253</v>
      </c>
      <c r="C124" t="s">
        <v>254</v>
      </c>
      <c r="D124" s="18">
        <v>42359</v>
      </c>
      <c r="E124" s="37">
        <f>YEAR(ClientDB[[#This Row],[Start Date]])</f>
        <v>2015</v>
      </c>
      <c r="F124" t="s">
        <v>827</v>
      </c>
      <c r="G124" t="str">
        <f>VLOOKUP(ClientDB[[#This Row],[Org Code]],'Lookup Lists'!$A$7:$B$52,2,0)</f>
        <v>Ripple Com</v>
      </c>
      <c r="H124" s="10" t="s">
        <v>15</v>
      </c>
      <c r="I124" s="10" t="str">
        <f>VLOOKUP(ClientDB[[#This Row],[Country Code]],'Lookup Lists'!$D$7:$E$59,2,0)</f>
        <v>United Kingdom</v>
      </c>
      <c r="J124" s="15">
        <v>5</v>
      </c>
      <c r="K124" s="15" t="str">
        <f>IF(ClientDB[[#This Row],[Start Date]]&gt;=$U$14,"New","")</f>
        <v/>
      </c>
      <c r="L124" s="15" t="str">
        <f>IF(AND(ClientDB[[#This Row],[Start Year]]&lt;2016,ClientDB[[#This Row],[Events]]&gt;=6),"Gift","")</f>
        <v/>
      </c>
      <c r="M12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24" s="15">
        <v>2</v>
      </c>
      <c r="O124" s="38">
        <f>ClientDB[[#This Row],[Days]]*(IF(ClientDB[[#This Row],[Days]]&gt;1,300,350))</f>
        <v>600</v>
      </c>
      <c r="P12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124" s="15" t="s">
        <v>900</v>
      </c>
      <c r="R124" s="15" t="str">
        <f>INDEX('Lookup Lists'!$H$7:$K$59,MATCH(ClientDB[[#This Row],[Country Code]],'Lookup Lists'!$G$7:$G$59,0),(MATCH(ClientDB[[#This Row],[Meal]],'Lookup Lists'!$H$6:$K$6,0)))</f>
        <v>A</v>
      </c>
    </row>
    <row r="125" spans="1:18" x14ac:dyDescent="0.2">
      <c r="A125" s="10">
        <v>20326</v>
      </c>
      <c r="B125" t="s">
        <v>275</v>
      </c>
      <c r="C125" t="s">
        <v>276</v>
      </c>
      <c r="D125" s="18">
        <v>42859</v>
      </c>
      <c r="E125" s="37">
        <f>YEAR(ClientDB[[#This Row],[Start Date]])</f>
        <v>2017</v>
      </c>
      <c r="F125" t="s">
        <v>822</v>
      </c>
      <c r="G125" t="str">
        <f>VLOOKUP(ClientDB[[#This Row],[Org Code]],'Lookup Lists'!$A$7:$B$52,2,0)</f>
        <v>PicSure</v>
      </c>
      <c r="H125" s="10" t="s">
        <v>277</v>
      </c>
      <c r="I125" s="10" t="str">
        <f>VLOOKUP(ClientDB[[#This Row],[Country Code]],'Lookup Lists'!$D$7:$E$59,2,0)</f>
        <v>Saudi Arabia</v>
      </c>
      <c r="J125" s="15">
        <v>9</v>
      </c>
      <c r="K125" s="15" t="str">
        <f>IF(ClientDB[[#This Row],[Start Date]]&gt;=$U$14,"New","")</f>
        <v/>
      </c>
      <c r="L125" s="15" t="str">
        <f>IF(AND(ClientDB[[#This Row],[Start Year]]&lt;2016,ClientDB[[#This Row],[Events]]&gt;=6),"Gift","")</f>
        <v/>
      </c>
      <c r="M12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25" s="15">
        <v>1</v>
      </c>
      <c r="O125" s="38">
        <f>ClientDB[[#This Row],[Days]]*(IF(ClientDB[[#This Row],[Days]]&gt;1,300,350))</f>
        <v>350</v>
      </c>
      <c r="P12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125" s="15" t="s">
        <v>902</v>
      </c>
      <c r="R125" s="15" t="str">
        <f>INDEX('Lookup Lists'!$H$7:$K$59,MATCH(ClientDB[[#This Row],[Country Code]],'Lookup Lists'!$G$7:$G$59,0),(MATCH(ClientDB[[#This Row],[Meal]],'Lookup Lists'!$H$6:$K$6,0)))</f>
        <v>C</v>
      </c>
    </row>
    <row r="126" spans="1:18" x14ac:dyDescent="0.2">
      <c r="A126" s="10">
        <v>20467</v>
      </c>
      <c r="B126" t="s">
        <v>296</v>
      </c>
      <c r="C126" t="s">
        <v>420</v>
      </c>
      <c r="D126" s="18">
        <v>42522</v>
      </c>
      <c r="E126" s="37">
        <f>YEAR(ClientDB[[#This Row],[Start Date]])</f>
        <v>2016</v>
      </c>
      <c r="F126" t="s">
        <v>811</v>
      </c>
      <c r="G126" t="str">
        <f>VLOOKUP(ClientDB[[#This Row],[Org Code]],'Lookup Lists'!$A$7:$B$52,2,0)</f>
        <v>EYN</v>
      </c>
      <c r="H126" s="10" t="s">
        <v>363</v>
      </c>
      <c r="I126" s="10" t="str">
        <f>VLOOKUP(ClientDB[[#This Row],[Country Code]],'Lookup Lists'!$D$7:$E$59,2,0)</f>
        <v>Hong Kong</v>
      </c>
      <c r="J126" s="15">
        <v>2</v>
      </c>
      <c r="K126" s="15" t="str">
        <f>IF(ClientDB[[#This Row],[Start Date]]&gt;=$U$14,"New","")</f>
        <v/>
      </c>
      <c r="L126" s="15" t="str">
        <f>IF(AND(ClientDB[[#This Row],[Start Year]]&lt;2016,ClientDB[[#This Row],[Events]]&gt;=6),"Gift","")</f>
        <v/>
      </c>
      <c r="M12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26" s="15">
        <v>2</v>
      </c>
      <c r="O126" s="38">
        <f>ClientDB[[#This Row],[Days]]*(IF(ClientDB[[#This Row],[Days]]&gt;1,300,350))</f>
        <v>600</v>
      </c>
      <c r="P12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126" s="15" t="s">
        <v>902</v>
      </c>
      <c r="R126" s="15" t="str">
        <f>INDEX('Lookup Lists'!$H$7:$K$59,MATCH(ClientDB[[#This Row],[Country Code]],'Lookup Lists'!$G$7:$G$59,0),(MATCH(ClientDB[[#This Row],[Meal]],'Lookup Lists'!$H$6:$K$6,0)))</f>
        <v>C</v>
      </c>
    </row>
    <row r="127" spans="1:18" x14ac:dyDescent="0.2">
      <c r="A127" s="10">
        <v>20546</v>
      </c>
      <c r="B127" t="s">
        <v>625</v>
      </c>
      <c r="C127" t="s">
        <v>626</v>
      </c>
      <c r="D127" s="18">
        <v>42499</v>
      </c>
      <c r="E127" s="37">
        <f>YEAR(ClientDB[[#This Row],[Start Date]])</f>
        <v>2016</v>
      </c>
      <c r="F127" t="s">
        <v>814</v>
      </c>
      <c r="G127" t="str">
        <f>VLOOKUP(ClientDB[[#This Row],[Org Code]],'Lookup Lists'!$A$7:$B$52,2,0)</f>
        <v>ICANT</v>
      </c>
      <c r="H127" s="10" t="s">
        <v>7</v>
      </c>
      <c r="I127" s="10" t="str">
        <f>VLOOKUP(ClientDB[[#This Row],[Country Code]],'Lookup Lists'!$D$7:$E$59,2,0)</f>
        <v>Iran</v>
      </c>
      <c r="J127" s="15">
        <v>8</v>
      </c>
      <c r="K127" s="15" t="str">
        <f>IF(ClientDB[[#This Row],[Start Date]]&gt;=$U$14,"New","")</f>
        <v/>
      </c>
      <c r="L127" s="15" t="str">
        <f>IF(AND(ClientDB[[#This Row],[Start Year]]&lt;2016,ClientDB[[#This Row],[Events]]&gt;=6),"Gift","")</f>
        <v/>
      </c>
      <c r="M12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27" s="15">
        <v>1</v>
      </c>
      <c r="O127" s="38">
        <f>ClientDB[[#This Row],[Days]]*(IF(ClientDB[[#This Row],[Days]]&gt;1,300,350))</f>
        <v>350</v>
      </c>
      <c r="P12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127" s="15" t="s">
        <v>899</v>
      </c>
      <c r="R127" s="15" t="str">
        <f>INDEX('Lookup Lists'!$H$7:$K$59,MATCH(ClientDB[[#This Row],[Country Code]],'Lookup Lists'!$G$7:$G$59,0),(MATCH(ClientDB[[#This Row],[Meal]],'Lookup Lists'!$H$6:$K$6,0)))</f>
        <v>A</v>
      </c>
    </row>
    <row r="128" spans="1:18" x14ac:dyDescent="0.2">
      <c r="A128" s="10">
        <v>20580</v>
      </c>
      <c r="B128" t="s">
        <v>438</v>
      </c>
      <c r="C128" t="s">
        <v>439</v>
      </c>
      <c r="D128" s="18">
        <v>42761</v>
      </c>
      <c r="E128" s="37">
        <f>YEAR(ClientDB[[#This Row],[Start Date]])</f>
        <v>2017</v>
      </c>
      <c r="F128" t="s">
        <v>827</v>
      </c>
      <c r="G128" t="str">
        <f>VLOOKUP(ClientDB[[#This Row],[Org Code]],'Lookup Lists'!$A$7:$B$52,2,0)</f>
        <v>Ripple Com</v>
      </c>
      <c r="H128" s="10" t="s">
        <v>15</v>
      </c>
      <c r="I128" s="10" t="str">
        <f>VLOOKUP(ClientDB[[#This Row],[Country Code]],'Lookup Lists'!$D$7:$E$59,2,0)</f>
        <v>United Kingdom</v>
      </c>
      <c r="J128" s="15">
        <v>12</v>
      </c>
      <c r="K128" s="15" t="str">
        <f>IF(ClientDB[[#This Row],[Start Date]]&gt;=$U$14,"New","")</f>
        <v/>
      </c>
      <c r="L128" s="15" t="str">
        <f>IF(AND(ClientDB[[#This Row],[Start Year]]&lt;2016,ClientDB[[#This Row],[Events]]&gt;=6),"Gift","")</f>
        <v/>
      </c>
      <c r="M12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128" s="15">
        <v>2</v>
      </c>
      <c r="O128" s="38">
        <f>ClientDB[[#This Row],[Days]]*(IF(ClientDB[[#This Row],[Days]]&gt;1,300,350))</f>
        <v>600</v>
      </c>
      <c r="P12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128" s="15" t="s">
        <v>901</v>
      </c>
      <c r="R128" s="15" t="str">
        <f>INDEX('Lookup Lists'!$H$7:$K$59,MATCH(ClientDB[[#This Row],[Country Code]],'Lookup Lists'!$G$7:$G$59,0),(MATCH(ClientDB[[#This Row],[Meal]],'Lookup Lists'!$H$6:$K$6,0)))</f>
        <v>E</v>
      </c>
    </row>
    <row r="129" spans="1:18" x14ac:dyDescent="0.2">
      <c r="A129" s="10">
        <v>20596</v>
      </c>
      <c r="B129" t="s">
        <v>641</v>
      </c>
      <c r="C129" t="s">
        <v>642</v>
      </c>
      <c r="D129" s="18">
        <v>42647</v>
      </c>
      <c r="E129" s="37">
        <f>YEAR(ClientDB[[#This Row],[Start Date]])</f>
        <v>2016</v>
      </c>
      <c r="F129" t="s">
        <v>815</v>
      </c>
      <c r="G129" t="str">
        <f>VLOOKUP(ClientDB[[#This Row],[Org Code]],'Lookup Lists'!$A$7:$B$52,2,0)</f>
        <v>Intelligence Systems</v>
      </c>
      <c r="H129" s="10" t="s">
        <v>643</v>
      </c>
      <c r="I129" s="10" t="str">
        <f>VLOOKUP(ClientDB[[#This Row],[Country Code]],'Lookup Lists'!$D$7:$E$59,2,0)</f>
        <v>Turkey</v>
      </c>
      <c r="J129" s="15">
        <v>20</v>
      </c>
      <c r="K129" s="15" t="str">
        <f>IF(ClientDB[[#This Row],[Start Date]]&gt;=$U$14,"New","")</f>
        <v/>
      </c>
      <c r="L129" s="15" t="str">
        <f>IF(AND(ClientDB[[#This Row],[Start Year]]&lt;2016,ClientDB[[#This Row],[Events]]&gt;=6),"Gift","")</f>
        <v/>
      </c>
      <c r="M12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Gold</v>
      </c>
      <c r="N129" s="15">
        <v>3</v>
      </c>
      <c r="O129" s="38">
        <f>ClientDB[[#This Row],[Days]]*(IF(ClientDB[[#This Row],[Days]]&gt;1,300,350))</f>
        <v>900</v>
      </c>
      <c r="P12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129" s="15" t="s">
        <v>899</v>
      </c>
      <c r="R129" s="15" t="str">
        <f>INDEX('Lookup Lists'!$H$7:$K$59,MATCH(ClientDB[[#This Row],[Country Code]],'Lookup Lists'!$G$7:$G$59,0),(MATCH(ClientDB[[#This Row],[Meal]],'Lookup Lists'!$H$6:$K$6,0)))</f>
        <v>B</v>
      </c>
    </row>
    <row r="130" spans="1:18" x14ac:dyDescent="0.2">
      <c r="A130" s="10">
        <v>20616</v>
      </c>
      <c r="B130" t="s">
        <v>204</v>
      </c>
      <c r="C130" t="s">
        <v>205</v>
      </c>
      <c r="D130" s="18">
        <v>43375</v>
      </c>
      <c r="E130" s="37">
        <f>YEAR(ClientDB[[#This Row],[Start Date]])</f>
        <v>2018</v>
      </c>
      <c r="F130" t="s">
        <v>808</v>
      </c>
      <c r="G130" t="str">
        <f>VLOOKUP(ClientDB[[#This Row],[Org Code]],'Lookup Lists'!$A$7:$B$52,2,0)</f>
        <v>Ebony Telecoms</v>
      </c>
      <c r="H130" s="10" t="s">
        <v>121</v>
      </c>
      <c r="I130" s="10" t="str">
        <f>VLOOKUP(ClientDB[[#This Row],[Country Code]],'Lookup Lists'!$D$7:$E$59,2,0)</f>
        <v>Portugal</v>
      </c>
      <c r="J130" s="15">
        <v>2</v>
      </c>
      <c r="K130" s="15" t="str">
        <f>IF(ClientDB[[#This Row],[Start Date]]&gt;=$U$14,"New","")</f>
        <v/>
      </c>
      <c r="L130" s="15" t="str">
        <f>IF(AND(ClientDB[[#This Row],[Start Year]]&lt;2016,ClientDB[[#This Row],[Events]]&gt;=6),"Gift","")</f>
        <v/>
      </c>
      <c r="M13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30" s="15">
        <v>1</v>
      </c>
      <c r="O130" s="38">
        <f>ClientDB[[#This Row],[Days]]*(IF(ClientDB[[#This Row],[Days]]&gt;1,300,350))</f>
        <v>350</v>
      </c>
      <c r="P13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130" s="15" t="s">
        <v>901</v>
      </c>
      <c r="R130" s="15" t="str">
        <f>INDEX('Lookup Lists'!$H$7:$K$59,MATCH(ClientDB[[#This Row],[Country Code]],'Lookup Lists'!$G$7:$G$59,0),(MATCH(ClientDB[[#This Row],[Meal]],'Lookup Lists'!$H$6:$K$6,0)))</f>
        <v>G</v>
      </c>
    </row>
    <row r="131" spans="1:18" x14ac:dyDescent="0.2">
      <c r="A131" s="10">
        <v>20626</v>
      </c>
      <c r="B131" t="s">
        <v>636</v>
      </c>
      <c r="C131" t="s">
        <v>637</v>
      </c>
      <c r="D131" s="18">
        <v>42591</v>
      </c>
      <c r="E131" s="37">
        <f>YEAR(ClientDB[[#This Row],[Start Date]])</f>
        <v>2016</v>
      </c>
      <c r="F131" t="s">
        <v>809</v>
      </c>
      <c r="G131" t="str">
        <f>VLOOKUP(ClientDB[[#This Row],[Org Code]],'Lookup Lists'!$A$7:$B$52,2,0)</f>
        <v>Epsilon Tech</v>
      </c>
      <c r="H131" s="10" t="s">
        <v>262</v>
      </c>
      <c r="I131" s="10" t="str">
        <f>VLOOKUP(ClientDB[[#This Row],[Country Code]],'Lookup Lists'!$D$7:$E$59,2,0)</f>
        <v>Poland</v>
      </c>
      <c r="J131" s="15">
        <v>7</v>
      </c>
      <c r="K131" s="15" t="str">
        <f>IF(ClientDB[[#This Row],[Start Date]]&gt;=$U$14,"New","")</f>
        <v/>
      </c>
      <c r="L131" s="15" t="str">
        <f>IF(AND(ClientDB[[#This Row],[Start Year]]&lt;2016,ClientDB[[#This Row],[Events]]&gt;=6),"Gift","")</f>
        <v/>
      </c>
      <c r="M13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31" s="15">
        <v>1</v>
      </c>
      <c r="O131" s="38">
        <f>ClientDB[[#This Row],[Days]]*(IF(ClientDB[[#This Row],[Days]]&gt;1,300,350))</f>
        <v>350</v>
      </c>
      <c r="P13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131" s="15" t="s">
        <v>901</v>
      </c>
      <c r="R131" s="15" t="str">
        <f>INDEX('Lookup Lists'!$H$7:$K$59,MATCH(ClientDB[[#This Row],[Country Code]],'Lookup Lists'!$G$7:$G$59,0),(MATCH(ClientDB[[#This Row],[Meal]],'Lookup Lists'!$H$6:$K$6,0)))</f>
        <v>F</v>
      </c>
    </row>
    <row r="132" spans="1:18" x14ac:dyDescent="0.2">
      <c r="A132" s="10">
        <v>20636</v>
      </c>
      <c r="B132" t="s">
        <v>172</v>
      </c>
      <c r="C132" t="s">
        <v>173</v>
      </c>
      <c r="D132" s="18">
        <v>42773</v>
      </c>
      <c r="E132" s="37">
        <f>YEAR(ClientDB[[#This Row],[Start Date]])</f>
        <v>2017</v>
      </c>
      <c r="F132" t="s">
        <v>831</v>
      </c>
      <c r="G132" t="str">
        <f>VLOOKUP(ClientDB[[#This Row],[Org Code]],'Lookup Lists'!$A$7:$B$52,2,0)</f>
        <v>TatSan</v>
      </c>
      <c r="H132" s="10" t="s">
        <v>7</v>
      </c>
      <c r="I132" s="10" t="str">
        <f>VLOOKUP(ClientDB[[#This Row],[Country Code]],'Lookup Lists'!$D$7:$E$59,2,0)</f>
        <v>Iran</v>
      </c>
      <c r="J132" s="15">
        <v>1</v>
      </c>
      <c r="K132" s="15" t="str">
        <f>IF(ClientDB[[#This Row],[Start Date]]&gt;=$U$14,"New","")</f>
        <v/>
      </c>
      <c r="L132" s="15" t="str">
        <f>IF(AND(ClientDB[[#This Row],[Start Year]]&lt;2016,ClientDB[[#This Row],[Events]]&gt;=6),"Gift","")</f>
        <v/>
      </c>
      <c r="M13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32" s="15">
        <v>3</v>
      </c>
      <c r="O132" s="38">
        <f>ClientDB[[#This Row],[Days]]*(IF(ClientDB[[#This Row],[Days]]&gt;1,300,350))</f>
        <v>900</v>
      </c>
      <c r="P13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132" s="15" t="s">
        <v>901</v>
      </c>
      <c r="R132" s="15" t="str">
        <f>INDEX('Lookup Lists'!$H$7:$K$59,MATCH(ClientDB[[#This Row],[Country Code]],'Lookup Lists'!$G$7:$G$59,0),(MATCH(ClientDB[[#This Row],[Meal]],'Lookup Lists'!$H$6:$K$6,0)))</f>
        <v>F</v>
      </c>
    </row>
    <row r="133" spans="1:18" x14ac:dyDescent="0.2">
      <c r="A133" s="10">
        <v>20752</v>
      </c>
      <c r="B133" t="s">
        <v>387</v>
      </c>
      <c r="C133" t="s">
        <v>388</v>
      </c>
      <c r="D133" s="18">
        <v>42204</v>
      </c>
      <c r="E133" s="37">
        <f>YEAR(ClientDB[[#This Row],[Start Date]])</f>
        <v>2015</v>
      </c>
      <c r="F133" t="s">
        <v>816</v>
      </c>
      <c r="G133" t="str">
        <f>VLOOKUP(ClientDB[[#This Row],[Org Code]],'Lookup Lists'!$A$7:$B$52,2,0)</f>
        <v>IPI Bucharest</v>
      </c>
      <c r="H133" s="10" t="s">
        <v>59</v>
      </c>
      <c r="I133" s="10" t="str">
        <f>VLOOKUP(ClientDB[[#This Row],[Country Code]],'Lookup Lists'!$D$7:$E$59,2,0)</f>
        <v>Netherlands</v>
      </c>
      <c r="J133" s="15">
        <v>11</v>
      </c>
      <c r="K133" s="15" t="str">
        <f>IF(ClientDB[[#This Row],[Start Date]]&gt;=$U$14,"New","")</f>
        <v/>
      </c>
      <c r="L133" s="15" t="str">
        <f>IF(AND(ClientDB[[#This Row],[Start Year]]&lt;2016,ClientDB[[#This Row],[Events]]&gt;=6),"Gift","")</f>
        <v>Gift</v>
      </c>
      <c r="M13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133" s="15">
        <v>3</v>
      </c>
      <c r="O133" s="38">
        <f>ClientDB[[#This Row],[Days]]*(IF(ClientDB[[#This Row],[Days]]&gt;1,300,350))</f>
        <v>900</v>
      </c>
      <c r="P13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133" s="15" t="s">
        <v>899</v>
      </c>
      <c r="R133" s="15" t="str">
        <f>INDEX('Lookup Lists'!$H$7:$K$59,MATCH(ClientDB[[#This Row],[Country Code]],'Lookup Lists'!$G$7:$G$59,0),(MATCH(ClientDB[[#This Row],[Meal]],'Lookup Lists'!$H$6:$K$6,0)))</f>
        <v>B</v>
      </c>
    </row>
    <row r="134" spans="1:18" x14ac:dyDescent="0.2">
      <c r="A134" s="10">
        <v>20767</v>
      </c>
      <c r="B134" t="s">
        <v>250</v>
      </c>
      <c r="C134" t="s">
        <v>251</v>
      </c>
      <c r="D134" s="18">
        <v>42395</v>
      </c>
      <c r="E134" s="37">
        <f>YEAR(ClientDB[[#This Row],[Start Date]])</f>
        <v>2016</v>
      </c>
      <c r="F134" t="s">
        <v>838</v>
      </c>
      <c r="G134" t="str">
        <f>VLOOKUP(ClientDB[[#This Row],[Org Code]],'Lookup Lists'!$A$7:$B$52,2,0)</f>
        <v>xLAN Internet Exchange</v>
      </c>
      <c r="H134" s="10" t="s">
        <v>252</v>
      </c>
      <c r="I134" s="10" t="str">
        <f>VLOOKUP(ClientDB[[#This Row],[Country Code]],'Lookup Lists'!$D$7:$E$59,2,0)</f>
        <v>Palestinian Territories</v>
      </c>
      <c r="J134" s="15">
        <v>13</v>
      </c>
      <c r="K134" s="15" t="str">
        <f>IF(ClientDB[[#This Row],[Start Date]]&gt;=$U$14,"New","")</f>
        <v/>
      </c>
      <c r="L134" s="15" t="str">
        <f>IF(AND(ClientDB[[#This Row],[Start Year]]&lt;2016,ClientDB[[#This Row],[Events]]&gt;=6),"Gift","")</f>
        <v/>
      </c>
      <c r="M13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134" s="15">
        <v>1</v>
      </c>
      <c r="O134" s="38">
        <f>ClientDB[[#This Row],[Days]]*(IF(ClientDB[[#This Row],[Days]]&gt;1,300,350))</f>
        <v>350</v>
      </c>
      <c r="P13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134" s="15" t="s">
        <v>899</v>
      </c>
      <c r="R134" s="15" t="str">
        <f>INDEX('Lookup Lists'!$H$7:$K$59,MATCH(ClientDB[[#This Row],[Country Code]],'Lookup Lists'!$G$7:$G$59,0),(MATCH(ClientDB[[#This Row],[Meal]],'Lookup Lists'!$H$6:$K$6,0)))</f>
        <v>B</v>
      </c>
    </row>
    <row r="135" spans="1:18" x14ac:dyDescent="0.2">
      <c r="A135" s="10">
        <v>21000</v>
      </c>
      <c r="B135" t="s">
        <v>319</v>
      </c>
      <c r="C135" t="s">
        <v>320</v>
      </c>
      <c r="D135" s="18">
        <v>43762</v>
      </c>
      <c r="E135" s="37">
        <f>YEAR(ClientDB[[#This Row],[Start Date]])</f>
        <v>2019</v>
      </c>
      <c r="F135" t="s">
        <v>828</v>
      </c>
      <c r="G135" t="str">
        <f>VLOOKUP(ClientDB[[#This Row],[Org Code]],'Lookup Lists'!$A$7:$B$52,2,0)</f>
        <v>Shaw Construction</v>
      </c>
      <c r="H135" s="10" t="s">
        <v>34</v>
      </c>
      <c r="I135" s="10" t="str">
        <f>VLOOKUP(ClientDB[[#This Row],[Country Code]],'Lookup Lists'!$D$7:$E$59,2,0)</f>
        <v>United States</v>
      </c>
      <c r="J135" s="15">
        <v>25</v>
      </c>
      <c r="K135" s="15" t="str">
        <f>IF(ClientDB[[#This Row],[Start Date]]&gt;=$U$14,"New","")</f>
        <v/>
      </c>
      <c r="L135" s="15" t="str">
        <f>IF(AND(ClientDB[[#This Row],[Start Year]]&lt;2016,ClientDB[[#This Row],[Events]]&gt;=6),"Gift","")</f>
        <v/>
      </c>
      <c r="M13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Gold</v>
      </c>
      <c r="N135" s="15">
        <v>3</v>
      </c>
      <c r="O135" s="38">
        <f>ClientDB[[#This Row],[Days]]*(IF(ClientDB[[#This Row],[Days]]&gt;1,300,350))</f>
        <v>900</v>
      </c>
      <c r="P13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135" s="15" t="s">
        <v>900</v>
      </c>
      <c r="R135" s="15" t="str">
        <f>INDEX('Lookup Lists'!$H$7:$K$59,MATCH(ClientDB[[#This Row],[Country Code]],'Lookup Lists'!$G$7:$G$59,0),(MATCH(ClientDB[[#This Row],[Meal]],'Lookup Lists'!$H$6:$K$6,0)))</f>
        <v>F</v>
      </c>
    </row>
    <row r="136" spans="1:18" x14ac:dyDescent="0.2">
      <c r="A136" s="10">
        <v>21037</v>
      </c>
      <c r="B136" t="s">
        <v>227</v>
      </c>
      <c r="C136" t="s">
        <v>228</v>
      </c>
      <c r="D136" s="18">
        <v>42768</v>
      </c>
      <c r="E136" s="37">
        <f>YEAR(ClientDB[[#This Row],[Start Date]])</f>
        <v>2017</v>
      </c>
      <c r="F136" t="s">
        <v>827</v>
      </c>
      <c r="G136" t="str">
        <f>VLOOKUP(ClientDB[[#This Row],[Org Code]],'Lookup Lists'!$A$7:$B$52,2,0)</f>
        <v>Ripple Com</v>
      </c>
      <c r="H136" s="10" t="s">
        <v>26</v>
      </c>
      <c r="I136" s="10" t="str">
        <f>VLOOKUP(ClientDB[[#This Row],[Country Code]],'Lookup Lists'!$D$7:$E$59,2,0)</f>
        <v>Ukraine</v>
      </c>
      <c r="J136" s="15">
        <v>12</v>
      </c>
      <c r="K136" s="15" t="str">
        <f>IF(ClientDB[[#This Row],[Start Date]]&gt;=$U$14,"New","")</f>
        <v/>
      </c>
      <c r="L136" s="15" t="str">
        <f>IF(AND(ClientDB[[#This Row],[Start Year]]&lt;2016,ClientDB[[#This Row],[Events]]&gt;=6),"Gift","")</f>
        <v/>
      </c>
      <c r="M13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136" s="15">
        <v>3</v>
      </c>
      <c r="O136" s="38">
        <f>ClientDB[[#This Row],[Days]]*(IF(ClientDB[[#This Row],[Days]]&gt;1,300,350))</f>
        <v>900</v>
      </c>
      <c r="P13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136" s="15" t="s">
        <v>902</v>
      </c>
      <c r="R136" s="15" t="str">
        <f>INDEX('Lookup Lists'!$H$7:$K$59,MATCH(ClientDB[[#This Row],[Country Code]],'Lookup Lists'!$G$7:$G$59,0),(MATCH(ClientDB[[#This Row],[Meal]],'Lookup Lists'!$H$6:$K$6,0)))</f>
        <v>C</v>
      </c>
    </row>
    <row r="137" spans="1:18" x14ac:dyDescent="0.2">
      <c r="A137" s="10">
        <v>21129</v>
      </c>
      <c r="B137" t="s">
        <v>184</v>
      </c>
      <c r="C137" t="s">
        <v>185</v>
      </c>
      <c r="D137" s="18">
        <v>42501</v>
      </c>
      <c r="E137" s="37">
        <f>YEAR(ClientDB[[#This Row],[Start Date]])</f>
        <v>2016</v>
      </c>
      <c r="F137" t="s">
        <v>807</v>
      </c>
      <c r="G137" t="str">
        <f>VLOOKUP(ClientDB[[#This Row],[Org Code]],'Lookup Lists'!$A$7:$B$52,2,0)</f>
        <v>Duet</v>
      </c>
      <c r="H137" s="10" t="s">
        <v>186</v>
      </c>
      <c r="I137" s="10" t="str">
        <f>VLOOKUP(ClientDB[[#This Row],[Country Code]],'Lookup Lists'!$D$7:$E$59,2,0)</f>
        <v>Slovenia</v>
      </c>
      <c r="J137" s="15">
        <v>7</v>
      </c>
      <c r="K137" s="15" t="str">
        <f>IF(ClientDB[[#This Row],[Start Date]]&gt;=$U$14,"New","")</f>
        <v/>
      </c>
      <c r="L137" s="15" t="str">
        <f>IF(AND(ClientDB[[#This Row],[Start Year]]&lt;2016,ClientDB[[#This Row],[Events]]&gt;=6),"Gift","")</f>
        <v/>
      </c>
      <c r="M13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37" s="15">
        <v>1</v>
      </c>
      <c r="O137" s="38">
        <f>ClientDB[[#This Row],[Days]]*(IF(ClientDB[[#This Row],[Days]]&gt;1,300,350))</f>
        <v>350</v>
      </c>
      <c r="P13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137" s="15" t="s">
        <v>900</v>
      </c>
      <c r="R137" s="15" t="str">
        <f>INDEX('Lookup Lists'!$H$7:$K$59,MATCH(ClientDB[[#This Row],[Country Code]],'Lookup Lists'!$G$7:$G$59,0),(MATCH(ClientDB[[#This Row],[Meal]],'Lookup Lists'!$H$6:$K$6,0)))</f>
        <v>C</v>
      </c>
    </row>
    <row r="138" spans="1:18" x14ac:dyDescent="0.2">
      <c r="A138" s="10">
        <v>21245</v>
      </c>
      <c r="B138" t="s">
        <v>303</v>
      </c>
      <c r="C138" t="s">
        <v>304</v>
      </c>
      <c r="D138" s="18">
        <v>43351</v>
      </c>
      <c r="E138" s="37">
        <f>YEAR(ClientDB[[#This Row],[Start Date]])</f>
        <v>2018</v>
      </c>
      <c r="F138" t="s">
        <v>834</v>
      </c>
      <c r="G138" t="str">
        <f>VLOOKUP(ClientDB[[#This Row],[Org Code]],'Lookup Lists'!$A$7:$B$52,2,0)</f>
        <v>Verisize</v>
      </c>
      <c r="H138" s="10" t="s">
        <v>50</v>
      </c>
      <c r="I138" s="10" t="str">
        <f>VLOOKUP(ClientDB[[#This Row],[Country Code]],'Lookup Lists'!$D$7:$E$59,2,0)</f>
        <v>Finland</v>
      </c>
      <c r="J138" s="15">
        <v>8</v>
      </c>
      <c r="K138" s="15" t="str">
        <f>IF(ClientDB[[#This Row],[Start Date]]&gt;=$U$14,"New","")</f>
        <v/>
      </c>
      <c r="L138" s="15" t="str">
        <f>IF(AND(ClientDB[[#This Row],[Start Year]]&lt;2016,ClientDB[[#This Row],[Events]]&gt;=6),"Gift","")</f>
        <v/>
      </c>
      <c r="M13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38" s="15">
        <v>3</v>
      </c>
      <c r="O138" s="38">
        <f>ClientDB[[#This Row],[Days]]*(IF(ClientDB[[#This Row],[Days]]&gt;1,300,350))</f>
        <v>900</v>
      </c>
      <c r="P13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138" s="15" t="s">
        <v>900</v>
      </c>
      <c r="R138" s="15" t="str">
        <f>INDEX('Lookup Lists'!$H$7:$K$59,MATCH(ClientDB[[#This Row],[Country Code]],'Lookup Lists'!$G$7:$G$59,0),(MATCH(ClientDB[[#This Row],[Meal]],'Lookup Lists'!$H$6:$K$6,0)))</f>
        <v>A</v>
      </c>
    </row>
    <row r="139" spans="1:18" x14ac:dyDescent="0.2">
      <c r="A139" s="10">
        <v>21379</v>
      </c>
      <c r="B139" t="s">
        <v>214</v>
      </c>
      <c r="C139" t="s">
        <v>215</v>
      </c>
      <c r="D139" s="18">
        <v>43104</v>
      </c>
      <c r="E139" s="37">
        <f>YEAR(ClientDB[[#This Row],[Start Date]])</f>
        <v>2018</v>
      </c>
      <c r="F139" t="s">
        <v>827</v>
      </c>
      <c r="G139" t="str">
        <f>VLOOKUP(ClientDB[[#This Row],[Org Code]],'Lookup Lists'!$A$7:$B$52,2,0)</f>
        <v>Ripple Com</v>
      </c>
      <c r="H139" s="10" t="s">
        <v>15</v>
      </c>
      <c r="I139" s="10" t="str">
        <f>VLOOKUP(ClientDB[[#This Row],[Country Code]],'Lookup Lists'!$D$7:$E$59,2,0)</f>
        <v>United Kingdom</v>
      </c>
      <c r="J139" s="15">
        <v>14</v>
      </c>
      <c r="K139" s="15" t="str">
        <f>IF(ClientDB[[#This Row],[Start Date]]&gt;=$U$14,"New","")</f>
        <v/>
      </c>
      <c r="L139" s="15" t="str">
        <f>IF(AND(ClientDB[[#This Row],[Start Year]]&lt;2016,ClientDB[[#This Row],[Events]]&gt;=6),"Gift","")</f>
        <v/>
      </c>
      <c r="M13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139" s="15">
        <v>3</v>
      </c>
      <c r="O139" s="38">
        <f>ClientDB[[#This Row],[Days]]*(IF(ClientDB[[#This Row],[Days]]&gt;1,300,350))</f>
        <v>900</v>
      </c>
      <c r="P13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139" s="15" t="s">
        <v>901</v>
      </c>
      <c r="R139" s="15" t="str">
        <f>INDEX('Lookup Lists'!$H$7:$K$59,MATCH(ClientDB[[#This Row],[Country Code]],'Lookup Lists'!$G$7:$G$59,0),(MATCH(ClientDB[[#This Row],[Meal]],'Lookup Lists'!$H$6:$K$6,0)))</f>
        <v>E</v>
      </c>
    </row>
    <row r="140" spans="1:18" x14ac:dyDescent="0.2">
      <c r="A140" s="10">
        <v>21397</v>
      </c>
      <c r="B140" t="s">
        <v>512</v>
      </c>
      <c r="C140" t="s">
        <v>513</v>
      </c>
      <c r="D140" s="18">
        <v>42931</v>
      </c>
      <c r="E140" s="37">
        <f>YEAR(ClientDB[[#This Row],[Start Date]])</f>
        <v>2017</v>
      </c>
      <c r="F140" t="s">
        <v>822</v>
      </c>
      <c r="G140" t="str">
        <f>VLOOKUP(ClientDB[[#This Row],[Org Code]],'Lookup Lists'!$A$7:$B$52,2,0)</f>
        <v>PicSure</v>
      </c>
      <c r="H140" s="10" t="s">
        <v>143</v>
      </c>
      <c r="I140" s="10" t="str">
        <f>VLOOKUP(ClientDB[[#This Row],[Country Code]],'Lookup Lists'!$D$7:$E$59,2,0)</f>
        <v>Oman</v>
      </c>
      <c r="J140" s="15">
        <v>8</v>
      </c>
      <c r="K140" s="15" t="str">
        <f>IF(ClientDB[[#This Row],[Start Date]]&gt;=$U$14,"New","")</f>
        <v/>
      </c>
      <c r="L140" s="15" t="str">
        <f>IF(AND(ClientDB[[#This Row],[Start Year]]&lt;2016,ClientDB[[#This Row],[Events]]&gt;=6),"Gift","")</f>
        <v/>
      </c>
      <c r="M14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40" s="15">
        <v>1</v>
      </c>
      <c r="O140" s="38">
        <f>ClientDB[[#This Row],[Days]]*(IF(ClientDB[[#This Row],[Days]]&gt;1,300,350))</f>
        <v>350</v>
      </c>
      <c r="P14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140" s="15" t="s">
        <v>902</v>
      </c>
      <c r="R140" s="15" t="str">
        <f>INDEX('Lookup Lists'!$H$7:$K$59,MATCH(ClientDB[[#This Row],[Country Code]],'Lookup Lists'!$G$7:$G$59,0),(MATCH(ClientDB[[#This Row],[Meal]],'Lookup Lists'!$H$6:$K$6,0)))</f>
        <v>C</v>
      </c>
    </row>
    <row r="141" spans="1:18" x14ac:dyDescent="0.2">
      <c r="A141" s="10">
        <v>21652</v>
      </c>
      <c r="B141" t="s">
        <v>616</v>
      </c>
      <c r="C141" t="s">
        <v>709</v>
      </c>
      <c r="D141" s="18">
        <v>42805</v>
      </c>
      <c r="E141" s="37">
        <f>YEAR(ClientDB[[#This Row],[Start Date]])</f>
        <v>2017</v>
      </c>
      <c r="F141" t="s">
        <v>827</v>
      </c>
      <c r="G141" t="str">
        <f>VLOOKUP(ClientDB[[#This Row],[Org Code]],'Lookup Lists'!$A$7:$B$52,2,0)</f>
        <v>Ripple Com</v>
      </c>
      <c r="H141" s="10" t="s">
        <v>7</v>
      </c>
      <c r="I141" s="10" t="str">
        <f>VLOOKUP(ClientDB[[#This Row],[Country Code]],'Lookup Lists'!$D$7:$E$59,2,0)</f>
        <v>Iran</v>
      </c>
      <c r="J141" s="15">
        <v>22</v>
      </c>
      <c r="K141" s="15" t="str">
        <f>IF(ClientDB[[#This Row],[Start Date]]&gt;=$U$14,"New","")</f>
        <v/>
      </c>
      <c r="L141" s="15" t="str">
        <f>IF(AND(ClientDB[[#This Row],[Start Year]]&lt;2016,ClientDB[[#This Row],[Events]]&gt;=6),"Gift","")</f>
        <v/>
      </c>
      <c r="M14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Gold</v>
      </c>
      <c r="N141" s="15">
        <v>3</v>
      </c>
      <c r="O141" s="38">
        <f>ClientDB[[#This Row],[Days]]*(IF(ClientDB[[#This Row],[Days]]&gt;1,300,350))</f>
        <v>900</v>
      </c>
      <c r="P14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141" s="15" t="s">
        <v>900</v>
      </c>
      <c r="R141" s="15" t="str">
        <f>INDEX('Lookup Lists'!$H$7:$K$59,MATCH(ClientDB[[#This Row],[Country Code]],'Lookup Lists'!$G$7:$G$59,0),(MATCH(ClientDB[[#This Row],[Meal]],'Lookup Lists'!$H$6:$K$6,0)))</f>
        <v>A</v>
      </c>
    </row>
    <row r="142" spans="1:18" x14ac:dyDescent="0.2">
      <c r="A142" s="10">
        <v>21701</v>
      </c>
      <c r="B142" t="s">
        <v>546</v>
      </c>
      <c r="C142" t="s">
        <v>547</v>
      </c>
      <c r="D142" s="18">
        <v>42650</v>
      </c>
      <c r="E142" s="37">
        <f>YEAR(ClientDB[[#This Row],[Start Date]])</f>
        <v>2016</v>
      </c>
      <c r="F142" t="s">
        <v>835</v>
      </c>
      <c r="G142" t="str">
        <f>VLOOKUP(ClientDB[[#This Row],[Org Code]],'Lookup Lists'!$A$7:$B$52,2,0)</f>
        <v>West Telco</v>
      </c>
      <c r="H142" s="10" t="s">
        <v>274</v>
      </c>
      <c r="I142" s="10" t="str">
        <f>VLOOKUP(ClientDB[[#This Row],[Country Code]],'Lookup Lists'!$D$7:$E$59,2,0)</f>
        <v>Spain</v>
      </c>
      <c r="J142" s="15">
        <v>4</v>
      </c>
      <c r="K142" s="15" t="str">
        <f>IF(ClientDB[[#This Row],[Start Date]]&gt;=$U$14,"New","")</f>
        <v/>
      </c>
      <c r="L142" s="15" t="str">
        <f>IF(AND(ClientDB[[#This Row],[Start Year]]&lt;2016,ClientDB[[#This Row],[Events]]&gt;=6),"Gift","")</f>
        <v/>
      </c>
      <c r="M14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42" s="15">
        <v>1</v>
      </c>
      <c r="O142" s="38">
        <f>ClientDB[[#This Row],[Days]]*(IF(ClientDB[[#This Row],[Days]]&gt;1,300,350))</f>
        <v>350</v>
      </c>
      <c r="P14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142" s="15" t="s">
        <v>900</v>
      </c>
      <c r="R142" s="15" t="str">
        <f>INDEX('Lookup Lists'!$H$7:$K$59,MATCH(ClientDB[[#This Row],[Country Code]],'Lookup Lists'!$G$7:$G$59,0),(MATCH(ClientDB[[#This Row],[Meal]],'Lookup Lists'!$H$6:$K$6,0)))</f>
        <v>A</v>
      </c>
    </row>
    <row r="143" spans="1:18" x14ac:dyDescent="0.2">
      <c r="A143" s="10">
        <v>21746</v>
      </c>
      <c r="B143" t="s">
        <v>520</v>
      </c>
      <c r="C143" t="s">
        <v>521</v>
      </c>
      <c r="D143" s="18">
        <v>42691</v>
      </c>
      <c r="E143" s="37">
        <f>YEAR(ClientDB[[#This Row],[Start Date]])</f>
        <v>2016</v>
      </c>
      <c r="F143" t="s">
        <v>837</v>
      </c>
      <c r="G143" t="str">
        <f>VLOOKUP(ClientDB[[#This Row],[Org Code]],'Lookup Lists'!$A$7:$B$52,2,0)</f>
        <v>WWT</v>
      </c>
      <c r="H143" s="10" t="s">
        <v>15</v>
      </c>
      <c r="I143" s="10" t="str">
        <f>VLOOKUP(ClientDB[[#This Row],[Country Code]],'Lookup Lists'!$D$7:$E$59,2,0)</f>
        <v>United Kingdom</v>
      </c>
      <c r="J143" s="15">
        <v>15</v>
      </c>
      <c r="K143" s="15" t="str">
        <f>IF(ClientDB[[#This Row],[Start Date]]&gt;=$U$14,"New","")</f>
        <v/>
      </c>
      <c r="L143" s="15" t="str">
        <f>IF(AND(ClientDB[[#This Row],[Start Year]]&lt;2016,ClientDB[[#This Row],[Events]]&gt;=6),"Gift","")</f>
        <v/>
      </c>
      <c r="M14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143" s="15">
        <v>2</v>
      </c>
      <c r="O143" s="38">
        <f>ClientDB[[#This Row],[Days]]*(IF(ClientDB[[#This Row],[Days]]&gt;1,300,350))</f>
        <v>600</v>
      </c>
      <c r="P14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143" s="15" t="s">
        <v>900</v>
      </c>
      <c r="R143" s="15" t="str">
        <f>INDEX('Lookup Lists'!$H$7:$K$59,MATCH(ClientDB[[#This Row],[Country Code]],'Lookup Lists'!$G$7:$G$59,0),(MATCH(ClientDB[[#This Row],[Meal]],'Lookup Lists'!$H$6:$K$6,0)))</f>
        <v>A</v>
      </c>
    </row>
    <row r="144" spans="1:18" x14ac:dyDescent="0.2">
      <c r="A144" s="10">
        <v>21994</v>
      </c>
      <c r="B144" t="s">
        <v>161</v>
      </c>
      <c r="C144" t="s">
        <v>162</v>
      </c>
      <c r="D144" s="18">
        <v>42688</v>
      </c>
      <c r="E144" s="37">
        <f>YEAR(ClientDB[[#This Row],[Start Date]])</f>
        <v>2016</v>
      </c>
      <c r="F144" t="s">
        <v>809</v>
      </c>
      <c r="G144" t="str">
        <f>VLOOKUP(ClientDB[[#This Row],[Org Code]],'Lookup Lists'!$A$7:$B$52,2,0)</f>
        <v>Epsilon Tech</v>
      </c>
      <c r="H144" s="10" t="s">
        <v>163</v>
      </c>
      <c r="I144" s="10" t="str">
        <f>VLOOKUP(ClientDB[[#This Row],[Country Code]],'Lookup Lists'!$D$7:$E$59,2,0)</f>
        <v>Jordan</v>
      </c>
      <c r="J144" s="15">
        <v>13</v>
      </c>
      <c r="K144" s="15" t="str">
        <f>IF(ClientDB[[#This Row],[Start Date]]&gt;=$U$14,"New","")</f>
        <v/>
      </c>
      <c r="L144" s="15" t="str">
        <f>IF(AND(ClientDB[[#This Row],[Start Year]]&lt;2016,ClientDB[[#This Row],[Events]]&gt;=6),"Gift","")</f>
        <v/>
      </c>
      <c r="M14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144" s="15">
        <v>3</v>
      </c>
      <c r="O144" s="38">
        <f>ClientDB[[#This Row],[Days]]*(IF(ClientDB[[#This Row],[Days]]&gt;1,300,350))</f>
        <v>900</v>
      </c>
      <c r="P14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144" s="15" t="s">
        <v>901</v>
      </c>
      <c r="R144" s="15" t="str">
        <f>INDEX('Lookup Lists'!$H$7:$K$59,MATCH(ClientDB[[#This Row],[Country Code]],'Lookup Lists'!$G$7:$G$59,0),(MATCH(ClientDB[[#This Row],[Meal]],'Lookup Lists'!$H$6:$K$6,0)))</f>
        <v>F</v>
      </c>
    </row>
    <row r="145" spans="1:18" x14ac:dyDescent="0.2">
      <c r="A145" s="10">
        <v>22054</v>
      </c>
      <c r="B145" t="s">
        <v>747</v>
      </c>
      <c r="C145" t="s">
        <v>748</v>
      </c>
      <c r="D145" s="18">
        <v>43586</v>
      </c>
      <c r="E145" s="37">
        <f>YEAR(ClientDB[[#This Row],[Start Date]])</f>
        <v>2019</v>
      </c>
      <c r="F145" t="s">
        <v>827</v>
      </c>
      <c r="G145" t="str">
        <f>VLOOKUP(ClientDB[[#This Row],[Org Code]],'Lookup Lists'!$A$7:$B$52,2,0)</f>
        <v>Ripple Com</v>
      </c>
      <c r="H145" s="10" t="s">
        <v>15</v>
      </c>
      <c r="I145" s="10" t="str">
        <f>VLOOKUP(ClientDB[[#This Row],[Country Code]],'Lookup Lists'!$D$7:$E$59,2,0)</f>
        <v>United Kingdom</v>
      </c>
      <c r="J145" s="15">
        <v>3</v>
      </c>
      <c r="K145" s="15" t="str">
        <f>IF(ClientDB[[#This Row],[Start Date]]&gt;=$U$14,"New","")</f>
        <v/>
      </c>
      <c r="L145" s="15" t="str">
        <f>IF(AND(ClientDB[[#This Row],[Start Year]]&lt;2016,ClientDB[[#This Row],[Events]]&gt;=6),"Gift","")</f>
        <v/>
      </c>
      <c r="M14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45" s="15">
        <v>2</v>
      </c>
      <c r="O145" s="38">
        <f>ClientDB[[#This Row],[Days]]*(IF(ClientDB[[#This Row],[Days]]&gt;1,300,350))</f>
        <v>600</v>
      </c>
      <c r="P14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145" s="15" t="s">
        <v>901</v>
      </c>
      <c r="R145" s="15" t="str">
        <f>INDEX('Lookup Lists'!$H$7:$K$59,MATCH(ClientDB[[#This Row],[Country Code]],'Lookup Lists'!$G$7:$G$59,0),(MATCH(ClientDB[[#This Row],[Meal]],'Lookup Lists'!$H$6:$K$6,0)))</f>
        <v>E</v>
      </c>
    </row>
    <row r="146" spans="1:18" x14ac:dyDescent="0.2">
      <c r="A146" s="10">
        <v>22216</v>
      </c>
      <c r="B146" t="s">
        <v>612</v>
      </c>
      <c r="C146" t="s">
        <v>613</v>
      </c>
      <c r="D146" s="18">
        <v>42876</v>
      </c>
      <c r="E146" s="37">
        <f>YEAR(ClientDB[[#This Row],[Start Date]])</f>
        <v>2017</v>
      </c>
      <c r="F146" t="s">
        <v>825</v>
      </c>
      <c r="G146" t="str">
        <f>VLOOKUP(ClientDB[[#This Row],[Org Code]],'Lookup Lists'!$A$7:$B$52,2,0)</f>
        <v>Qinisar</v>
      </c>
      <c r="H146" s="10" t="s">
        <v>46</v>
      </c>
      <c r="I146" s="10" t="str">
        <f>VLOOKUP(ClientDB[[#This Row],[Country Code]],'Lookup Lists'!$D$7:$E$59,2,0)</f>
        <v>Germany</v>
      </c>
      <c r="J146" s="15">
        <v>24</v>
      </c>
      <c r="K146" s="15" t="str">
        <f>IF(ClientDB[[#This Row],[Start Date]]&gt;=$U$14,"New","")</f>
        <v/>
      </c>
      <c r="L146" s="15" t="str">
        <f>IF(AND(ClientDB[[#This Row],[Start Year]]&lt;2016,ClientDB[[#This Row],[Events]]&gt;=6),"Gift","")</f>
        <v/>
      </c>
      <c r="M14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Gold</v>
      </c>
      <c r="N146" s="15">
        <v>3</v>
      </c>
      <c r="O146" s="38">
        <f>ClientDB[[#This Row],[Days]]*(IF(ClientDB[[#This Row],[Days]]&gt;1,300,350))</f>
        <v>900</v>
      </c>
      <c r="P14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146" s="15" t="s">
        <v>901</v>
      </c>
      <c r="R146" s="15" t="str">
        <f>INDEX('Lookup Lists'!$H$7:$K$59,MATCH(ClientDB[[#This Row],[Country Code]],'Lookup Lists'!$G$7:$G$59,0),(MATCH(ClientDB[[#This Row],[Meal]],'Lookup Lists'!$H$6:$K$6,0)))</f>
        <v>D</v>
      </c>
    </row>
    <row r="147" spans="1:18" x14ac:dyDescent="0.2">
      <c r="A147" s="10">
        <v>22256</v>
      </c>
      <c r="B147" t="s">
        <v>561</v>
      </c>
      <c r="C147" t="s">
        <v>562</v>
      </c>
      <c r="D147" s="18">
        <v>43089</v>
      </c>
      <c r="E147" s="37">
        <f>YEAR(ClientDB[[#This Row],[Start Date]])</f>
        <v>2017</v>
      </c>
      <c r="F147" t="s">
        <v>827</v>
      </c>
      <c r="G147" t="str">
        <f>VLOOKUP(ClientDB[[#This Row],[Org Code]],'Lookup Lists'!$A$7:$B$52,2,0)</f>
        <v>Ripple Com</v>
      </c>
      <c r="H147" s="10" t="s">
        <v>15</v>
      </c>
      <c r="I147" s="10" t="str">
        <f>VLOOKUP(ClientDB[[#This Row],[Country Code]],'Lookup Lists'!$D$7:$E$59,2,0)</f>
        <v>United Kingdom</v>
      </c>
      <c r="J147" s="15">
        <v>12</v>
      </c>
      <c r="K147" s="15" t="str">
        <f>IF(ClientDB[[#This Row],[Start Date]]&gt;=$U$14,"New","")</f>
        <v/>
      </c>
      <c r="L147" s="15" t="str">
        <f>IF(AND(ClientDB[[#This Row],[Start Year]]&lt;2016,ClientDB[[#This Row],[Events]]&gt;=6),"Gift","")</f>
        <v/>
      </c>
      <c r="M14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147" s="15">
        <v>2</v>
      </c>
      <c r="O147" s="38">
        <f>ClientDB[[#This Row],[Days]]*(IF(ClientDB[[#This Row],[Days]]&gt;1,300,350))</f>
        <v>600</v>
      </c>
      <c r="P14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147" s="15" t="s">
        <v>902</v>
      </c>
      <c r="R147" s="15" t="str">
        <f>INDEX('Lookup Lists'!$H$7:$K$59,MATCH(ClientDB[[#This Row],[Country Code]],'Lookup Lists'!$G$7:$G$59,0),(MATCH(ClientDB[[#This Row],[Meal]],'Lookup Lists'!$H$6:$K$6,0)))</f>
        <v>B</v>
      </c>
    </row>
    <row r="148" spans="1:18" x14ac:dyDescent="0.2">
      <c r="A148" s="10">
        <v>22270</v>
      </c>
      <c r="B148" t="s">
        <v>691</v>
      </c>
      <c r="C148" t="s">
        <v>692</v>
      </c>
      <c r="D148" s="18">
        <v>44034</v>
      </c>
      <c r="E148" s="37">
        <f>YEAR(ClientDB[[#This Row],[Start Date]])</f>
        <v>2020</v>
      </c>
      <c r="F148" t="s">
        <v>830</v>
      </c>
      <c r="G148" t="str">
        <f>VLOOKUP(ClientDB[[#This Row],[Org Code]],'Lookup Lists'!$A$7:$B$52,2,0)</f>
        <v>Steps IT Training</v>
      </c>
      <c r="H148" s="10" t="s">
        <v>15</v>
      </c>
      <c r="I148" s="10" t="str">
        <f>VLOOKUP(ClientDB[[#This Row],[Country Code]],'Lookup Lists'!$D$7:$E$59,2,0)</f>
        <v>United Kingdom</v>
      </c>
      <c r="J148" s="15">
        <v>1</v>
      </c>
      <c r="K148" s="15" t="str">
        <f>IF(ClientDB[[#This Row],[Start Date]]&gt;=$U$14,"New","")</f>
        <v>New</v>
      </c>
      <c r="L148" s="15" t="str">
        <f>IF(AND(ClientDB[[#This Row],[Start Year]]&lt;2016,ClientDB[[#This Row],[Events]]&gt;=6),"Gift","")</f>
        <v/>
      </c>
      <c r="M14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48" s="15">
        <v>3</v>
      </c>
      <c r="O148" s="38">
        <f>ClientDB[[#This Row],[Days]]*(IF(ClientDB[[#This Row],[Days]]&gt;1,300,350))</f>
        <v>900</v>
      </c>
      <c r="P14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148" s="15" t="s">
        <v>900</v>
      </c>
      <c r="R148" s="15" t="str">
        <f>INDEX('Lookup Lists'!$H$7:$K$59,MATCH(ClientDB[[#This Row],[Country Code]],'Lookup Lists'!$G$7:$G$59,0),(MATCH(ClientDB[[#This Row],[Meal]],'Lookup Lists'!$H$6:$K$6,0)))</f>
        <v>A</v>
      </c>
    </row>
    <row r="149" spans="1:18" x14ac:dyDescent="0.2">
      <c r="A149" s="10">
        <v>22329</v>
      </c>
      <c r="B149" t="s">
        <v>140</v>
      </c>
      <c r="C149" t="s">
        <v>141</v>
      </c>
      <c r="D149" s="18">
        <v>42637</v>
      </c>
      <c r="E149" s="37">
        <f>YEAR(ClientDB[[#This Row],[Start Date]])</f>
        <v>2016</v>
      </c>
      <c r="F149" t="s">
        <v>833</v>
      </c>
      <c r="G149" t="str">
        <f>VLOOKUP(ClientDB[[#This Row],[Org Code]],'Lookup Lists'!$A$7:$B$52,2,0)</f>
        <v>UON</v>
      </c>
      <c r="H149" s="10" t="s">
        <v>143</v>
      </c>
      <c r="I149" s="10" t="str">
        <f>VLOOKUP(ClientDB[[#This Row],[Country Code]],'Lookup Lists'!$D$7:$E$59,2,0)</f>
        <v>Oman</v>
      </c>
      <c r="J149" s="15">
        <v>19</v>
      </c>
      <c r="K149" s="15" t="str">
        <f>IF(ClientDB[[#This Row],[Start Date]]&gt;=$U$14,"New","")</f>
        <v/>
      </c>
      <c r="L149" s="15" t="str">
        <f>IF(AND(ClientDB[[#This Row],[Start Year]]&lt;2016,ClientDB[[#This Row],[Events]]&gt;=6),"Gift","")</f>
        <v/>
      </c>
      <c r="M14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149" s="15">
        <v>2</v>
      </c>
      <c r="O149" s="38">
        <f>ClientDB[[#This Row],[Days]]*(IF(ClientDB[[#This Row],[Days]]&gt;1,300,350))</f>
        <v>600</v>
      </c>
      <c r="P14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149" s="15" t="s">
        <v>901</v>
      </c>
      <c r="R149" s="15" t="str">
        <f>INDEX('Lookup Lists'!$H$7:$K$59,MATCH(ClientDB[[#This Row],[Country Code]],'Lookup Lists'!$G$7:$G$59,0),(MATCH(ClientDB[[#This Row],[Meal]],'Lookup Lists'!$H$6:$K$6,0)))</f>
        <v>F</v>
      </c>
    </row>
    <row r="150" spans="1:18" x14ac:dyDescent="0.2">
      <c r="A150" s="10">
        <v>22347</v>
      </c>
      <c r="B150" t="s">
        <v>686</v>
      </c>
      <c r="C150" t="s">
        <v>687</v>
      </c>
      <c r="D150" s="18">
        <v>42359</v>
      </c>
      <c r="E150" s="37">
        <f>YEAR(ClientDB[[#This Row],[Start Date]])</f>
        <v>2015</v>
      </c>
      <c r="F150" t="s">
        <v>802</v>
      </c>
      <c r="G150" t="str">
        <f>VLOOKUP(ClientDB[[#This Row],[Org Code]],'Lookup Lists'!$A$7:$B$52,2,0)</f>
        <v>Colot</v>
      </c>
      <c r="H150" s="10" t="s">
        <v>78</v>
      </c>
      <c r="I150" s="10" t="str">
        <f>VLOOKUP(ClientDB[[#This Row],[Country Code]],'Lookup Lists'!$D$7:$E$59,2,0)</f>
        <v>Sweden</v>
      </c>
      <c r="J150" s="15">
        <v>5</v>
      </c>
      <c r="K150" s="15" t="str">
        <f>IF(ClientDB[[#This Row],[Start Date]]&gt;=$U$14,"New","")</f>
        <v/>
      </c>
      <c r="L150" s="15" t="str">
        <f>IF(AND(ClientDB[[#This Row],[Start Year]]&lt;2016,ClientDB[[#This Row],[Events]]&gt;=6),"Gift","")</f>
        <v/>
      </c>
      <c r="M15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50" s="15">
        <v>3</v>
      </c>
      <c r="O150" s="38">
        <f>ClientDB[[#This Row],[Days]]*(IF(ClientDB[[#This Row],[Days]]&gt;1,300,350))</f>
        <v>900</v>
      </c>
      <c r="P15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150" s="15" t="s">
        <v>901</v>
      </c>
      <c r="R150" s="15" t="str">
        <f>INDEX('Lookup Lists'!$H$7:$K$59,MATCH(ClientDB[[#This Row],[Country Code]],'Lookup Lists'!$G$7:$G$59,0),(MATCH(ClientDB[[#This Row],[Meal]],'Lookup Lists'!$H$6:$K$6,0)))</f>
        <v>G</v>
      </c>
    </row>
    <row r="151" spans="1:18" x14ac:dyDescent="0.2">
      <c r="A151" s="10">
        <v>22368</v>
      </c>
      <c r="B151" t="s">
        <v>167</v>
      </c>
      <c r="C151" t="s">
        <v>168</v>
      </c>
      <c r="D151" s="18">
        <v>42758</v>
      </c>
      <c r="E151" s="37">
        <f>YEAR(ClientDB[[#This Row],[Start Date]])</f>
        <v>2017</v>
      </c>
      <c r="F151" t="s">
        <v>827</v>
      </c>
      <c r="G151" t="str">
        <f>VLOOKUP(ClientDB[[#This Row],[Org Code]],'Lookup Lists'!$A$7:$B$52,2,0)</f>
        <v>Ripple Com</v>
      </c>
      <c r="H151" s="10" t="s">
        <v>15</v>
      </c>
      <c r="I151" s="10" t="str">
        <f>VLOOKUP(ClientDB[[#This Row],[Country Code]],'Lookup Lists'!$D$7:$E$59,2,0)</f>
        <v>United Kingdom</v>
      </c>
      <c r="J151" s="15">
        <v>2</v>
      </c>
      <c r="K151" s="15" t="str">
        <f>IF(ClientDB[[#This Row],[Start Date]]&gt;=$U$14,"New","")</f>
        <v/>
      </c>
      <c r="L151" s="15" t="str">
        <f>IF(AND(ClientDB[[#This Row],[Start Year]]&lt;2016,ClientDB[[#This Row],[Events]]&gt;=6),"Gift","")</f>
        <v/>
      </c>
      <c r="M15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51" s="15">
        <v>3</v>
      </c>
      <c r="O151" s="38">
        <f>ClientDB[[#This Row],[Days]]*(IF(ClientDB[[#This Row],[Days]]&gt;1,300,350))</f>
        <v>900</v>
      </c>
      <c r="P15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151" s="15" t="s">
        <v>901</v>
      </c>
      <c r="R151" s="15" t="str">
        <f>INDEX('Lookup Lists'!$H$7:$K$59,MATCH(ClientDB[[#This Row],[Country Code]],'Lookup Lists'!$G$7:$G$59,0),(MATCH(ClientDB[[#This Row],[Meal]],'Lookup Lists'!$H$6:$K$6,0)))</f>
        <v>E</v>
      </c>
    </row>
    <row r="152" spans="1:18" x14ac:dyDescent="0.2">
      <c r="A152" s="10">
        <v>22459</v>
      </c>
      <c r="B152" t="s">
        <v>595</v>
      </c>
      <c r="C152" t="s">
        <v>596</v>
      </c>
      <c r="D152" s="18">
        <v>43415</v>
      </c>
      <c r="E152" s="37">
        <f>YEAR(ClientDB[[#This Row],[Start Date]])</f>
        <v>2018</v>
      </c>
      <c r="F152" t="s">
        <v>836</v>
      </c>
      <c r="G152" t="str">
        <f>VLOOKUP(ClientDB[[#This Row],[Org Code]],'Lookup Lists'!$A$7:$B$52,2,0)</f>
        <v>Wiz Labs</v>
      </c>
      <c r="H152" s="10" t="s">
        <v>274</v>
      </c>
      <c r="I152" s="10" t="str">
        <f>VLOOKUP(ClientDB[[#This Row],[Country Code]],'Lookup Lists'!$D$7:$E$59,2,0)</f>
        <v>Spain</v>
      </c>
      <c r="J152" s="15">
        <v>4</v>
      </c>
      <c r="K152" s="15" t="str">
        <f>IF(ClientDB[[#This Row],[Start Date]]&gt;=$U$14,"New","")</f>
        <v/>
      </c>
      <c r="L152" s="15" t="str">
        <f>IF(AND(ClientDB[[#This Row],[Start Year]]&lt;2016,ClientDB[[#This Row],[Events]]&gt;=6),"Gift","")</f>
        <v/>
      </c>
      <c r="M15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52" s="15">
        <v>3</v>
      </c>
      <c r="O152" s="38">
        <f>ClientDB[[#This Row],[Days]]*(IF(ClientDB[[#This Row],[Days]]&gt;1,300,350))</f>
        <v>900</v>
      </c>
      <c r="P15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152" s="15" t="s">
        <v>901</v>
      </c>
      <c r="R152" s="15" t="str">
        <f>INDEX('Lookup Lists'!$H$7:$K$59,MATCH(ClientDB[[#This Row],[Country Code]],'Lookup Lists'!$G$7:$G$59,0),(MATCH(ClientDB[[#This Row],[Meal]],'Lookup Lists'!$H$6:$K$6,0)))</f>
        <v>D</v>
      </c>
    </row>
    <row r="153" spans="1:18" x14ac:dyDescent="0.2">
      <c r="A153" s="10">
        <v>22475</v>
      </c>
      <c r="B153" t="s">
        <v>170</v>
      </c>
      <c r="C153" t="s">
        <v>171</v>
      </c>
      <c r="D153" s="18">
        <v>43485</v>
      </c>
      <c r="E153" s="37">
        <f>YEAR(ClientDB[[#This Row],[Start Date]])</f>
        <v>2019</v>
      </c>
      <c r="F153" t="s">
        <v>837</v>
      </c>
      <c r="G153" t="str">
        <f>VLOOKUP(ClientDB[[#This Row],[Org Code]],'Lookup Lists'!$A$7:$B$52,2,0)</f>
        <v>WWT</v>
      </c>
      <c r="H153" s="10" t="s">
        <v>155</v>
      </c>
      <c r="I153" s="10" t="str">
        <f>VLOOKUP(ClientDB[[#This Row],[Country Code]],'Lookup Lists'!$D$7:$E$59,2,0)</f>
        <v>United Arab Emirates</v>
      </c>
      <c r="J153" s="15">
        <v>33</v>
      </c>
      <c r="K153" s="15" t="str">
        <f>IF(ClientDB[[#This Row],[Start Date]]&gt;=$U$14,"New","")</f>
        <v/>
      </c>
      <c r="L153" s="15" t="str">
        <f>IF(AND(ClientDB[[#This Row],[Start Year]]&lt;2016,ClientDB[[#This Row],[Events]]&gt;=6),"Gift","")</f>
        <v/>
      </c>
      <c r="M15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Platinum</v>
      </c>
      <c r="N153" s="15">
        <v>2</v>
      </c>
      <c r="O153" s="38">
        <f>ClientDB[[#This Row],[Days]]*(IF(ClientDB[[#This Row],[Days]]&gt;1,300,350))</f>
        <v>600</v>
      </c>
      <c r="P15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153" s="15" t="s">
        <v>901</v>
      </c>
      <c r="R153" s="15" t="str">
        <f>INDEX('Lookup Lists'!$H$7:$K$59,MATCH(ClientDB[[#This Row],[Country Code]],'Lookup Lists'!$G$7:$G$59,0),(MATCH(ClientDB[[#This Row],[Meal]],'Lookup Lists'!$H$6:$K$6,0)))</f>
        <v>D</v>
      </c>
    </row>
    <row r="154" spans="1:18" x14ac:dyDescent="0.2">
      <c r="A154" s="10">
        <v>22740</v>
      </c>
      <c r="B154" t="s">
        <v>135</v>
      </c>
      <c r="C154" t="s">
        <v>136</v>
      </c>
      <c r="D154" s="18">
        <v>43935</v>
      </c>
      <c r="E154" s="37">
        <f>YEAR(ClientDB[[#This Row],[Start Date]])</f>
        <v>2020</v>
      </c>
      <c r="F154" t="s">
        <v>819</v>
      </c>
      <c r="G154" t="str">
        <f>VLOOKUP(ClientDB[[#This Row],[Org Code]],'Lookup Lists'!$A$7:$B$52,2,0)</f>
        <v>NetaAssist</v>
      </c>
      <c r="H154" s="10" t="s">
        <v>15</v>
      </c>
      <c r="I154" s="10" t="str">
        <f>VLOOKUP(ClientDB[[#This Row],[Country Code]],'Lookup Lists'!$D$7:$E$59,2,0)</f>
        <v>United Kingdom</v>
      </c>
      <c r="J154" s="15">
        <v>2</v>
      </c>
      <c r="K154" s="15" t="str">
        <f>IF(ClientDB[[#This Row],[Start Date]]&gt;=$U$14,"New","")</f>
        <v>New</v>
      </c>
      <c r="L154" s="15" t="str">
        <f>IF(AND(ClientDB[[#This Row],[Start Year]]&lt;2016,ClientDB[[#This Row],[Events]]&gt;=6),"Gift","")</f>
        <v/>
      </c>
      <c r="M15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54" s="15">
        <v>3</v>
      </c>
      <c r="O154" s="38">
        <f>ClientDB[[#This Row],[Days]]*(IF(ClientDB[[#This Row],[Days]]&gt;1,300,350))</f>
        <v>900</v>
      </c>
      <c r="P15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154" s="15" t="s">
        <v>899</v>
      </c>
      <c r="R154" s="15" t="str">
        <f>INDEX('Lookup Lists'!$H$7:$K$59,MATCH(ClientDB[[#This Row],[Country Code]],'Lookup Lists'!$G$7:$G$59,0),(MATCH(ClientDB[[#This Row],[Meal]],'Lookup Lists'!$H$6:$K$6,0)))</f>
        <v>A</v>
      </c>
    </row>
    <row r="155" spans="1:18" x14ac:dyDescent="0.2">
      <c r="A155" s="10">
        <v>23011</v>
      </c>
      <c r="B155" t="s">
        <v>767</v>
      </c>
      <c r="C155" t="s">
        <v>411</v>
      </c>
      <c r="D155" s="18">
        <v>43085</v>
      </c>
      <c r="E155" s="37">
        <f>YEAR(ClientDB[[#This Row],[Start Date]])</f>
        <v>2017</v>
      </c>
      <c r="F155" t="s">
        <v>827</v>
      </c>
      <c r="G155" t="str">
        <f>VLOOKUP(ClientDB[[#This Row],[Org Code]],'Lookup Lists'!$A$7:$B$52,2,0)</f>
        <v>Ripple Com</v>
      </c>
      <c r="H155" s="10" t="s">
        <v>15</v>
      </c>
      <c r="I155" s="10" t="str">
        <f>VLOOKUP(ClientDB[[#This Row],[Country Code]],'Lookup Lists'!$D$7:$E$59,2,0)</f>
        <v>United Kingdom</v>
      </c>
      <c r="J155" s="15">
        <v>8</v>
      </c>
      <c r="K155" s="15" t="str">
        <f>IF(ClientDB[[#This Row],[Start Date]]&gt;=$U$14,"New","")</f>
        <v/>
      </c>
      <c r="L155" s="15" t="str">
        <f>IF(AND(ClientDB[[#This Row],[Start Year]]&lt;2016,ClientDB[[#This Row],[Events]]&gt;=6),"Gift","")</f>
        <v/>
      </c>
      <c r="M15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55" s="15">
        <v>2</v>
      </c>
      <c r="O155" s="38">
        <f>ClientDB[[#This Row],[Days]]*(IF(ClientDB[[#This Row],[Days]]&gt;1,300,350))</f>
        <v>600</v>
      </c>
      <c r="P15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155" s="15" t="s">
        <v>901</v>
      </c>
      <c r="R155" s="15" t="str">
        <f>INDEX('Lookup Lists'!$H$7:$K$59,MATCH(ClientDB[[#This Row],[Country Code]],'Lookup Lists'!$G$7:$G$59,0),(MATCH(ClientDB[[#This Row],[Meal]],'Lookup Lists'!$H$6:$K$6,0)))</f>
        <v>E</v>
      </c>
    </row>
    <row r="156" spans="1:18" x14ac:dyDescent="0.2">
      <c r="A156" s="10">
        <v>23052</v>
      </c>
      <c r="B156" t="s">
        <v>730</v>
      </c>
      <c r="C156" t="s">
        <v>731</v>
      </c>
      <c r="D156" s="18">
        <v>43712</v>
      </c>
      <c r="E156" s="37">
        <f>YEAR(ClientDB[[#This Row],[Start Date]])</f>
        <v>2019</v>
      </c>
      <c r="F156" t="s">
        <v>819</v>
      </c>
      <c r="G156" t="str">
        <f>VLOOKUP(ClientDB[[#This Row],[Org Code]],'Lookup Lists'!$A$7:$B$52,2,0)</f>
        <v>NetaAssist</v>
      </c>
      <c r="H156" s="10" t="s">
        <v>34</v>
      </c>
      <c r="I156" s="10" t="str">
        <f>VLOOKUP(ClientDB[[#This Row],[Country Code]],'Lookup Lists'!$D$7:$E$59,2,0)</f>
        <v>United States</v>
      </c>
      <c r="J156" s="15">
        <v>13</v>
      </c>
      <c r="K156" s="15" t="str">
        <f>IF(ClientDB[[#This Row],[Start Date]]&gt;=$U$14,"New","")</f>
        <v/>
      </c>
      <c r="L156" s="15" t="str">
        <f>IF(AND(ClientDB[[#This Row],[Start Year]]&lt;2016,ClientDB[[#This Row],[Events]]&gt;=6),"Gift","")</f>
        <v/>
      </c>
      <c r="M15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156" s="15">
        <v>1</v>
      </c>
      <c r="O156" s="38">
        <f>ClientDB[[#This Row],[Days]]*(IF(ClientDB[[#This Row],[Days]]&gt;1,300,350))</f>
        <v>350</v>
      </c>
      <c r="P15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156" s="15" t="s">
        <v>901</v>
      </c>
      <c r="R156" s="15" t="str">
        <f>INDEX('Lookup Lists'!$H$7:$K$59,MATCH(ClientDB[[#This Row],[Country Code]],'Lookup Lists'!$G$7:$G$59,0),(MATCH(ClientDB[[#This Row],[Meal]],'Lookup Lists'!$H$6:$K$6,0)))</f>
        <v>G</v>
      </c>
    </row>
    <row r="157" spans="1:18" x14ac:dyDescent="0.2">
      <c r="A157" s="10">
        <v>23238</v>
      </c>
      <c r="B157" t="s">
        <v>559</v>
      </c>
      <c r="C157" t="s">
        <v>560</v>
      </c>
      <c r="D157" s="18">
        <v>43963</v>
      </c>
      <c r="E157" s="37">
        <f>YEAR(ClientDB[[#This Row],[Start Date]])</f>
        <v>2020</v>
      </c>
      <c r="F157" t="s">
        <v>800</v>
      </c>
      <c r="G157" t="str">
        <f>VLOOKUP(ClientDB[[#This Row],[Org Code]],'Lookup Lists'!$A$7:$B$52,2,0)</f>
        <v>Chirah Technologies</v>
      </c>
      <c r="H157" s="10" t="s">
        <v>155</v>
      </c>
      <c r="I157" s="10" t="str">
        <f>VLOOKUP(ClientDB[[#This Row],[Country Code]],'Lookup Lists'!$D$7:$E$59,2,0)</f>
        <v>United Arab Emirates</v>
      </c>
      <c r="J157" s="15">
        <v>3</v>
      </c>
      <c r="K157" s="15" t="str">
        <f>IF(ClientDB[[#This Row],[Start Date]]&gt;=$U$14,"New","")</f>
        <v>New</v>
      </c>
      <c r="L157" s="15" t="str">
        <f>IF(AND(ClientDB[[#This Row],[Start Year]]&lt;2016,ClientDB[[#This Row],[Events]]&gt;=6),"Gift","")</f>
        <v/>
      </c>
      <c r="M15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57" s="15">
        <v>1</v>
      </c>
      <c r="O157" s="38">
        <f>ClientDB[[#This Row],[Days]]*(IF(ClientDB[[#This Row],[Days]]&gt;1,300,350))</f>
        <v>350</v>
      </c>
      <c r="P15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157" s="15" t="s">
        <v>899</v>
      </c>
      <c r="R157" s="15" t="str">
        <f>INDEX('Lookup Lists'!$H$7:$K$59,MATCH(ClientDB[[#This Row],[Country Code]],'Lookup Lists'!$G$7:$G$59,0),(MATCH(ClientDB[[#This Row],[Meal]],'Lookup Lists'!$H$6:$K$6,0)))</f>
        <v>A</v>
      </c>
    </row>
    <row r="158" spans="1:18" x14ac:dyDescent="0.2">
      <c r="A158" s="10">
        <v>23254</v>
      </c>
      <c r="B158" t="s">
        <v>424</v>
      </c>
      <c r="C158" t="s">
        <v>425</v>
      </c>
      <c r="D158" s="18">
        <v>43298</v>
      </c>
      <c r="E158" s="37">
        <f>YEAR(ClientDB[[#This Row],[Start Date]])</f>
        <v>2018</v>
      </c>
      <c r="F158" t="s">
        <v>827</v>
      </c>
      <c r="G158" t="str">
        <f>VLOOKUP(ClientDB[[#This Row],[Org Code]],'Lookup Lists'!$A$7:$B$52,2,0)</f>
        <v>Ripple Com</v>
      </c>
      <c r="H158" s="10" t="s">
        <v>59</v>
      </c>
      <c r="I158" s="10" t="str">
        <f>VLOOKUP(ClientDB[[#This Row],[Country Code]],'Lookup Lists'!$D$7:$E$59,2,0)</f>
        <v>Netherlands</v>
      </c>
      <c r="J158" s="15">
        <v>7</v>
      </c>
      <c r="K158" s="15" t="str">
        <f>IF(ClientDB[[#This Row],[Start Date]]&gt;=$U$14,"New","")</f>
        <v/>
      </c>
      <c r="L158" s="15" t="str">
        <f>IF(AND(ClientDB[[#This Row],[Start Year]]&lt;2016,ClientDB[[#This Row],[Events]]&gt;=6),"Gift","")</f>
        <v/>
      </c>
      <c r="M15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58" s="15">
        <v>1</v>
      </c>
      <c r="O158" s="38">
        <f>ClientDB[[#This Row],[Days]]*(IF(ClientDB[[#This Row],[Days]]&gt;1,300,350))</f>
        <v>350</v>
      </c>
      <c r="P15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158" s="15" t="s">
        <v>901</v>
      </c>
      <c r="R158" s="15" t="str">
        <f>INDEX('Lookup Lists'!$H$7:$K$59,MATCH(ClientDB[[#This Row],[Country Code]],'Lookup Lists'!$G$7:$G$59,0),(MATCH(ClientDB[[#This Row],[Meal]],'Lookup Lists'!$H$6:$K$6,0)))</f>
        <v>F</v>
      </c>
    </row>
    <row r="159" spans="1:18" x14ac:dyDescent="0.2">
      <c r="A159" s="10">
        <v>23268</v>
      </c>
      <c r="B159" t="s">
        <v>115</v>
      </c>
      <c r="C159" t="s">
        <v>116</v>
      </c>
      <c r="D159" s="18">
        <v>42172</v>
      </c>
      <c r="E159" s="37">
        <f>YEAR(ClientDB[[#This Row],[Start Date]])</f>
        <v>2015</v>
      </c>
      <c r="F159" t="s">
        <v>810</v>
      </c>
      <c r="G159" t="str">
        <f>VLOOKUP(ClientDB[[#This Row],[Org Code]],'Lookup Lists'!$A$7:$B$52,2,0)</f>
        <v>Euro-M</v>
      </c>
      <c r="H159" s="10" t="s">
        <v>15</v>
      </c>
      <c r="I159" s="10" t="str">
        <f>VLOOKUP(ClientDB[[#This Row],[Country Code]],'Lookup Lists'!$D$7:$E$59,2,0)</f>
        <v>United Kingdom</v>
      </c>
      <c r="J159" s="15">
        <v>14</v>
      </c>
      <c r="K159" s="15" t="str">
        <f>IF(ClientDB[[#This Row],[Start Date]]&gt;=$U$14,"New","")</f>
        <v/>
      </c>
      <c r="L159" s="15" t="str">
        <f>IF(AND(ClientDB[[#This Row],[Start Year]]&lt;2016,ClientDB[[#This Row],[Events]]&gt;=6),"Gift","")</f>
        <v>Gift</v>
      </c>
      <c r="M15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159" s="15">
        <v>1</v>
      </c>
      <c r="O159" s="38">
        <f>ClientDB[[#This Row],[Days]]*(IF(ClientDB[[#This Row],[Days]]&gt;1,300,350))</f>
        <v>350</v>
      </c>
      <c r="P15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159" s="15" t="s">
        <v>901</v>
      </c>
      <c r="R159" s="15" t="str">
        <f>INDEX('Lookup Lists'!$H$7:$K$59,MATCH(ClientDB[[#This Row],[Country Code]],'Lookup Lists'!$G$7:$G$59,0),(MATCH(ClientDB[[#This Row],[Meal]],'Lookup Lists'!$H$6:$K$6,0)))</f>
        <v>E</v>
      </c>
    </row>
    <row r="160" spans="1:18" x14ac:dyDescent="0.2">
      <c r="A160" s="10">
        <v>23449</v>
      </c>
      <c r="B160" t="s">
        <v>703</v>
      </c>
      <c r="C160" t="s">
        <v>458</v>
      </c>
      <c r="D160" s="18">
        <v>43910</v>
      </c>
      <c r="E160" s="37">
        <f>YEAR(ClientDB[[#This Row],[Start Date]])</f>
        <v>2020</v>
      </c>
      <c r="F160" t="s">
        <v>827</v>
      </c>
      <c r="G160" t="str">
        <f>VLOOKUP(ClientDB[[#This Row],[Org Code]],'Lookup Lists'!$A$7:$B$52,2,0)</f>
        <v>Ripple Com</v>
      </c>
      <c r="H160" s="10" t="s">
        <v>277</v>
      </c>
      <c r="I160" s="10" t="str">
        <f>VLOOKUP(ClientDB[[#This Row],[Country Code]],'Lookup Lists'!$D$7:$E$59,2,0)</f>
        <v>Saudi Arabia</v>
      </c>
      <c r="J160" s="15">
        <v>7</v>
      </c>
      <c r="K160" s="15" t="str">
        <f>IF(ClientDB[[#This Row],[Start Date]]&gt;=$U$14,"New","")</f>
        <v>New</v>
      </c>
      <c r="L160" s="15" t="str">
        <f>IF(AND(ClientDB[[#This Row],[Start Year]]&lt;2016,ClientDB[[#This Row],[Events]]&gt;=6),"Gift","")</f>
        <v/>
      </c>
      <c r="M16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60" s="15">
        <v>2</v>
      </c>
      <c r="O160" s="38">
        <f>ClientDB[[#This Row],[Days]]*(IF(ClientDB[[#This Row],[Days]]&gt;1,300,350))</f>
        <v>600</v>
      </c>
      <c r="P16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160" s="15" t="s">
        <v>901</v>
      </c>
      <c r="R160" s="15" t="str">
        <f>INDEX('Lookup Lists'!$H$7:$K$59,MATCH(ClientDB[[#This Row],[Country Code]],'Lookup Lists'!$G$7:$G$59,0),(MATCH(ClientDB[[#This Row],[Meal]],'Lookup Lists'!$H$6:$K$6,0)))</f>
        <v>G</v>
      </c>
    </row>
    <row r="161" spans="1:18" x14ac:dyDescent="0.2">
      <c r="A161" s="10">
        <v>23623</v>
      </c>
      <c r="B161" t="s">
        <v>263</v>
      </c>
      <c r="C161" t="s">
        <v>393</v>
      </c>
      <c r="D161" s="18">
        <v>43990</v>
      </c>
      <c r="E161" s="37">
        <f>YEAR(ClientDB[[#This Row],[Start Date]])</f>
        <v>2020</v>
      </c>
      <c r="F161" t="s">
        <v>818</v>
      </c>
      <c r="G161" t="str">
        <f>VLOOKUP(ClientDB[[#This Row],[Org Code]],'Lookup Lists'!$A$7:$B$52,2,0)</f>
        <v>Mojbal</v>
      </c>
      <c r="H161" s="10" t="s">
        <v>46</v>
      </c>
      <c r="I161" s="10" t="str">
        <f>VLOOKUP(ClientDB[[#This Row],[Country Code]],'Lookup Lists'!$D$7:$E$59,2,0)</f>
        <v>Germany</v>
      </c>
      <c r="J161" s="15">
        <v>2</v>
      </c>
      <c r="K161" s="15" t="str">
        <f>IF(ClientDB[[#This Row],[Start Date]]&gt;=$U$14,"New","")</f>
        <v>New</v>
      </c>
      <c r="L161" s="15" t="str">
        <f>IF(AND(ClientDB[[#This Row],[Start Year]]&lt;2016,ClientDB[[#This Row],[Events]]&gt;=6),"Gift","")</f>
        <v/>
      </c>
      <c r="M16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61" s="15">
        <v>2</v>
      </c>
      <c r="O161" s="38">
        <f>ClientDB[[#This Row],[Days]]*(IF(ClientDB[[#This Row],[Days]]&gt;1,300,350))</f>
        <v>600</v>
      </c>
      <c r="P16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161" s="15" t="s">
        <v>899</v>
      </c>
      <c r="R161" s="15" t="str">
        <f>INDEX('Lookup Lists'!$H$7:$K$59,MATCH(ClientDB[[#This Row],[Country Code]],'Lookup Lists'!$G$7:$G$59,0),(MATCH(ClientDB[[#This Row],[Meal]],'Lookup Lists'!$H$6:$K$6,0)))</f>
        <v>A</v>
      </c>
    </row>
    <row r="162" spans="1:18" x14ac:dyDescent="0.2">
      <c r="A162" s="10">
        <v>23689</v>
      </c>
      <c r="B162" t="s">
        <v>287</v>
      </c>
      <c r="C162" t="s">
        <v>288</v>
      </c>
      <c r="D162" s="18">
        <v>43920</v>
      </c>
      <c r="E162" s="37">
        <f>YEAR(ClientDB[[#This Row],[Start Date]])</f>
        <v>2020</v>
      </c>
      <c r="F162" t="s">
        <v>838</v>
      </c>
      <c r="G162" t="str">
        <f>VLOOKUP(ClientDB[[#This Row],[Org Code]],'Lookup Lists'!$A$7:$B$52,2,0)</f>
        <v>xLAN Internet Exchange</v>
      </c>
      <c r="H162" s="10" t="s">
        <v>54</v>
      </c>
      <c r="I162" s="10" t="str">
        <f>VLOOKUP(ClientDB[[#This Row],[Country Code]],'Lookup Lists'!$D$7:$E$59,2,0)</f>
        <v>Romania</v>
      </c>
      <c r="J162" s="15">
        <v>2</v>
      </c>
      <c r="K162" s="15" t="str">
        <f>IF(ClientDB[[#This Row],[Start Date]]&gt;=$U$14,"New","")</f>
        <v>New</v>
      </c>
      <c r="L162" s="15" t="str">
        <f>IF(AND(ClientDB[[#This Row],[Start Year]]&lt;2016,ClientDB[[#This Row],[Events]]&gt;=6),"Gift","")</f>
        <v/>
      </c>
      <c r="M16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62" s="15">
        <v>2</v>
      </c>
      <c r="O162" s="38">
        <f>ClientDB[[#This Row],[Days]]*(IF(ClientDB[[#This Row],[Days]]&gt;1,300,350))</f>
        <v>600</v>
      </c>
      <c r="P16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162" s="15" t="s">
        <v>901</v>
      </c>
      <c r="R162" s="15" t="str">
        <f>INDEX('Lookup Lists'!$H$7:$K$59,MATCH(ClientDB[[#This Row],[Country Code]],'Lookup Lists'!$G$7:$G$59,0),(MATCH(ClientDB[[#This Row],[Meal]],'Lookup Lists'!$H$6:$K$6,0)))</f>
        <v>G</v>
      </c>
    </row>
    <row r="163" spans="1:18" x14ac:dyDescent="0.2">
      <c r="A163" s="10">
        <v>23830</v>
      </c>
      <c r="B163" t="s">
        <v>355</v>
      </c>
      <c r="C163" t="s">
        <v>356</v>
      </c>
      <c r="D163" s="18">
        <v>43950</v>
      </c>
      <c r="E163" s="37">
        <f>YEAR(ClientDB[[#This Row],[Start Date]])</f>
        <v>2020</v>
      </c>
      <c r="F163" t="s">
        <v>825</v>
      </c>
      <c r="G163" t="str">
        <f>VLOOKUP(ClientDB[[#This Row],[Org Code]],'Lookup Lists'!$A$7:$B$52,2,0)</f>
        <v>Qinisar</v>
      </c>
      <c r="H163" s="10" t="s">
        <v>26</v>
      </c>
      <c r="I163" s="10" t="str">
        <f>VLOOKUP(ClientDB[[#This Row],[Country Code]],'Lookup Lists'!$D$7:$E$59,2,0)</f>
        <v>Ukraine</v>
      </c>
      <c r="J163" s="15">
        <v>3</v>
      </c>
      <c r="K163" s="15" t="str">
        <f>IF(ClientDB[[#This Row],[Start Date]]&gt;=$U$14,"New","")</f>
        <v>New</v>
      </c>
      <c r="L163" s="15" t="str">
        <f>IF(AND(ClientDB[[#This Row],[Start Year]]&lt;2016,ClientDB[[#This Row],[Events]]&gt;=6),"Gift","")</f>
        <v/>
      </c>
      <c r="M16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63" s="15">
        <v>3</v>
      </c>
      <c r="O163" s="38">
        <f>ClientDB[[#This Row],[Days]]*(IF(ClientDB[[#This Row],[Days]]&gt;1,300,350))</f>
        <v>900</v>
      </c>
      <c r="P16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163" s="15" t="s">
        <v>901</v>
      </c>
      <c r="R163" s="15" t="str">
        <f>INDEX('Lookup Lists'!$H$7:$K$59,MATCH(ClientDB[[#This Row],[Country Code]],'Lookup Lists'!$G$7:$G$59,0),(MATCH(ClientDB[[#This Row],[Meal]],'Lookup Lists'!$H$6:$K$6,0)))</f>
        <v>G</v>
      </c>
    </row>
    <row r="164" spans="1:18" x14ac:dyDescent="0.2">
      <c r="A164" s="10">
        <v>24004</v>
      </c>
      <c r="B164" t="s">
        <v>374</v>
      </c>
      <c r="C164" t="s">
        <v>375</v>
      </c>
      <c r="D164" s="18">
        <v>44061</v>
      </c>
      <c r="E164" s="37">
        <f>YEAR(ClientDB[[#This Row],[Start Date]])</f>
        <v>2020</v>
      </c>
      <c r="F164" t="s">
        <v>802</v>
      </c>
      <c r="G164" t="str">
        <f>VLOOKUP(ClientDB[[#This Row],[Org Code]],'Lookup Lists'!$A$7:$B$52,2,0)</f>
        <v>Colot</v>
      </c>
      <c r="H164" s="10" t="s">
        <v>59</v>
      </c>
      <c r="I164" s="10" t="str">
        <f>VLOOKUP(ClientDB[[#This Row],[Country Code]],'Lookup Lists'!$D$7:$E$59,2,0)</f>
        <v>Netherlands</v>
      </c>
      <c r="J164" s="15">
        <v>1</v>
      </c>
      <c r="K164" s="15" t="str">
        <f>IF(ClientDB[[#This Row],[Start Date]]&gt;=$U$14,"New","")</f>
        <v>New</v>
      </c>
      <c r="L164" s="15" t="str">
        <f>IF(AND(ClientDB[[#This Row],[Start Year]]&lt;2016,ClientDB[[#This Row],[Events]]&gt;=6),"Gift","")</f>
        <v/>
      </c>
      <c r="M16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64" s="15">
        <v>2</v>
      </c>
      <c r="O164" s="38">
        <f>ClientDB[[#This Row],[Days]]*(IF(ClientDB[[#This Row],[Days]]&gt;1,300,350))</f>
        <v>600</v>
      </c>
      <c r="P16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164" s="15" t="s">
        <v>899</v>
      </c>
      <c r="R164" s="15" t="str">
        <f>INDEX('Lookup Lists'!$H$7:$K$59,MATCH(ClientDB[[#This Row],[Country Code]],'Lookup Lists'!$G$7:$G$59,0),(MATCH(ClientDB[[#This Row],[Meal]],'Lookup Lists'!$H$6:$K$6,0)))</f>
        <v>B</v>
      </c>
    </row>
    <row r="165" spans="1:18" x14ac:dyDescent="0.2">
      <c r="A165" s="10">
        <v>24144</v>
      </c>
      <c r="B165" t="s">
        <v>740</v>
      </c>
      <c r="C165" t="s">
        <v>741</v>
      </c>
      <c r="D165" s="18">
        <v>43223</v>
      </c>
      <c r="E165" s="37">
        <f>YEAR(ClientDB[[#This Row],[Start Date]])</f>
        <v>2018</v>
      </c>
      <c r="F165" t="s">
        <v>808</v>
      </c>
      <c r="G165" t="str">
        <f>VLOOKUP(ClientDB[[#This Row],[Org Code]],'Lookup Lists'!$A$7:$B$52,2,0)</f>
        <v>Ebony Telecoms</v>
      </c>
      <c r="H165" s="10" t="s">
        <v>121</v>
      </c>
      <c r="I165" s="10" t="str">
        <f>VLOOKUP(ClientDB[[#This Row],[Country Code]],'Lookup Lists'!$D$7:$E$59,2,0)</f>
        <v>Portugal</v>
      </c>
      <c r="J165" s="15">
        <v>6</v>
      </c>
      <c r="K165" s="15" t="str">
        <f>IF(ClientDB[[#This Row],[Start Date]]&gt;=$U$14,"New","")</f>
        <v/>
      </c>
      <c r="L165" s="15" t="str">
        <f>IF(AND(ClientDB[[#This Row],[Start Year]]&lt;2016,ClientDB[[#This Row],[Events]]&gt;=6),"Gift","")</f>
        <v/>
      </c>
      <c r="M16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65" s="15">
        <v>2</v>
      </c>
      <c r="O165" s="38">
        <f>ClientDB[[#This Row],[Days]]*(IF(ClientDB[[#This Row],[Days]]&gt;1,300,350))</f>
        <v>600</v>
      </c>
      <c r="P16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165" s="15" t="s">
        <v>901</v>
      </c>
      <c r="R165" s="15" t="str">
        <f>INDEX('Lookup Lists'!$H$7:$K$59,MATCH(ClientDB[[#This Row],[Country Code]],'Lookup Lists'!$G$7:$G$59,0),(MATCH(ClientDB[[#This Row],[Meal]],'Lookup Lists'!$H$6:$K$6,0)))</f>
        <v>G</v>
      </c>
    </row>
    <row r="166" spans="1:18" x14ac:dyDescent="0.2">
      <c r="A166" s="10">
        <v>24205</v>
      </c>
      <c r="B166" t="s">
        <v>246</v>
      </c>
      <c r="C166" t="s">
        <v>247</v>
      </c>
      <c r="D166" s="18">
        <v>43177</v>
      </c>
      <c r="E166" s="37">
        <f>YEAR(ClientDB[[#This Row],[Start Date]])</f>
        <v>2018</v>
      </c>
      <c r="F166" t="s">
        <v>800</v>
      </c>
      <c r="G166" t="str">
        <f>VLOOKUP(ClientDB[[#This Row],[Org Code]],'Lookup Lists'!$A$7:$B$52,2,0)</f>
        <v>Chirah Technologies</v>
      </c>
      <c r="H166" s="10" t="s">
        <v>63</v>
      </c>
      <c r="I166" s="10" t="str">
        <f>VLOOKUP(ClientDB[[#This Row],[Country Code]],'Lookup Lists'!$D$7:$E$59,2,0)</f>
        <v>Armenia</v>
      </c>
      <c r="J166" s="15">
        <v>1</v>
      </c>
      <c r="K166" s="15" t="str">
        <f>IF(ClientDB[[#This Row],[Start Date]]&gt;=$U$14,"New","")</f>
        <v/>
      </c>
      <c r="L166" s="15" t="str">
        <f>IF(AND(ClientDB[[#This Row],[Start Year]]&lt;2016,ClientDB[[#This Row],[Events]]&gt;=6),"Gift","")</f>
        <v/>
      </c>
      <c r="M16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66" s="15">
        <v>2</v>
      </c>
      <c r="O166" s="38">
        <f>ClientDB[[#This Row],[Days]]*(IF(ClientDB[[#This Row],[Days]]&gt;1,300,350))</f>
        <v>600</v>
      </c>
      <c r="P16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166" s="15" t="s">
        <v>900</v>
      </c>
      <c r="R166" s="15" t="str">
        <f>INDEX('Lookup Lists'!$H$7:$K$59,MATCH(ClientDB[[#This Row],[Country Code]],'Lookup Lists'!$G$7:$G$59,0),(MATCH(ClientDB[[#This Row],[Meal]],'Lookup Lists'!$H$6:$K$6,0)))</f>
        <v>A</v>
      </c>
    </row>
    <row r="167" spans="1:18" x14ac:dyDescent="0.2">
      <c r="A167" s="10">
        <v>24276</v>
      </c>
      <c r="B167" t="s">
        <v>436</v>
      </c>
      <c r="C167" t="s">
        <v>437</v>
      </c>
      <c r="D167" s="18">
        <v>43426</v>
      </c>
      <c r="E167" s="37">
        <f>YEAR(ClientDB[[#This Row],[Start Date]])</f>
        <v>2018</v>
      </c>
      <c r="F167" t="s">
        <v>836</v>
      </c>
      <c r="G167" t="str">
        <f>VLOOKUP(ClientDB[[#This Row],[Org Code]],'Lookup Lists'!$A$7:$B$52,2,0)</f>
        <v>Wiz Labs</v>
      </c>
      <c r="H167" s="10" t="s">
        <v>59</v>
      </c>
      <c r="I167" s="10" t="str">
        <f>VLOOKUP(ClientDB[[#This Row],[Country Code]],'Lookup Lists'!$D$7:$E$59,2,0)</f>
        <v>Netherlands</v>
      </c>
      <c r="J167" s="15">
        <v>5</v>
      </c>
      <c r="K167" s="15" t="str">
        <f>IF(ClientDB[[#This Row],[Start Date]]&gt;=$U$14,"New","")</f>
        <v/>
      </c>
      <c r="L167" s="15" t="str">
        <f>IF(AND(ClientDB[[#This Row],[Start Year]]&lt;2016,ClientDB[[#This Row],[Events]]&gt;=6),"Gift","")</f>
        <v/>
      </c>
      <c r="M16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67" s="15">
        <v>2</v>
      </c>
      <c r="O167" s="38">
        <f>ClientDB[[#This Row],[Days]]*(IF(ClientDB[[#This Row],[Days]]&gt;1,300,350))</f>
        <v>600</v>
      </c>
      <c r="P16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167" s="15" t="s">
        <v>902</v>
      </c>
      <c r="R167" s="15" t="str">
        <f>INDEX('Lookup Lists'!$H$7:$K$59,MATCH(ClientDB[[#This Row],[Country Code]],'Lookup Lists'!$G$7:$G$59,0),(MATCH(ClientDB[[#This Row],[Meal]],'Lookup Lists'!$H$6:$K$6,0)))</f>
        <v>C</v>
      </c>
    </row>
    <row r="168" spans="1:18" x14ac:dyDescent="0.2">
      <c r="A168" s="10">
        <v>24292</v>
      </c>
      <c r="B168" t="s">
        <v>715</v>
      </c>
      <c r="C168" t="s">
        <v>716</v>
      </c>
      <c r="D168" s="18">
        <v>42806</v>
      </c>
      <c r="E168" s="37">
        <f>YEAR(ClientDB[[#This Row],[Start Date]])</f>
        <v>2017</v>
      </c>
      <c r="F168" t="s">
        <v>810</v>
      </c>
      <c r="G168" t="str">
        <f>VLOOKUP(ClientDB[[#This Row],[Org Code]],'Lookup Lists'!$A$7:$B$52,2,0)</f>
        <v>Euro-M</v>
      </c>
      <c r="H168" s="10" t="s">
        <v>7</v>
      </c>
      <c r="I168" s="10" t="str">
        <f>VLOOKUP(ClientDB[[#This Row],[Country Code]],'Lookup Lists'!$D$7:$E$59,2,0)</f>
        <v>Iran</v>
      </c>
      <c r="J168" s="15">
        <v>3</v>
      </c>
      <c r="K168" s="15" t="str">
        <f>IF(ClientDB[[#This Row],[Start Date]]&gt;=$U$14,"New","")</f>
        <v/>
      </c>
      <c r="L168" s="15" t="str">
        <f>IF(AND(ClientDB[[#This Row],[Start Year]]&lt;2016,ClientDB[[#This Row],[Events]]&gt;=6),"Gift","")</f>
        <v/>
      </c>
      <c r="M16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68" s="15">
        <v>3</v>
      </c>
      <c r="O168" s="38">
        <f>ClientDB[[#This Row],[Days]]*(IF(ClientDB[[#This Row],[Days]]&gt;1,300,350))</f>
        <v>900</v>
      </c>
      <c r="P16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168" s="15" t="s">
        <v>899</v>
      </c>
      <c r="R168" s="15" t="str">
        <f>INDEX('Lookup Lists'!$H$7:$K$59,MATCH(ClientDB[[#This Row],[Country Code]],'Lookup Lists'!$G$7:$G$59,0),(MATCH(ClientDB[[#This Row],[Meal]],'Lookup Lists'!$H$6:$K$6,0)))</f>
        <v>A</v>
      </c>
    </row>
    <row r="169" spans="1:18" x14ac:dyDescent="0.2">
      <c r="A169" s="10">
        <v>24317</v>
      </c>
      <c r="B169" t="s">
        <v>397</v>
      </c>
      <c r="C169" t="s">
        <v>398</v>
      </c>
      <c r="D169" s="18">
        <v>42831</v>
      </c>
      <c r="E169" s="37">
        <f>YEAR(ClientDB[[#This Row],[Start Date]])</f>
        <v>2017</v>
      </c>
      <c r="F169" t="s">
        <v>816</v>
      </c>
      <c r="G169" t="str">
        <f>VLOOKUP(ClientDB[[#This Row],[Org Code]],'Lookup Lists'!$A$7:$B$52,2,0)</f>
        <v>IPI Bucharest</v>
      </c>
      <c r="H169" s="10" t="s">
        <v>59</v>
      </c>
      <c r="I169" s="10" t="str">
        <f>VLOOKUP(ClientDB[[#This Row],[Country Code]],'Lookup Lists'!$D$7:$E$59,2,0)</f>
        <v>Netherlands</v>
      </c>
      <c r="J169" s="15">
        <v>6</v>
      </c>
      <c r="K169" s="15" t="str">
        <f>IF(ClientDB[[#This Row],[Start Date]]&gt;=$U$14,"New","")</f>
        <v/>
      </c>
      <c r="L169" s="15" t="str">
        <f>IF(AND(ClientDB[[#This Row],[Start Year]]&lt;2016,ClientDB[[#This Row],[Events]]&gt;=6),"Gift","")</f>
        <v/>
      </c>
      <c r="M16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69" s="15">
        <v>1</v>
      </c>
      <c r="O169" s="38">
        <f>ClientDB[[#This Row],[Days]]*(IF(ClientDB[[#This Row],[Days]]&gt;1,300,350))</f>
        <v>350</v>
      </c>
      <c r="P16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169" s="15" t="s">
        <v>901</v>
      </c>
      <c r="R169" s="15" t="str">
        <f>INDEX('Lookup Lists'!$H$7:$K$59,MATCH(ClientDB[[#This Row],[Country Code]],'Lookup Lists'!$G$7:$G$59,0),(MATCH(ClientDB[[#This Row],[Meal]],'Lookup Lists'!$H$6:$K$6,0)))</f>
        <v>F</v>
      </c>
    </row>
    <row r="170" spans="1:18" x14ac:dyDescent="0.2">
      <c r="A170" s="10">
        <v>24350</v>
      </c>
      <c r="B170" t="s">
        <v>394</v>
      </c>
      <c r="C170" t="s">
        <v>395</v>
      </c>
      <c r="D170" s="18">
        <v>43676</v>
      </c>
      <c r="E170" s="37">
        <f>YEAR(ClientDB[[#This Row],[Start Date]])</f>
        <v>2019</v>
      </c>
      <c r="F170" t="s">
        <v>798</v>
      </c>
      <c r="G170" t="str">
        <f>VLOOKUP(ClientDB[[#This Row],[Org Code]],'Lookup Lists'!$A$7:$B$52,2,0)</f>
        <v>Axell Group</v>
      </c>
      <c r="H170" s="10" t="s">
        <v>396</v>
      </c>
      <c r="I170" s="10" t="str">
        <f>VLOOKUP(ClientDB[[#This Row],[Country Code]],'Lookup Lists'!$D$7:$E$59,2,0)</f>
        <v>Lithuania</v>
      </c>
      <c r="J170" s="15">
        <v>3</v>
      </c>
      <c r="K170" s="15" t="str">
        <f>IF(ClientDB[[#This Row],[Start Date]]&gt;=$U$14,"New","")</f>
        <v/>
      </c>
      <c r="L170" s="15" t="str">
        <f>IF(AND(ClientDB[[#This Row],[Start Year]]&lt;2016,ClientDB[[#This Row],[Events]]&gt;=6),"Gift","")</f>
        <v/>
      </c>
      <c r="M17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70" s="15">
        <v>3</v>
      </c>
      <c r="O170" s="38">
        <f>ClientDB[[#This Row],[Days]]*(IF(ClientDB[[#This Row],[Days]]&gt;1,300,350))</f>
        <v>900</v>
      </c>
      <c r="P17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170" s="15" t="s">
        <v>900</v>
      </c>
      <c r="R170" s="15" t="str">
        <f>INDEX('Lookup Lists'!$H$7:$K$59,MATCH(ClientDB[[#This Row],[Country Code]],'Lookup Lists'!$G$7:$G$59,0),(MATCH(ClientDB[[#This Row],[Meal]],'Lookup Lists'!$H$6:$K$6,0)))</f>
        <v>C</v>
      </c>
    </row>
    <row r="171" spans="1:18" x14ac:dyDescent="0.2">
      <c r="A171" s="10">
        <v>24398</v>
      </c>
      <c r="B171" t="s">
        <v>725</v>
      </c>
      <c r="C171" t="s">
        <v>726</v>
      </c>
      <c r="D171" s="18">
        <v>42323</v>
      </c>
      <c r="E171" s="37">
        <f>YEAR(ClientDB[[#This Row],[Start Date]])</f>
        <v>2015</v>
      </c>
      <c r="F171" t="s">
        <v>818</v>
      </c>
      <c r="G171" t="str">
        <f>VLOOKUP(ClientDB[[#This Row],[Org Code]],'Lookup Lists'!$A$7:$B$52,2,0)</f>
        <v>Mojbal</v>
      </c>
      <c r="H171" s="10" t="s">
        <v>7</v>
      </c>
      <c r="I171" s="10" t="str">
        <f>VLOOKUP(ClientDB[[#This Row],[Country Code]],'Lookup Lists'!$D$7:$E$59,2,0)</f>
        <v>Iran</v>
      </c>
      <c r="J171" s="15">
        <v>7</v>
      </c>
      <c r="K171" s="15" t="str">
        <f>IF(ClientDB[[#This Row],[Start Date]]&gt;=$U$14,"New","")</f>
        <v/>
      </c>
      <c r="L171" s="15" t="str">
        <f>IF(AND(ClientDB[[#This Row],[Start Year]]&lt;2016,ClientDB[[#This Row],[Events]]&gt;=6),"Gift","")</f>
        <v>Gift</v>
      </c>
      <c r="M17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71" s="15">
        <v>3</v>
      </c>
      <c r="O171" s="38">
        <f>ClientDB[[#This Row],[Days]]*(IF(ClientDB[[#This Row],[Days]]&gt;1,300,350))</f>
        <v>900</v>
      </c>
      <c r="P17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171" s="15" t="s">
        <v>901</v>
      </c>
      <c r="R171" s="15" t="str">
        <f>INDEX('Lookup Lists'!$H$7:$K$59,MATCH(ClientDB[[#This Row],[Country Code]],'Lookup Lists'!$G$7:$G$59,0),(MATCH(ClientDB[[#This Row],[Meal]],'Lookup Lists'!$H$6:$K$6,0)))</f>
        <v>F</v>
      </c>
    </row>
    <row r="172" spans="1:18" x14ac:dyDescent="0.2">
      <c r="A172" s="10">
        <v>24600</v>
      </c>
      <c r="B172" t="s">
        <v>401</v>
      </c>
      <c r="C172" t="s">
        <v>402</v>
      </c>
      <c r="D172" s="18">
        <v>42831</v>
      </c>
      <c r="E172" s="37">
        <f>YEAR(ClientDB[[#This Row],[Start Date]])</f>
        <v>2017</v>
      </c>
      <c r="F172" t="s">
        <v>837</v>
      </c>
      <c r="G172" t="str">
        <f>VLOOKUP(ClientDB[[#This Row],[Org Code]],'Lookup Lists'!$A$7:$B$52,2,0)</f>
        <v>WWT</v>
      </c>
      <c r="H172" s="10" t="s">
        <v>26</v>
      </c>
      <c r="I172" s="10" t="str">
        <f>VLOOKUP(ClientDB[[#This Row],[Country Code]],'Lookup Lists'!$D$7:$E$59,2,0)</f>
        <v>Ukraine</v>
      </c>
      <c r="J172" s="15">
        <v>3</v>
      </c>
      <c r="K172" s="15" t="str">
        <f>IF(ClientDB[[#This Row],[Start Date]]&gt;=$U$14,"New","")</f>
        <v/>
      </c>
      <c r="L172" s="15" t="str">
        <f>IF(AND(ClientDB[[#This Row],[Start Year]]&lt;2016,ClientDB[[#This Row],[Events]]&gt;=6),"Gift","")</f>
        <v/>
      </c>
      <c r="M17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72" s="15">
        <v>2</v>
      </c>
      <c r="O172" s="38">
        <f>ClientDB[[#This Row],[Days]]*(IF(ClientDB[[#This Row],[Days]]&gt;1,300,350))</f>
        <v>600</v>
      </c>
      <c r="P17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172" s="15" t="s">
        <v>900</v>
      </c>
      <c r="R172" s="15" t="str">
        <f>INDEX('Lookup Lists'!$H$7:$K$59,MATCH(ClientDB[[#This Row],[Country Code]],'Lookup Lists'!$G$7:$G$59,0),(MATCH(ClientDB[[#This Row],[Meal]],'Lookup Lists'!$H$6:$K$6,0)))</f>
        <v>C</v>
      </c>
    </row>
    <row r="173" spans="1:18" x14ac:dyDescent="0.2">
      <c r="A173" s="10">
        <v>24841</v>
      </c>
      <c r="B173" t="s">
        <v>607</v>
      </c>
      <c r="C173" t="s">
        <v>608</v>
      </c>
      <c r="D173" s="18">
        <v>42415</v>
      </c>
      <c r="E173" s="37">
        <f>YEAR(ClientDB[[#This Row],[Start Date]])</f>
        <v>2016</v>
      </c>
      <c r="F173" t="s">
        <v>826</v>
      </c>
      <c r="G173" t="str">
        <f>VLOOKUP(ClientDB[[#This Row],[Org Code]],'Lookup Lists'!$A$7:$B$52,2,0)</f>
        <v>Respira Networks</v>
      </c>
      <c r="H173" s="10" t="s">
        <v>311</v>
      </c>
      <c r="I173" s="10" t="str">
        <f>VLOOKUP(ClientDB[[#This Row],[Country Code]],'Lookup Lists'!$D$7:$E$59,2,0)</f>
        <v>France</v>
      </c>
      <c r="J173" s="15">
        <v>7</v>
      </c>
      <c r="K173" s="15" t="str">
        <f>IF(ClientDB[[#This Row],[Start Date]]&gt;=$U$14,"New","")</f>
        <v/>
      </c>
      <c r="L173" s="15" t="str">
        <f>IF(AND(ClientDB[[#This Row],[Start Year]]&lt;2016,ClientDB[[#This Row],[Events]]&gt;=6),"Gift","")</f>
        <v/>
      </c>
      <c r="M17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73" s="15">
        <v>1</v>
      </c>
      <c r="O173" s="38">
        <f>ClientDB[[#This Row],[Days]]*(IF(ClientDB[[#This Row],[Days]]&gt;1,300,350))</f>
        <v>350</v>
      </c>
      <c r="P17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173" s="15" t="s">
        <v>900</v>
      </c>
      <c r="R173" s="15" t="str">
        <f>INDEX('Lookup Lists'!$H$7:$K$59,MATCH(ClientDB[[#This Row],[Country Code]],'Lookup Lists'!$G$7:$G$59,0),(MATCH(ClientDB[[#This Row],[Meal]],'Lookup Lists'!$H$6:$K$6,0)))</f>
        <v>A</v>
      </c>
    </row>
    <row r="174" spans="1:18" x14ac:dyDescent="0.2">
      <c r="A174" s="10">
        <v>24884</v>
      </c>
      <c r="B174" t="s">
        <v>152</v>
      </c>
      <c r="C174" t="s">
        <v>153</v>
      </c>
      <c r="D174" s="18">
        <v>42703</v>
      </c>
      <c r="E174" s="37">
        <f>YEAR(ClientDB[[#This Row],[Start Date]])</f>
        <v>2016</v>
      </c>
      <c r="F174" t="s">
        <v>800</v>
      </c>
      <c r="G174" t="str">
        <f>VLOOKUP(ClientDB[[#This Row],[Org Code]],'Lookup Lists'!$A$7:$B$52,2,0)</f>
        <v>Chirah Technologies</v>
      </c>
      <c r="H174" s="10" t="s">
        <v>155</v>
      </c>
      <c r="I174" s="10" t="str">
        <f>VLOOKUP(ClientDB[[#This Row],[Country Code]],'Lookup Lists'!$D$7:$E$59,2,0)</f>
        <v>United Arab Emirates</v>
      </c>
      <c r="J174" s="15">
        <v>15</v>
      </c>
      <c r="K174" s="15" t="str">
        <f>IF(ClientDB[[#This Row],[Start Date]]&gt;=$U$14,"New","")</f>
        <v/>
      </c>
      <c r="L174" s="15" t="str">
        <f>IF(AND(ClientDB[[#This Row],[Start Year]]&lt;2016,ClientDB[[#This Row],[Events]]&gt;=6),"Gift","")</f>
        <v/>
      </c>
      <c r="M17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174" s="15">
        <v>1</v>
      </c>
      <c r="O174" s="38">
        <f>ClientDB[[#This Row],[Days]]*(IF(ClientDB[[#This Row],[Days]]&gt;1,300,350))</f>
        <v>350</v>
      </c>
      <c r="P17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174" s="15" t="s">
        <v>899</v>
      </c>
      <c r="R174" s="15" t="str">
        <f>INDEX('Lookup Lists'!$H$7:$K$59,MATCH(ClientDB[[#This Row],[Country Code]],'Lookup Lists'!$G$7:$G$59,0),(MATCH(ClientDB[[#This Row],[Meal]],'Lookup Lists'!$H$6:$K$6,0)))</f>
        <v>A</v>
      </c>
    </row>
    <row r="175" spans="1:18" x14ac:dyDescent="0.2">
      <c r="A175" s="10">
        <v>24998</v>
      </c>
      <c r="B175" t="s">
        <v>566</v>
      </c>
      <c r="C175" t="s">
        <v>567</v>
      </c>
      <c r="D175" s="18">
        <v>43017</v>
      </c>
      <c r="E175" s="37">
        <f>YEAR(ClientDB[[#This Row],[Start Date]])</f>
        <v>2017</v>
      </c>
      <c r="F175" t="s">
        <v>808</v>
      </c>
      <c r="G175" t="str">
        <f>VLOOKUP(ClientDB[[#This Row],[Org Code]],'Lookup Lists'!$A$7:$B$52,2,0)</f>
        <v>Ebony Telecoms</v>
      </c>
      <c r="H175" s="10" t="s">
        <v>121</v>
      </c>
      <c r="I175" s="10" t="str">
        <f>VLOOKUP(ClientDB[[#This Row],[Country Code]],'Lookup Lists'!$D$7:$E$59,2,0)</f>
        <v>Portugal</v>
      </c>
      <c r="J175" s="15">
        <v>6</v>
      </c>
      <c r="K175" s="15" t="str">
        <f>IF(ClientDB[[#This Row],[Start Date]]&gt;=$U$14,"New","")</f>
        <v/>
      </c>
      <c r="L175" s="15" t="str">
        <f>IF(AND(ClientDB[[#This Row],[Start Year]]&lt;2016,ClientDB[[#This Row],[Events]]&gt;=6),"Gift","")</f>
        <v/>
      </c>
      <c r="M17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75" s="15">
        <v>1</v>
      </c>
      <c r="O175" s="38">
        <f>ClientDB[[#This Row],[Days]]*(IF(ClientDB[[#This Row],[Days]]&gt;1,300,350))</f>
        <v>350</v>
      </c>
      <c r="P17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175" s="15" t="s">
        <v>900</v>
      </c>
      <c r="R175" s="15" t="str">
        <f>INDEX('Lookup Lists'!$H$7:$K$59,MATCH(ClientDB[[#This Row],[Country Code]],'Lookup Lists'!$G$7:$G$59,0),(MATCH(ClientDB[[#This Row],[Meal]],'Lookup Lists'!$H$6:$K$6,0)))</f>
        <v>C</v>
      </c>
    </row>
    <row r="176" spans="1:18" x14ac:dyDescent="0.2">
      <c r="A176" s="10">
        <v>25034</v>
      </c>
      <c r="B176" t="s">
        <v>389</v>
      </c>
      <c r="C176" t="s">
        <v>682</v>
      </c>
      <c r="D176" s="18">
        <v>42154</v>
      </c>
      <c r="E176" s="37">
        <f>YEAR(ClientDB[[#This Row],[Start Date]])</f>
        <v>2015</v>
      </c>
      <c r="F176" t="s">
        <v>811</v>
      </c>
      <c r="G176" t="str">
        <f>VLOOKUP(ClientDB[[#This Row],[Org Code]],'Lookup Lists'!$A$7:$B$52,2,0)</f>
        <v>EYN</v>
      </c>
      <c r="H176" s="10" t="s">
        <v>15</v>
      </c>
      <c r="I176" s="10" t="str">
        <f>VLOOKUP(ClientDB[[#This Row],[Country Code]],'Lookup Lists'!$D$7:$E$59,2,0)</f>
        <v>United Kingdom</v>
      </c>
      <c r="J176" s="15">
        <v>3</v>
      </c>
      <c r="K176" s="15" t="str">
        <f>IF(ClientDB[[#This Row],[Start Date]]&gt;=$U$14,"New","")</f>
        <v/>
      </c>
      <c r="L176" s="15" t="str">
        <f>IF(AND(ClientDB[[#This Row],[Start Year]]&lt;2016,ClientDB[[#This Row],[Events]]&gt;=6),"Gift","")</f>
        <v/>
      </c>
      <c r="M17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76" s="15">
        <v>3</v>
      </c>
      <c r="O176" s="38">
        <f>ClientDB[[#This Row],[Days]]*(IF(ClientDB[[#This Row],[Days]]&gt;1,300,350))</f>
        <v>900</v>
      </c>
      <c r="P17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176" s="15" t="s">
        <v>902</v>
      </c>
      <c r="R176" s="15" t="str">
        <f>INDEX('Lookup Lists'!$H$7:$K$59,MATCH(ClientDB[[#This Row],[Country Code]],'Lookup Lists'!$G$7:$G$59,0),(MATCH(ClientDB[[#This Row],[Meal]],'Lookup Lists'!$H$6:$K$6,0)))</f>
        <v>B</v>
      </c>
    </row>
    <row r="177" spans="1:18" x14ac:dyDescent="0.2">
      <c r="A177" s="10">
        <v>25049</v>
      </c>
      <c r="B177" t="s">
        <v>572</v>
      </c>
      <c r="C177" t="s">
        <v>573</v>
      </c>
      <c r="D177" s="18">
        <v>42320</v>
      </c>
      <c r="E177" s="37">
        <f>YEAR(ClientDB[[#This Row],[Start Date]])</f>
        <v>2015</v>
      </c>
      <c r="F177" t="s">
        <v>821</v>
      </c>
      <c r="G177" t="str">
        <f>VLOOKUP(ClientDB[[#This Row],[Org Code]],'Lookup Lists'!$A$7:$B$52,2,0)</f>
        <v>Parmis Technologies</v>
      </c>
      <c r="H177" s="10" t="s">
        <v>7</v>
      </c>
      <c r="I177" s="10" t="str">
        <f>VLOOKUP(ClientDB[[#This Row],[Country Code]],'Lookup Lists'!$D$7:$E$59,2,0)</f>
        <v>Iran</v>
      </c>
      <c r="J177" s="15">
        <v>9</v>
      </c>
      <c r="K177" s="15" t="str">
        <f>IF(ClientDB[[#This Row],[Start Date]]&gt;=$U$14,"New","")</f>
        <v/>
      </c>
      <c r="L177" s="15" t="str">
        <f>IF(AND(ClientDB[[#This Row],[Start Year]]&lt;2016,ClientDB[[#This Row],[Events]]&gt;=6),"Gift","")</f>
        <v>Gift</v>
      </c>
      <c r="M17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77" s="15">
        <v>3</v>
      </c>
      <c r="O177" s="38">
        <f>ClientDB[[#This Row],[Days]]*(IF(ClientDB[[#This Row],[Days]]&gt;1,300,350))</f>
        <v>900</v>
      </c>
      <c r="P17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177" s="15" t="s">
        <v>902</v>
      </c>
      <c r="R177" s="15" t="str">
        <f>INDEX('Lookup Lists'!$H$7:$K$59,MATCH(ClientDB[[#This Row],[Country Code]],'Lookup Lists'!$G$7:$G$59,0),(MATCH(ClientDB[[#This Row],[Meal]],'Lookup Lists'!$H$6:$K$6,0)))</f>
        <v>C</v>
      </c>
    </row>
    <row r="178" spans="1:18" x14ac:dyDescent="0.2">
      <c r="A178" s="10">
        <v>25080</v>
      </c>
      <c r="B178" t="s">
        <v>382</v>
      </c>
      <c r="C178" t="s">
        <v>383</v>
      </c>
      <c r="D178" s="18">
        <v>43092</v>
      </c>
      <c r="E178" s="37">
        <f>YEAR(ClientDB[[#This Row],[Start Date]])</f>
        <v>2017</v>
      </c>
      <c r="F178" t="s">
        <v>833</v>
      </c>
      <c r="G178" t="str">
        <f>VLOOKUP(ClientDB[[#This Row],[Org Code]],'Lookup Lists'!$A$7:$B$52,2,0)</f>
        <v>UON</v>
      </c>
      <c r="H178" s="10" t="s">
        <v>38</v>
      </c>
      <c r="I178" s="10" t="str">
        <f>VLOOKUP(ClientDB[[#This Row],[Country Code]],'Lookup Lists'!$D$7:$E$59,2,0)</f>
        <v>Czech Republic</v>
      </c>
      <c r="J178" s="15">
        <v>11</v>
      </c>
      <c r="K178" s="15" t="str">
        <f>IF(ClientDB[[#This Row],[Start Date]]&gt;=$U$14,"New","")</f>
        <v/>
      </c>
      <c r="L178" s="15" t="str">
        <f>IF(AND(ClientDB[[#This Row],[Start Year]]&lt;2016,ClientDB[[#This Row],[Events]]&gt;=6),"Gift","")</f>
        <v/>
      </c>
      <c r="M17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178" s="15">
        <v>2</v>
      </c>
      <c r="O178" s="38">
        <f>ClientDB[[#This Row],[Days]]*(IF(ClientDB[[#This Row],[Days]]&gt;1,300,350))</f>
        <v>600</v>
      </c>
      <c r="P17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178" s="15" t="s">
        <v>899</v>
      </c>
      <c r="R178" s="15" t="str">
        <f>INDEX('Lookup Lists'!$H$7:$K$59,MATCH(ClientDB[[#This Row],[Country Code]],'Lookup Lists'!$G$7:$G$59,0),(MATCH(ClientDB[[#This Row],[Meal]],'Lookup Lists'!$H$6:$K$6,0)))</f>
        <v>A</v>
      </c>
    </row>
    <row r="179" spans="1:18" x14ac:dyDescent="0.2">
      <c r="A179" s="10">
        <v>25295</v>
      </c>
      <c r="B179" t="s">
        <v>501</v>
      </c>
      <c r="C179" t="s">
        <v>681</v>
      </c>
      <c r="D179" s="18">
        <v>43955</v>
      </c>
      <c r="E179" s="37">
        <f>YEAR(ClientDB[[#This Row],[Start Date]])</f>
        <v>2020</v>
      </c>
      <c r="F179" t="s">
        <v>805</v>
      </c>
      <c r="G179" t="str">
        <f>VLOOKUP(ClientDB[[#This Row],[Org Code]],'Lookup Lists'!$A$7:$B$52,2,0)</f>
        <v>Data Pro Sys</v>
      </c>
      <c r="H179" s="10" t="s">
        <v>46</v>
      </c>
      <c r="I179" s="10" t="str">
        <f>VLOOKUP(ClientDB[[#This Row],[Country Code]],'Lookup Lists'!$D$7:$E$59,2,0)</f>
        <v>Germany</v>
      </c>
      <c r="J179" s="15">
        <v>1</v>
      </c>
      <c r="K179" s="15" t="str">
        <f>IF(ClientDB[[#This Row],[Start Date]]&gt;=$U$14,"New","")</f>
        <v>New</v>
      </c>
      <c r="L179" s="15" t="str">
        <f>IF(AND(ClientDB[[#This Row],[Start Year]]&lt;2016,ClientDB[[#This Row],[Events]]&gt;=6),"Gift","")</f>
        <v/>
      </c>
      <c r="M17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79" s="15">
        <v>1</v>
      </c>
      <c r="O179" s="38">
        <f>ClientDB[[#This Row],[Days]]*(IF(ClientDB[[#This Row],[Days]]&gt;1,300,350))</f>
        <v>350</v>
      </c>
      <c r="P17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179" s="15" t="s">
        <v>901</v>
      </c>
      <c r="R179" s="15" t="str">
        <f>INDEX('Lookup Lists'!$H$7:$K$59,MATCH(ClientDB[[#This Row],[Country Code]],'Lookup Lists'!$G$7:$G$59,0),(MATCH(ClientDB[[#This Row],[Meal]],'Lookup Lists'!$H$6:$K$6,0)))</f>
        <v>D</v>
      </c>
    </row>
    <row r="180" spans="1:18" x14ac:dyDescent="0.2">
      <c r="A180" s="10">
        <v>25310</v>
      </c>
      <c r="B180" t="s">
        <v>638</v>
      </c>
      <c r="C180" t="s">
        <v>639</v>
      </c>
      <c r="D180" s="18">
        <v>43809</v>
      </c>
      <c r="E180" s="37">
        <f>YEAR(ClientDB[[#This Row],[Start Date]])</f>
        <v>2019</v>
      </c>
      <c r="F180" t="s">
        <v>828</v>
      </c>
      <c r="G180" t="str">
        <f>VLOOKUP(ClientDB[[#This Row],[Org Code]],'Lookup Lists'!$A$7:$B$52,2,0)</f>
        <v>Shaw Construction</v>
      </c>
      <c r="H180" s="10" t="s">
        <v>26</v>
      </c>
      <c r="I180" s="10" t="str">
        <f>VLOOKUP(ClientDB[[#This Row],[Country Code]],'Lookup Lists'!$D$7:$E$59,2,0)</f>
        <v>Ukraine</v>
      </c>
      <c r="J180" s="15">
        <v>7</v>
      </c>
      <c r="K180" s="15" t="str">
        <f>IF(ClientDB[[#This Row],[Start Date]]&gt;=$U$14,"New","")</f>
        <v/>
      </c>
      <c r="L180" s="15" t="str">
        <f>IF(AND(ClientDB[[#This Row],[Start Year]]&lt;2016,ClientDB[[#This Row],[Events]]&gt;=6),"Gift","")</f>
        <v/>
      </c>
      <c r="M18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80" s="15">
        <v>3</v>
      </c>
      <c r="O180" s="38">
        <f>ClientDB[[#This Row],[Days]]*(IF(ClientDB[[#This Row],[Days]]&gt;1,300,350))</f>
        <v>900</v>
      </c>
      <c r="P18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180" s="15" t="s">
        <v>901</v>
      </c>
      <c r="R180" s="15" t="str">
        <f>INDEX('Lookup Lists'!$H$7:$K$59,MATCH(ClientDB[[#This Row],[Country Code]],'Lookup Lists'!$G$7:$G$59,0),(MATCH(ClientDB[[#This Row],[Meal]],'Lookup Lists'!$H$6:$K$6,0)))</f>
        <v>G</v>
      </c>
    </row>
    <row r="181" spans="1:18" x14ac:dyDescent="0.2">
      <c r="A181" s="10">
        <v>25387</v>
      </c>
      <c r="B181" t="s">
        <v>332</v>
      </c>
      <c r="C181" t="s">
        <v>333</v>
      </c>
      <c r="D181" s="18">
        <v>43429</v>
      </c>
      <c r="E181" s="37">
        <f>YEAR(ClientDB[[#This Row],[Start Date]])</f>
        <v>2018</v>
      </c>
      <c r="F181" t="s">
        <v>827</v>
      </c>
      <c r="G181" t="str">
        <f>VLOOKUP(ClientDB[[#This Row],[Org Code]],'Lookup Lists'!$A$7:$B$52,2,0)</f>
        <v>Ripple Com</v>
      </c>
      <c r="H181" s="10" t="s">
        <v>15</v>
      </c>
      <c r="I181" s="10" t="str">
        <f>VLOOKUP(ClientDB[[#This Row],[Country Code]],'Lookup Lists'!$D$7:$E$59,2,0)</f>
        <v>United Kingdom</v>
      </c>
      <c r="J181" s="15">
        <v>4</v>
      </c>
      <c r="K181" s="15" t="str">
        <f>IF(ClientDB[[#This Row],[Start Date]]&gt;=$U$14,"New","")</f>
        <v/>
      </c>
      <c r="L181" s="15" t="str">
        <f>IF(AND(ClientDB[[#This Row],[Start Year]]&lt;2016,ClientDB[[#This Row],[Events]]&gt;=6),"Gift","")</f>
        <v/>
      </c>
      <c r="M18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81" s="15">
        <v>2</v>
      </c>
      <c r="O181" s="38">
        <f>ClientDB[[#This Row],[Days]]*(IF(ClientDB[[#This Row],[Days]]&gt;1,300,350))</f>
        <v>600</v>
      </c>
      <c r="P18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181" s="15" t="s">
        <v>901</v>
      </c>
      <c r="R181" s="15" t="str">
        <f>INDEX('Lookup Lists'!$H$7:$K$59,MATCH(ClientDB[[#This Row],[Country Code]],'Lookup Lists'!$G$7:$G$59,0),(MATCH(ClientDB[[#This Row],[Meal]],'Lookup Lists'!$H$6:$K$6,0)))</f>
        <v>E</v>
      </c>
    </row>
    <row r="182" spans="1:18" x14ac:dyDescent="0.2">
      <c r="A182" s="10">
        <v>25412</v>
      </c>
      <c r="B182" t="s">
        <v>289</v>
      </c>
      <c r="C182" t="s">
        <v>290</v>
      </c>
      <c r="D182" s="18">
        <v>43677</v>
      </c>
      <c r="E182" s="37">
        <f>YEAR(ClientDB[[#This Row],[Start Date]])</f>
        <v>2019</v>
      </c>
      <c r="F182" t="s">
        <v>814</v>
      </c>
      <c r="G182" t="str">
        <f>VLOOKUP(ClientDB[[#This Row],[Org Code]],'Lookup Lists'!$A$7:$B$52,2,0)</f>
        <v>ICANT</v>
      </c>
      <c r="H182" s="10" t="s">
        <v>15</v>
      </c>
      <c r="I182" s="10" t="str">
        <f>VLOOKUP(ClientDB[[#This Row],[Country Code]],'Lookup Lists'!$D$7:$E$59,2,0)</f>
        <v>United Kingdom</v>
      </c>
      <c r="J182" s="15">
        <v>7</v>
      </c>
      <c r="K182" s="15" t="str">
        <f>IF(ClientDB[[#This Row],[Start Date]]&gt;=$U$14,"New","")</f>
        <v/>
      </c>
      <c r="L182" s="15" t="str">
        <f>IF(AND(ClientDB[[#This Row],[Start Year]]&lt;2016,ClientDB[[#This Row],[Events]]&gt;=6),"Gift","")</f>
        <v/>
      </c>
      <c r="M18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82" s="15">
        <v>3</v>
      </c>
      <c r="O182" s="38">
        <f>ClientDB[[#This Row],[Days]]*(IF(ClientDB[[#This Row],[Days]]&gt;1,300,350))</f>
        <v>900</v>
      </c>
      <c r="P18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182" s="15" t="s">
        <v>899</v>
      </c>
      <c r="R182" s="15" t="str">
        <f>INDEX('Lookup Lists'!$H$7:$K$59,MATCH(ClientDB[[#This Row],[Country Code]],'Lookup Lists'!$G$7:$G$59,0),(MATCH(ClientDB[[#This Row],[Meal]],'Lookup Lists'!$H$6:$K$6,0)))</f>
        <v>A</v>
      </c>
    </row>
    <row r="183" spans="1:18" x14ac:dyDescent="0.2">
      <c r="A183" s="10">
        <v>25440</v>
      </c>
      <c r="B183" t="s">
        <v>179</v>
      </c>
      <c r="C183" t="s">
        <v>180</v>
      </c>
      <c r="D183" s="18">
        <v>42418</v>
      </c>
      <c r="E183" s="37">
        <f>YEAR(ClientDB[[#This Row],[Start Date]])</f>
        <v>2016</v>
      </c>
      <c r="F183" t="s">
        <v>829</v>
      </c>
      <c r="G183" t="str">
        <f>VLOOKUP(ClientDB[[#This Row],[Org Code]],'Lookup Lists'!$A$7:$B$52,2,0)</f>
        <v>StepAhead</v>
      </c>
      <c r="H183" s="10" t="s">
        <v>59</v>
      </c>
      <c r="I183" s="10" t="str">
        <f>VLOOKUP(ClientDB[[#This Row],[Country Code]],'Lookup Lists'!$D$7:$E$59,2,0)</f>
        <v>Netherlands</v>
      </c>
      <c r="J183" s="15">
        <v>5</v>
      </c>
      <c r="K183" s="15" t="str">
        <f>IF(ClientDB[[#This Row],[Start Date]]&gt;=$U$14,"New","")</f>
        <v/>
      </c>
      <c r="L183" s="15" t="str">
        <f>IF(AND(ClientDB[[#This Row],[Start Year]]&lt;2016,ClientDB[[#This Row],[Events]]&gt;=6),"Gift","")</f>
        <v/>
      </c>
      <c r="M18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83" s="15">
        <v>2</v>
      </c>
      <c r="O183" s="38">
        <f>ClientDB[[#This Row],[Days]]*(IF(ClientDB[[#This Row],[Days]]&gt;1,300,350))</f>
        <v>600</v>
      </c>
      <c r="P18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183" s="15" t="s">
        <v>902</v>
      </c>
      <c r="R183" s="15" t="str">
        <f>INDEX('Lookup Lists'!$H$7:$K$59,MATCH(ClientDB[[#This Row],[Country Code]],'Lookup Lists'!$G$7:$G$59,0),(MATCH(ClientDB[[#This Row],[Meal]],'Lookup Lists'!$H$6:$K$6,0)))</f>
        <v>C</v>
      </c>
    </row>
    <row r="184" spans="1:18" x14ac:dyDescent="0.2">
      <c r="A184" s="10">
        <v>25549</v>
      </c>
      <c r="B184" t="s">
        <v>629</v>
      </c>
      <c r="C184" t="s">
        <v>630</v>
      </c>
      <c r="D184" s="18">
        <v>42394</v>
      </c>
      <c r="E184" s="37">
        <f>YEAR(ClientDB[[#This Row],[Start Date]])</f>
        <v>2016</v>
      </c>
      <c r="F184" t="s">
        <v>828</v>
      </c>
      <c r="G184" t="str">
        <f>VLOOKUP(ClientDB[[#This Row],[Org Code]],'Lookup Lists'!$A$7:$B$52,2,0)</f>
        <v>Shaw Construction</v>
      </c>
      <c r="H184" s="10" t="s">
        <v>46</v>
      </c>
      <c r="I184" s="10" t="str">
        <f>VLOOKUP(ClientDB[[#This Row],[Country Code]],'Lookup Lists'!$D$7:$E$59,2,0)</f>
        <v>Germany</v>
      </c>
      <c r="J184" s="15">
        <v>8</v>
      </c>
      <c r="K184" s="15" t="str">
        <f>IF(ClientDB[[#This Row],[Start Date]]&gt;=$U$14,"New","")</f>
        <v/>
      </c>
      <c r="L184" s="15" t="str">
        <f>IF(AND(ClientDB[[#This Row],[Start Year]]&lt;2016,ClientDB[[#This Row],[Events]]&gt;=6),"Gift","")</f>
        <v/>
      </c>
      <c r="M18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84" s="15">
        <v>3</v>
      </c>
      <c r="O184" s="38">
        <f>ClientDB[[#This Row],[Days]]*(IF(ClientDB[[#This Row],[Days]]&gt;1,300,350))</f>
        <v>900</v>
      </c>
      <c r="P18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184" s="15" t="s">
        <v>899</v>
      </c>
      <c r="R184" s="15" t="str">
        <f>INDEX('Lookup Lists'!$H$7:$K$59,MATCH(ClientDB[[#This Row],[Country Code]],'Lookup Lists'!$G$7:$G$59,0),(MATCH(ClientDB[[#This Row],[Meal]],'Lookup Lists'!$H$6:$K$6,0)))</f>
        <v>A</v>
      </c>
    </row>
    <row r="185" spans="1:18" x14ac:dyDescent="0.2">
      <c r="A185" s="10">
        <v>25596</v>
      </c>
      <c r="B185" t="s">
        <v>248</v>
      </c>
      <c r="C185" t="s">
        <v>249</v>
      </c>
      <c r="D185" s="18">
        <v>43086</v>
      </c>
      <c r="E185" s="37">
        <f>YEAR(ClientDB[[#This Row],[Start Date]])</f>
        <v>2017</v>
      </c>
      <c r="F185" t="s">
        <v>816</v>
      </c>
      <c r="G185" t="str">
        <f>VLOOKUP(ClientDB[[#This Row],[Org Code]],'Lookup Lists'!$A$7:$B$52,2,0)</f>
        <v>IPI Bucharest</v>
      </c>
      <c r="H185" s="10" t="s">
        <v>54</v>
      </c>
      <c r="I185" s="10" t="str">
        <f>VLOOKUP(ClientDB[[#This Row],[Country Code]],'Lookup Lists'!$D$7:$E$59,2,0)</f>
        <v>Romania</v>
      </c>
      <c r="J185" s="15">
        <v>2</v>
      </c>
      <c r="K185" s="15" t="str">
        <f>IF(ClientDB[[#This Row],[Start Date]]&gt;=$U$14,"New","")</f>
        <v/>
      </c>
      <c r="L185" s="15" t="str">
        <f>IF(AND(ClientDB[[#This Row],[Start Year]]&lt;2016,ClientDB[[#This Row],[Events]]&gt;=6),"Gift","")</f>
        <v/>
      </c>
      <c r="M18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85" s="15">
        <v>2</v>
      </c>
      <c r="O185" s="38">
        <f>ClientDB[[#This Row],[Days]]*(IF(ClientDB[[#This Row],[Days]]&gt;1,300,350))</f>
        <v>600</v>
      </c>
      <c r="P18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185" s="15" t="s">
        <v>901</v>
      </c>
      <c r="R185" s="15" t="str">
        <f>INDEX('Lookup Lists'!$H$7:$K$59,MATCH(ClientDB[[#This Row],[Country Code]],'Lookup Lists'!$G$7:$G$59,0),(MATCH(ClientDB[[#This Row],[Meal]],'Lookup Lists'!$H$6:$K$6,0)))</f>
        <v>G</v>
      </c>
    </row>
    <row r="186" spans="1:18" x14ac:dyDescent="0.2">
      <c r="A186" s="10">
        <v>25632</v>
      </c>
      <c r="B186" t="s">
        <v>568</v>
      </c>
      <c r="C186" t="s">
        <v>569</v>
      </c>
      <c r="D186" s="18">
        <v>43628</v>
      </c>
      <c r="E186" s="37">
        <f>YEAR(ClientDB[[#This Row],[Start Date]])</f>
        <v>2019</v>
      </c>
      <c r="F186" t="s">
        <v>811</v>
      </c>
      <c r="G186" t="str">
        <f>VLOOKUP(ClientDB[[#This Row],[Org Code]],'Lookup Lists'!$A$7:$B$52,2,0)</f>
        <v>EYN</v>
      </c>
      <c r="H186" s="10" t="s">
        <v>15</v>
      </c>
      <c r="I186" s="10" t="str">
        <f>VLOOKUP(ClientDB[[#This Row],[Country Code]],'Lookup Lists'!$D$7:$E$59,2,0)</f>
        <v>United Kingdom</v>
      </c>
      <c r="J186" s="15">
        <v>3</v>
      </c>
      <c r="K186" s="15" t="str">
        <f>IF(ClientDB[[#This Row],[Start Date]]&gt;=$U$14,"New","")</f>
        <v/>
      </c>
      <c r="L186" s="15" t="str">
        <f>IF(AND(ClientDB[[#This Row],[Start Year]]&lt;2016,ClientDB[[#This Row],[Events]]&gt;=6),"Gift","")</f>
        <v/>
      </c>
      <c r="M18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86" s="15">
        <v>2</v>
      </c>
      <c r="O186" s="38">
        <f>ClientDB[[#This Row],[Days]]*(IF(ClientDB[[#This Row],[Days]]&gt;1,300,350))</f>
        <v>600</v>
      </c>
      <c r="P18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186" s="15" t="s">
        <v>902</v>
      </c>
      <c r="R186" s="15" t="str">
        <f>INDEX('Lookup Lists'!$H$7:$K$59,MATCH(ClientDB[[#This Row],[Country Code]],'Lookup Lists'!$G$7:$G$59,0),(MATCH(ClientDB[[#This Row],[Meal]],'Lookup Lists'!$H$6:$K$6,0)))</f>
        <v>B</v>
      </c>
    </row>
    <row r="187" spans="1:18" x14ac:dyDescent="0.2">
      <c r="A187" s="10">
        <v>25709</v>
      </c>
      <c r="B187" t="s">
        <v>283</v>
      </c>
      <c r="C187" t="s">
        <v>284</v>
      </c>
      <c r="D187" s="18">
        <v>42860</v>
      </c>
      <c r="E187" s="37">
        <f>YEAR(ClientDB[[#This Row],[Start Date]])</f>
        <v>2017</v>
      </c>
      <c r="F187" t="s">
        <v>827</v>
      </c>
      <c r="G187" t="str">
        <f>VLOOKUP(ClientDB[[#This Row],[Org Code]],'Lookup Lists'!$A$7:$B$52,2,0)</f>
        <v>Ripple Com</v>
      </c>
      <c r="H187" s="10" t="s">
        <v>15</v>
      </c>
      <c r="I187" s="10" t="str">
        <f>VLOOKUP(ClientDB[[#This Row],[Country Code]],'Lookup Lists'!$D$7:$E$59,2,0)</f>
        <v>United Kingdom</v>
      </c>
      <c r="J187" s="15">
        <v>7</v>
      </c>
      <c r="K187" s="15" t="str">
        <f>IF(ClientDB[[#This Row],[Start Date]]&gt;=$U$14,"New","")</f>
        <v/>
      </c>
      <c r="L187" s="15" t="str">
        <f>IF(AND(ClientDB[[#This Row],[Start Year]]&lt;2016,ClientDB[[#This Row],[Events]]&gt;=6),"Gift","")</f>
        <v/>
      </c>
      <c r="M18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87" s="15">
        <v>1</v>
      </c>
      <c r="O187" s="38">
        <f>ClientDB[[#This Row],[Days]]*(IF(ClientDB[[#This Row],[Days]]&gt;1,300,350))</f>
        <v>350</v>
      </c>
      <c r="P18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187" s="15" t="s">
        <v>901</v>
      </c>
      <c r="R187" s="15" t="str">
        <f>INDEX('Lookup Lists'!$H$7:$K$59,MATCH(ClientDB[[#This Row],[Country Code]],'Lookup Lists'!$G$7:$G$59,0),(MATCH(ClientDB[[#This Row],[Meal]],'Lookup Lists'!$H$6:$K$6,0)))</f>
        <v>E</v>
      </c>
    </row>
    <row r="188" spans="1:18" x14ac:dyDescent="0.2">
      <c r="A188" s="10">
        <v>25731</v>
      </c>
      <c r="B188" t="s">
        <v>27</v>
      </c>
      <c r="C188" t="s">
        <v>28</v>
      </c>
      <c r="D188" s="18">
        <v>42634</v>
      </c>
      <c r="E188" s="37">
        <f>YEAR(ClientDB[[#This Row],[Start Date]])</f>
        <v>2016</v>
      </c>
      <c r="F188" t="s">
        <v>807</v>
      </c>
      <c r="G188" t="str">
        <f>VLOOKUP(ClientDB[[#This Row],[Org Code]],'Lookup Lists'!$A$7:$B$52,2,0)</f>
        <v>Duet</v>
      </c>
      <c r="H188" s="10" t="s">
        <v>30</v>
      </c>
      <c r="I188" s="10" t="str">
        <f>VLOOKUP(ClientDB[[#This Row],[Country Code]],'Lookup Lists'!$D$7:$E$59,2,0)</f>
        <v>Bahrain</v>
      </c>
      <c r="J188" s="15">
        <v>6</v>
      </c>
      <c r="K188" s="15" t="str">
        <f>IF(ClientDB[[#This Row],[Start Date]]&gt;=$U$14,"New","")</f>
        <v/>
      </c>
      <c r="L188" s="15" t="str">
        <f>IF(AND(ClientDB[[#This Row],[Start Year]]&lt;2016,ClientDB[[#This Row],[Events]]&gt;=6),"Gift","")</f>
        <v/>
      </c>
      <c r="M18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88" s="15">
        <v>2</v>
      </c>
      <c r="O188" s="38">
        <f>ClientDB[[#This Row],[Days]]*(IF(ClientDB[[#This Row],[Days]]&gt;1,300,350))</f>
        <v>600</v>
      </c>
      <c r="P18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188" s="15" t="s">
        <v>901</v>
      </c>
      <c r="R188" s="15" t="str">
        <f>INDEX('Lookup Lists'!$H$7:$K$59,MATCH(ClientDB[[#This Row],[Country Code]],'Lookup Lists'!$G$7:$G$59,0),(MATCH(ClientDB[[#This Row],[Meal]],'Lookup Lists'!$H$6:$K$6,0)))</f>
        <v>D</v>
      </c>
    </row>
    <row r="189" spans="1:18" x14ac:dyDescent="0.2">
      <c r="A189" s="10">
        <v>25911</v>
      </c>
      <c r="B189" t="s">
        <v>554</v>
      </c>
      <c r="C189" t="s">
        <v>555</v>
      </c>
      <c r="D189" s="18">
        <v>43392</v>
      </c>
      <c r="E189" s="37">
        <f>YEAR(ClientDB[[#This Row],[Start Date]])</f>
        <v>2018</v>
      </c>
      <c r="F189" t="s">
        <v>822</v>
      </c>
      <c r="G189" t="str">
        <f>VLOOKUP(ClientDB[[#This Row],[Org Code]],'Lookup Lists'!$A$7:$B$52,2,0)</f>
        <v>PicSure</v>
      </c>
      <c r="H189" s="10" t="s">
        <v>15</v>
      </c>
      <c r="I189" s="10" t="str">
        <f>VLOOKUP(ClientDB[[#This Row],[Country Code]],'Lookup Lists'!$D$7:$E$59,2,0)</f>
        <v>United Kingdom</v>
      </c>
      <c r="J189" s="15">
        <v>10</v>
      </c>
      <c r="K189" s="15" t="str">
        <f>IF(ClientDB[[#This Row],[Start Date]]&gt;=$U$14,"New","")</f>
        <v/>
      </c>
      <c r="L189" s="15" t="str">
        <f>IF(AND(ClientDB[[#This Row],[Start Year]]&lt;2016,ClientDB[[#This Row],[Events]]&gt;=6),"Gift","")</f>
        <v/>
      </c>
      <c r="M18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189" s="15">
        <v>3</v>
      </c>
      <c r="O189" s="38">
        <f>ClientDB[[#This Row],[Days]]*(IF(ClientDB[[#This Row],[Days]]&gt;1,300,350))</f>
        <v>900</v>
      </c>
      <c r="P18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189" s="15" t="s">
        <v>899</v>
      </c>
      <c r="R189" s="15" t="str">
        <f>INDEX('Lookup Lists'!$H$7:$K$59,MATCH(ClientDB[[#This Row],[Country Code]],'Lookup Lists'!$G$7:$G$59,0),(MATCH(ClientDB[[#This Row],[Meal]],'Lookup Lists'!$H$6:$K$6,0)))</f>
        <v>A</v>
      </c>
    </row>
    <row r="190" spans="1:18" x14ac:dyDescent="0.2">
      <c r="A190" s="10">
        <v>25957</v>
      </c>
      <c r="B190" t="s">
        <v>240</v>
      </c>
      <c r="C190" t="s">
        <v>241</v>
      </c>
      <c r="D190" s="18">
        <v>43711</v>
      </c>
      <c r="E190" s="37">
        <f>YEAR(ClientDB[[#This Row],[Start Date]])</f>
        <v>2019</v>
      </c>
      <c r="F190" t="s">
        <v>827</v>
      </c>
      <c r="G190" t="str">
        <f>VLOOKUP(ClientDB[[#This Row],[Org Code]],'Lookup Lists'!$A$7:$B$52,2,0)</f>
        <v>Ripple Com</v>
      </c>
      <c r="H190" s="10" t="s">
        <v>15</v>
      </c>
      <c r="I190" s="10" t="str">
        <f>VLOOKUP(ClientDB[[#This Row],[Country Code]],'Lookup Lists'!$D$7:$E$59,2,0)</f>
        <v>United Kingdom</v>
      </c>
      <c r="J190" s="15">
        <v>2</v>
      </c>
      <c r="K190" s="15" t="str">
        <f>IF(ClientDB[[#This Row],[Start Date]]&gt;=$U$14,"New","")</f>
        <v/>
      </c>
      <c r="L190" s="15" t="str">
        <f>IF(AND(ClientDB[[#This Row],[Start Year]]&lt;2016,ClientDB[[#This Row],[Events]]&gt;=6),"Gift","")</f>
        <v/>
      </c>
      <c r="M19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90" s="15">
        <v>3</v>
      </c>
      <c r="O190" s="38">
        <f>ClientDB[[#This Row],[Days]]*(IF(ClientDB[[#This Row],[Days]]&gt;1,300,350))</f>
        <v>900</v>
      </c>
      <c r="P19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190" s="15" t="s">
        <v>900</v>
      </c>
      <c r="R190" s="15" t="str">
        <f>INDEX('Lookup Lists'!$H$7:$K$59,MATCH(ClientDB[[#This Row],[Country Code]],'Lookup Lists'!$G$7:$G$59,0),(MATCH(ClientDB[[#This Row],[Meal]],'Lookup Lists'!$H$6:$K$6,0)))</f>
        <v>A</v>
      </c>
    </row>
    <row r="191" spans="1:18" x14ac:dyDescent="0.2">
      <c r="A191" s="10">
        <v>26058</v>
      </c>
      <c r="B191" t="s">
        <v>507</v>
      </c>
      <c r="C191" t="s">
        <v>190</v>
      </c>
      <c r="D191" s="18">
        <v>42322</v>
      </c>
      <c r="E191" s="37">
        <f>YEAR(ClientDB[[#This Row],[Start Date]])</f>
        <v>2015</v>
      </c>
      <c r="F191" t="s">
        <v>835</v>
      </c>
      <c r="G191" t="str">
        <f>VLOOKUP(ClientDB[[#This Row],[Org Code]],'Lookup Lists'!$A$7:$B$52,2,0)</f>
        <v>West Telco</v>
      </c>
      <c r="H191" s="10" t="s">
        <v>155</v>
      </c>
      <c r="I191" s="10" t="str">
        <f>VLOOKUP(ClientDB[[#This Row],[Country Code]],'Lookup Lists'!$D$7:$E$59,2,0)</f>
        <v>United Arab Emirates</v>
      </c>
      <c r="J191" s="15">
        <v>3</v>
      </c>
      <c r="K191" s="15" t="str">
        <f>IF(ClientDB[[#This Row],[Start Date]]&gt;=$U$14,"New","")</f>
        <v/>
      </c>
      <c r="L191" s="15" t="str">
        <f>IF(AND(ClientDB[[#This Row],[Start Year]]&lt;2016,ClientDB[[#This Row],[Events]]&gt;=6),"Gift","")</f>
        <v/>
      </c>
      <c r="M19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91" s="15">
        <v>3</v>
      </c>
      <c r="O191" s="38">
        <f>ClientDB[[#This Row],[Days]]*(IF(ClientDB[[#This Row],[Days]]&gt;1,300,350))</f>
        <v>900</v>
      </c>
      <c r="P19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191" s="15" t="s">
        <v>899</v>
      </c>
      <c r="R191" s="15" t="str">
        <f>INDEX('Lookup Lists'!$H$7:$K$59,MATCH(ClientDB[[#This Row],[Country Code]],'Lookup Lists'!$G$7:$G$59,0),(MATCH(ClientDB[[#This Row],[Meal]],'Lookup Lists'!$H$6:$K$6,0)))</f>
        <v>A</v>
      </c>
    </row>
    <row r="192" spans="1:18" x14ac:dyDescent="0.2">
      <c r="A192" s="10">
        <v>26180</v>
      </c>
      <c r="B192" t="s">
        <v>579</v>
      </c>
      <c r="C192" t="s">
        <v>580</v>
      </c>
      <c r="D192" s="18">
        <v>42577</v>
      </c>
      <c r="E192" s="37">
        <f>YEAR(ClientDB[[#This Row],[Start Date]])</f>
        <v>2016</v>
      </c>
      <c r="F192" t="s">
        <v>800</v>
      </c>
      <c r="G192" t="str">
        <f>VLOOKUP(ClientDB[[#This Row],[Org Code]],'Lookup Lists'!$A$7:$B$52,2,0)</f>
        <v>Chirah Technologies</v>
      </c>
      <c r="H192" s="10" t="s">
        <v>15</v>
      </c>
      <c r="I192" s="10" t="str">
        <f>VLOOKUP(ClientDB[[#This Row],[Country Code]],'Lookup Lists'!$D$7:$E$59,2,0)</f>
        <v>United Kingdom</v>
      </c>
      <c r="J192" s="15">
        <v>5</v>
      </c>
      <c r="K192" s="15" t="str">
        <f>IF(ClientDB[[#This Row],[Start Date]]&gt;=$U$14,"New","")</f>
        <v/>
      </c>
      <c r="L192" s="15" t="str">
        <f>IF(AND(ClientDB[[#This Row],[Start Year]]&lt;2016,ClientDB[[#This Row],[Events]]&gt;=6),"Gift","")</f>
        <v/>
      </c>
      <c r="M19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92" s="15">
        <v>2</v>
      </c>
      <c r="O192" s="38">
        <f>ClientDB[[#This Row],[Days]]*(IF(ClientDB[[#This Row],[Days]]&gt;1,300,350))</f>
        <v>600</v>
      </c>
      <c r="P19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192" s="15" t="s">
        <v>901</v>
      </c>
      <c r="R192" s="15" t="str">
        <f>INDEX('Lookup Lists'!$H$7:$K$59,MATCH(ClientDB[[#This Row],[Country Code]],'Lookup Lists'!$G$7:$G$59,0),(MATCH(ClientDB[[#This Row],[Meal]],'Lookup Lists'!$H$6:$K$6,0)))</f>
        <v>E</v>
      </c>
    </row>
    <row r="193" spans="1:18" x14ac:dyDescent="0.2">
      <c r="A193" s="10">
        <v>26212</v>
      </c>
      <c r="B193" t="s">
        <v>464</v>
      </c>
      <c r="C193" t="s">
        <v>465</v>
      </c>
      <c r="D193" s="18">
        <v>43661</v>
      </c>
      <c r="E193" s="37">
        <f>YEAR(ClientDB[[#This Row],[Start Date]])</f>
        <v>2019</v>
      </c>
      <c r="F193" t="s">
        <v>832</v>
      </c>
      <c r="G193" t="str">
        <f>VLOOKUP(ClientDB[[#This Row],[Org Code]],'Lookup Lists'!$A$7:$B$52,2,0)</f>
        <v>TQ Processes</v>
      </c>
      <c r="H193" s="10" t="s">
        <v>97</v>
      </c>
      <c r="I193" s="10" t="str">
        <f>VLOOKUP(ClientDB[[#This Row],[Country Code]],'Lookup Lists'!$D$7:$E$59,2,0)</f>
        <v>Ireland</v>
      </c>
      <c r="J193" s="15">
        <v>2</v>
      </c>
      <c r="K193" s="15" t="str">
        <f>IF(ClientDB[[#This Row],[Start Date]]&gt;=$U$14,"New","")</f>
        <v/>
      </c>
      <c r="L193" s="15" t="str">
        <f>IF(AND(ClientDB[[#This Row],[Start Year]]&lt;2016,ClientDB[[#This Row],[Events]]&gt;=6),"Gift","")</f>
        <v/>
      </c>
      <c r="M19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93" s="15">
        <v>2</v>
      </c>
      <c r="O193" s="38">
        <f>ClientDB[[#This Row],[Days]]*(IF(ClientDB[[#This Row],[Days]]&gt;1,300,350))</f>
        <v>600</v>
      </c>
      <c r="P19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193" s="15" t="s">
        <v>902</v>
      </c>
      <c r="R193" s="15" t="str">
        <f>INDEX('Lookup Lists'!$H$7:$K$59,MATCH(ClientDB[[#This Row],[Country Code]],'Lookup Lists'!$G$7:$G$59,0),(MATCH(ClientDB[[#This Row],[Meal]],'Lookup Lists'!$H$6:$K$6,0)))</f>
        <v>C</v>
      </c>
    </row>
    <row r="194" spans="1:18" x14ac:dyDescent="0.2">
      <c r="A194" s="10">
        <v>26256</v>
      </c>
      <c r="B194" t="s">
        <v>244</v>
      </c>
      <c r="C194" t="s">
        <v>405</v>
      </c>
      <c r="D194" s="18">
        <v>42100</v>
      </c>
      <c r="E194" s="37">
        <f>YEAR(ClientDB[[#This Row],[Start Date]])</f>
        <v>2015</v>
      </c>
      <c r="F194" t="s">
        <v>824</v>
      </c>
      <c r="G194" t="str">
        <f>VLOOKUP(ClientDB[[#This Row],[Org Code]],'Lookup Lists'!$A$7:$B$52,2,0)</f>
        <v>Pink Cloud Networks</v>
      </c>
      <c r="H194" s="10" t="s">
        <v>63</v>
      </c>
      <c r="I194" s="10" t="str">
        <f>VLOOKUP(ClientDB[[#This Row],[Country Code]],'Lookup Lists'!$D$7:$E$59,2,0)</f>
        <v>Armenia</v>
      </c>
      <c r="J194" s="15">
        <v>11</v>
      </c>
      <c r="K194" s="15" t="str">
        <f>IF(ClientDB[[#This Row],[Start Date]]&gt;=$U$14,"New","")</f>
        <v/>
      </c>
      <c r="L194" s="15" t="str">
        <f>IF(AND(ClientDB[[#This Row],[Start Year]]&lt;2016,ClientDB[[#This Row],[Events]]&gt;=6),"Gift","")</f>
        <v>Gift</v>
      </c>
      <c r="M19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194" s="15">
        <v>2</v>
      </c>
      <c r="O194" s="38">
        <f>ClientDB[[#This Row],[Days]]*(IF(ClientDB[[#This Row],[Days]]&gt;1,300,350))</f>
        <v>600</v>
      </c>
      <c r="P19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194" s="15" t="s">
        <v>901</v>
      </c>
      <c r="R194" s="15" t="str">
        <f>INDEX('Lookup Lists'!$H$7:$K$59,MATCH(ClientDB[[#This Row],[Country Code]],'Lookup Lists'!$G$7:$G$59,0),(MATCH(ClientDB[[#This Row],[Meal]],'Lookup Lists'!$H$6:$K$6,0)))</f>
        <v>D</v>
      </c>
    </row>
    <row r="195" spans="1:18" x14ac:dyDescent="0.2">
      <c r="A195" s="10">
        <v>26273</v>
      </c>
      <c r="B195" t="s">
        <v>147</v>
      </c>
      <c r="C195" t="s">
        <v>674</v>
      </c>
      <c r="D195" s="18">
        <v>42500</v>
      </c>
      <c r="E195" s="37">
        <f>YEAR(ClientDB[[#This Row],[Start Date]])</f>
        <v>2016</v>
      </c>
      <c r="F195" t="s">
        <v>827</v>
      </c>
      <c r="G195" t="str">
        <f>VLOOKUP(ClientDB[[#This Row],[Org Code]],'Lookup Lists'!$A$7:$B$52,2,0)</f>
        <v>Ripple Com</v>
      </c>
      <c r="H195" s="10" t="s">
        <v>15</v>
      </c>
      <c r="I195" s="10" t="str">
        <f>VLOOKUP(ClientDB[[#This Row],[Country Code]],'Lookup Lists'!$D$7:$E$59,2,0)</f>
        <v>United Kingdom</v>
      </c>
      <c r="J195" s="15">
        <v>1</v>
      </c>
      <c r="K195" s="15" t="str">
        <f>IF(ClientDB[[#This Row],[Start Date]]&gt;=$U$14,"New","")</f>
        <v/>
      </c>
      <c r="L195" s="15" t="str">
        <f>IF(AND(ClientDB[[#This Row],[Start Year]]&lt;2016,ClientDB[[#This Row],[Events]]&gt;=6),"Gift","")</f>
        <v/>
      </c>
      <c r="M19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95" s="15">
        <v>1</v>
      </c>
      <c r="O195" s="38">
        <f>ClientDB[[#This Row],[Days]]*(IF(ClientDB[[#This Row],[Days]]&gt;1,300,350))</f>
        <v>350</v>
      </c>
      <c r="P19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195" s="15" t="s">
        <v>900</v>
      </c>
      <c r="R195" s="15" t="str">
        <f>INDEX('Lookup Lists'!$H$7:$K$59,MATCH(ClientDB[[#This Row],[Country Code]],'Lookup Lists'!$G$7:$G$59,0),(MATCH(ClientDB[[#This Row],[Meal]],'Lookup Lists'!$H$6:$K$6,0)))</f>
        <v>A</v>
      </c>
    </row>
    <row r="196" spans="1:18" x14ac:dyDescent="0.2">
      <c r="A196" s="10">
        <v>26370</v>
      </c>
      <c r="B196" t="s">
        <v>489</v>
      </c>
      <c r="C196" t="s">
        <v>490</v>
      </c>
      <c r="D196" s="18">
        <v>43842</v>
      </c>
      <c r="E196" s="37">
        <f>YEAR(ClientDB[[#This Row],[Start Date]])</f>
        <v>2020</v>
      </c>
      <c r="F196" t="s">
        <v>805</v>
      </c>
      <c r="G196" t="str">
        <f>VLOOKUP(ClientDB[[#This Row],[Org Code]],'Lookup Lists'!$A$7:$B$52,2,0)</f>
        <v>Data Pro Sys</v>
      </c>
      <c r="H196" s="10" t="s">
        <v>124</v>
      </c>
      <c r="I196" s="10" t="str">
        <f>VLOOKUP(ClientDB[[#This Row],[Country Code]],'Lookup Lists'!$D$7:$E$59,2,0)</f>
        <v>Lebanon</v>
      </c>
      <c r="J196" s="15">
        <v>1</v>
      </c>
      <c r="K196" s="15" t="str">
        <f>IF(ClientDB[[#This Row],[Start Date]]&gt;=$U$14,"New","")</f>
        <v>New</v>
      </c>
      <c r="L196" s="15" t="str">
        <f>IF(AND(ClientDB[[#This Row],[Start Year]]&lt;2016,ClientDB[[#This Row],[Events]]&gt;=6),"Gift","")</f>
        <v/>
      </c>
      <c r="M19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96" s="15">
        <v>1</v>
      </c>
      <c r="O196" s="38">
        <f>ClientDB[[#This Row],[Days]]*(IF(ClientDB[[#This Row],[Days]]&gt;1,300,350))</f>
        <v>350</v>
      </c>
      <c r="P19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196" s="15" t="s">
        <v>901</v>
      </c>
      <c r="R196" s="15" t="str">
        <f>INDEX('Lookup Lists'!$H$7:$K$59,MATCH(ClientDB[[#This Row],[Country Code]],'Lookup Lists'!$G$7:$G$59,0),(MATCH(ClientDB[[#This Row],[Meal]],'Lookup Lists'!$H$6:$K$6,0)))</f>
        <v>F</v>
      </c>
    </row>
    <row r="197" spans="1:18" x14ac:dyDescent="0.2">
      <c r="A197" s="10">
        <v>26383</v>
      </c>
      <c r="B197" t="s">
        <v>468</v>
      </c>
      <c r="C197" t="s">
        <v>624</v>
      </c>
      <c r="D197" s="18">
        <v>42976</v>
      </c>
      <c r="E197" s="37">
        <f>YEAR(ClientDB[[#This Row],[Start Date]])</f>
        <v>2017</v>
      </c>
      <c r="F197" t="s">
        <v>832</v>
      </c>
      <c r="G197" t="str">
        <f>VLOOKUP(ClientDB[[#This Row],[Org Code]],'Lookup Lists'!$A$7:$B$52,2,0)</f>
        <v>TQ Processes</v>
      </c>
      <c r="H197" s="10" t="s">
        <v>59</v>
      </c>
      <c r="I197" s="10" t="str">
        <f>VLOOKUP(ClientDB[[#This Row],[Country Code]],'Lookup Lists'!$D$7:$E$59,2,0)</f>
        <v>Netherlands</v>
      </c>
      <c r="J197" s="15">
        <v>9</v>
      </c>
      <c r="K197" s="15" t="str">
        <f>IF(ClientDB[[#This Row],[Start Date]]&gt;=$U$14,"New","")</f>
        <v/>
      </c>
      <c r="L197" s="15" t="str">
        <f>IF(AND(ClientDB[[#This Row],[Start Year]]&lt;2016,ClientDB[[#This Row],[Events]]&gt;=6),"Gift","")</f>
        <v/>
      </c>
      <c r="M19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97" s="15">
        <v>2</v>
      </c>
      <c r="O197" s="38">
        <f>ClientDB[[#This Row],[Days]]*(IF(ClientDB[[#This Row],[Days]]&gt;1,300,350))</f>
        <v>600</v>
      </c>
      <c r="P19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197" s="15" t="s">
        <v>900</v>
      </c>
      <c r="R197" s="15" t="str">
        <f>INDEX('Lookup Lists'!$H$7:$K$59,MATCH(ClientDB[[#This Row],[Country Code]],'Lookup Lists'!$G$7:$G$59,0),(MATCH(ClientDB[[#This Row],[Meal]],'Lookup Lists'!$H$6:$K$6,0)))</f>
        <v>C</v>
      </c>
    </row>
    <row r="198" spans="1:18" x14ac:dyDescent="0.2">
      <c r="A198" s="10">
        <v>26457</v>
      </c>
      <c r="B198" t="s">
        <v>727</v>
      </c>
      <c r="C198" t="s">
        <v>728</v>
      </c>
      <c r="D198" s="18">
        <v>42736</v>
      </c>
      <c r="E198" s="37">
        <f>YEAR(ClientDB[[#This Row],[Start Date]])</f>
        <v>2017</v>
      </c>
      <c r="F198" t="s">
        <v>827</v>
      </c>
      <c r="G198" t="str">
        <f>VLOOKUP(ClientDB[[#This Row],[Org Code]],'Lookup Lists'!$A$7:$B$52,2,0)</f>
        <v>Ripple Com</v>
      </c>
      <c r="H198" s="10" t="s">
        <v>15</v>
      </c>
      <c r="I198" s="10" t="str">
        <f>VLOOKUP(ClientDB[[#This Row],[Country Code]],'Lookup Lists'!$D$7:$E$59,2,0)</f>
        <v>United Kingdom</v>
      </c>
      <c r="J198" s="15">
        <v>6</v>
      </c>
      <c r="K198" s="15" t="str">
        <f>IF(ClientDB[[#This Row],[Start Date]]&gt;=$U$14,"New","")</f>
        <v/>
      </c>
      <c r="L198" s="15" t="str">
        <f>IF(AND(ClientDB[[#This Row],[Start Year]]&lt;2016,ClientDB[[#This Row],[Events]]&gt;=6),"Gift","")</f>
        <v/>
      </c>
      <c r="M19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98" s="15">
        <v>1</v>
      </c>
      <c r="O198" s="38">
        <f>ClientDB[[#This Row],[Days]]*(IF(ClientDB[[#This Row],[Days]]&gt;1,300,350))</f>
        <v>350</v>
      </c>
      <c r="P19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198" s="15" t="s">
        <v>899</v>
      </c>
      <c r="R198" s="15" t="str">
        <f>INDEX('Lookup Lists'!$H$7:$K$59,MATCH(ClientDB[[#This Row],[Country Code]],'Lookup Lists'!$G$7:$G$59,0),(MATCH(ClientDB[[#This Row],[Meal]],'Lookup Lists'!$H$6:$K$6,0)))</f>
        <v>A</v>
      </c>
    </row>
    <row r="199" spans="1:18" x14ac:dyDescent="0.2">
      <c r="A199" s="10">
        <v>26525</v>
      </c>
      <c r="B199" t="s">
        <v>118</v>
      </c>
      <c r="C199" t="s">
        <v>119</v>
      </c>
      <c r="D199" s="18">
        <v>42955</v>
      </c>
      <c r="E199" s="37">
        <f>YEAR(ClientDB[[#This Row],[Start Date]])</f>
        <v>2017</v>
      </c>
      <c r="F199" t="s">
        <v>808</v>
      </c>
      <c r="G199" t="str">
        <f>VLOOKUP(ClientDB[[#This Row],[Org Code]],'Lookup Lists'!$A$7:$B$52,2,0)</f>
        <v>Ebony Telecoms</v>
      </c>
      <c r="H199" s="10" t="s">
        <v>121</v>
      </c>
      <c r="I199" s="10" t="str">
        <f>VLOOKUP(ClientDB[[#This Row],[Country Code]],'Lookup Lists'!$D$7:$E$59,2,0)</f>
        <v>Portugal</v>
      </c>
      <c r="J199" s="15">
        <v>5</v>
      </c>
      <c r="K199" s="15" t="str">
        <f>IF(ClientDB[[#This Row],[Start Date]]&gt;=$U$14,"New","")</f>
        <v/>
      </c>
      <c r="L199" s="15" t="str">
        <f>IF(AND(ClientDB[[#This Row],[Start Year]]&lt;2016,ClientDB[[#This Row],[Events]]&gt;=6),"Gift","")</f>
        <v/>
      </c>
      <c r="M19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199" s="15">
        <v>2</v>
      </c>
      <c r="O199" s="38">
        <f>ClientDB[[#This Row],[Days]]*(IF(ClientDB[[#This Row],[Days]]&gt;1,300,350))</f>
        <v>600</v>
      </c>
      <c r="P19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199" s="15" t="s">
        <v>900</v>
      </c>
      <c r="R199" s="15" t="str">
        <f>INDEX('Lookup Lists'!$H$7:$K$59,MATCH(ClientDB[[#This Row],[Country Code]],'Lookup Lists'!$G$7:$G$59,0),(MATCH(ClientDB[[#This Row],[Meal]],'Lookup Lists'!$H$6:$K$6,0)))</f>
        <v>C</v>
      </c>
    </row>
    <row r="200" spans="1:18" x14ac:dyDescent="0.2">
      <c r="A200" s="10">
        <v>26529</v>
      </c>
      <c r="B200" t="s">
        <v>631</v>
      </c>
      <c r="C200" t="s">
        <v>632</v>
      </c>
      <c r="D200" s="18">
        <v>42671</v>
      </c>
      <c r="E200" s="37">
        <f>YEAR(ClientDB[[#This Row],[Start Date]])</f>
        <v>2016</v>
      </c>
      <c r="F200" t="s">
        <v>812</v>
      </c>
      <c r="G200" t="str">
        <f>VLOOKUP(ClientDB[[#This Row],[Org Code]],'Lookup Lists'!$A$7:$B$52,2,0)</f>
        <v>Fzig Fibre</v>
      </c>
      <c r="H200" s="10" t="s">
        <v>175</v>
      </c>
      <c r="I200" s="10" t="str">
        <f>VLOOKUP(ClientDB[[#This Row],[Country Code]],'Lookup Lists'!$D$7:$E$59,2,0)</f>
        <v>Australia</v>
      </c>
      <c r="J200" s="15">
        <v>11</v>
      </c>
      <c r="K200" s="15" t="str">
        <f>IF(ClientDB[[#This Row],[Start Date]]&gt;=$U$14,"New","")</f>
        <v/>
      </c>
      <c r="L200" s="15" t="str">
        <f>IF(AND(ClientDB[[#This Row],[Start Year]]&lt;2016,ClientDB[[#This Row],[Events]]&gt;=6),"Gift","")</f>
        <v/>
      </c>
      <c r="M20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200" s="15">
        <v>2</v>
      </c>
      <c r="O200" s="38">
        <f>ClientDB[[#This Row],[Days]]*(IF(ClientDB[[#This Row],[Days]]&gt;1,300,350))</f>
        <v>600</v>
      </c>
      <c r="P20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200" s="15" t="s">
        <v>900</v>
      </c>
      <c r="R200" s="15" t="str">
        <f>INDEX('Lookup Lists'!$H$7:$K$59,MATCH(ClientDB[[#This Row],[Country Code]],'Lookup Lists'!$G$7:$G$59,0),(MATCH(ClientDB[[#This Row],[Meal]],'Lookup Lists'!$H$6:$K$6,0)))</f>
        <v>A</v>
      </c>
    </row>
    <row r="201" spans="1:18" x14ac:dyDescent="0.2">
      <c r="A201" s="10">
        <v>26537</v>
      </c>
      <c r="B201" t="s">
        <v>346</v>
      </c>
      <c r="C201" t="s">
        <v>347</v>
      </c>
      <c r="D201" s="18">
        <v>43449</v>
      </c>
      <c r="E201" s="37">
        <f>YEAR(ClientDB[[#This Row],[Start Date]])</f>
        <v>2018</v>
      </c>
      <c r="F201" t="s">
        <v>801</v>
      </c>
      <c r="G201" t="str">
        <f>VLOOKUP(ClientDB[[#This Row],[Org Code]],'Lookup Lists'!$A$7:$B$52,2,0)</f>
        <v>Collings University</v>
      </c>
      <c r="H201" s="10" t="s">
        <v>59</v>
      </c>
      <c r="I201" s="10" t="str">
        <f>VLOOKUP(ClientDB[[#This Row],[Country Code]],'Lookup Lists'!$D$7:$E$59,2,0)</f>
        <v>Netherlands</v>
      </c>
      <c r="J201" s="15">
        <v>8</v>
      </c>
      <c r="K201" s="15" t="str">
        <f>IF(ClientDB[[#This Row],[Start Date]]&gt;=$U$14,"New","")</f>
        <v/>
      </c>
      <c r="L201" s="15" t="str">
        <f>IF(AND(ClientDB[[#This Row],[Start Year]]&lt;2016,ClientDB[[#This Row],[Events]]&gt;=6),"Gift","")</f>
        <v/>
      </c>
      <c r="M20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01" s="15">
        <v>2</v>
      </c>
      <c r="O201" s="38">
        <f>ClientDB[[#This Row],[Days]]*(IF(ClientDB[[#This Row],[Days]]&gt;1,300,350))</f>
        <v>600</v>
      </c>
      <c r="P20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201" s="15" t="s">
        <v>899</v>
      </c>
      <c r="R201" s="15" t="str">
        <f>INDEX('Lookup Lists'!$H$7:$K$59,MATCH(ClientDB[[#This Row],[Country Code]],'Lookup Lists'!$G$7:$G$59,0),(MATCH(ClientDB[[#This Row],[Meal]],'Lookup Lists'!$H$6:$K$6,0)))</f>
        <v>B</v>
      </c>
    </row>
    <row r="202" spans="1:18" x14ac:dyDescent="0.2">
      <c r="A202" s="10">
        <v>26762</v>
      </c>
      <c r="B202" t="s">
        <v>223</v>
      </c>
      <c r="C202" t="s">
        <v>224</v>
      </c>
      <c r="D202" s="18">
        <v>42496</v>
      </c>
      <c r="E202" s="37">
        <f>YEAR(ClientDB[[#This Row],[Start Date]])</f>
        <v>2016</v>
      </c>
      <c r="F202" t="s">
        <v>839</v>
      </c>
      <c r="G202" t="str">
        <f>VLOOKUP(ClientDB[[#This Row],[Org Code]],'Lookup Lists'!$A$7:$B$52,2,0)</f>
        <v>Zconnect, Inc</v>
      </c>
      <c r="H202" s="10" t="s">
        <v>54</v>
      </c>
      <c r="I202" s="10" t="str">
        <f>VLOOKUP(ClientDB[[#This Row],[Country Code]],'Lookup Lists'!$D$7:$E$59,2,0)</f>
        <v>Romania</v>
      </c>
      <c r="J202" s="15">
        <v>2</v>
      </c>
      <c r="K202" s="15" t="str">
        <f>IF(ClientDB[[#This Row],[Start Date]]&gt;=$U$14,"New","")</f>
        <v/>
      </c>
      <c r="L202" s="15" t="str">
        <f>IF(AND(ClientDB[[#This Row],[Start Year]]&lt;2016,ClientDB[[#This Row],[Events]]&gt;=6),"Gift","")</f>
        <v/>
      </c>
      <c r="M20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02" s="15">
        <v>3</v>
      </c>
      <c r="O202" s="38">
        <f>ClientDB[[#This Row],[Days]]*(IF(ClientDB[[#This Row],[Days]]&gt;1,300,350))</f>
        <v>900</v>
      </c>
      <c r="P20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202" s="15" t="s">
        <v>901</v>
      </c>
      <c r="R202" s="15" t="str">
        <f>INDEX('Lookup Lists'!$H$7:$K$59,MATCH(ClientDB[[#This Row],[Country Code]],'Lookup Lists'!$G$7:$G$59,0),(MATCH(ClientDB[[#This Row],[Meal]],'Lookup Lists'!$H$6:$K$6,0)))</f>
        <v>G</v>
      </c>
    </row>
    <row r="203" spans="1:18" x14ac:dyDescent="0.2">
      <c r="A203" s="10">
        <v>26794</v>
      </c>
      <c r="B203" t="s">
        <v>359</v>
      </c>
      <c r="C203" t="s">
        <v>744</v>
      </c>
      <c r="D203" s="18">
        <v>42812</v>
      </c>
      <c r="E203" s="37">
        <f>YEAR(ClientDB[[#This Row],[Start Date]])</f>
        <v>2017</v>
      </c>
      <c r="F203" t="s">
        <v>815</v>
      </c>
      <c r="G203" t="str">
        <f>VLOOKUP(ClientDB[[#This Row],[Org Code]],'Lookup Lists'!$A$7:$B$52,2,0)</f>
        <v>Intelligence Systems</v>
      </c>
      <c r="H203" s="10" t="s">
        <v>34</v>
      </c>
      <c r="I203" s="10" t="str">
        <f>VLOOKUP(ClientDB[[#This Row],[Country Code]],'Lookup Lists'!$D$7:$E$59,2,0)</f>
        <v>United States</v>
      </c>
      <c r="J203" s="15">
        <v>7</v>
      </c>
      <c r="K203" s="15" t="str">
        <f>IF(ClientDB[[#This Row],[Start Date]]&gt;=$U$14,"New","")</f>
        <v/>
      </c>
      <c r="L203" s="15" t="str">
        <f>IF(AND(ClientDB[[#This Row],[Start Year]]&lt;2016,ClientDB[[#This Row],[Events]]&gt;=6),"Gift","")</f>
        <v/>
      </c>
      <c r="M20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03" s="15">
        <v>3</v>
      </c>
      <c r="O203" s="38">
        <f>ClientDB[[#This Row],[Days]]*(IF(ClientDB[[#This Row],[Days]]&gt;1,300,350))</f>
        <v>900</v>
      </c>
      <c r="P20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203" s="15" t="s">
        <v>901</v>
      </c>
      <c r="R203" s="15" t="str">
        <f>INDEX('Lookup Lists'!$H$7:$K$59,MATCH(ClientDB[[#This Row],[Country Code]],'Lookup Lists'!$G$7:$G$59,0),(MATCH(ClientDB[[#This Row],[Meal]],'Lookup Lists'!$H$6:$K$6,0)))</f>
        <v>G</v>
      </c>
    </row>
    <row r="204" spans="1:18" x14ac:dyDescent="0.2">
      <c r="A204" s="10">
        <v>26873</v>
      </c>
      <c r="B204" t="s">
        <v>51</v>
      </c>
      <c r="C204" t="s">
        <v>52</v>
      </c>
      <c r="D204" s="18">
        <v>43946</v>
      </c>
      <c r="E204" s="37">
        <f>YEAR(ClientDB[[#This Row],[Start Date]])</f>
        <v>2020</v>
      </c>
      <c r="F204" t="s">
        <v>836</v>
      </c>
      <c r="G204" t="str">
        <f>VLOOKUP(ClientDB[[#This Row],[Org Code]],'Lookup Lists'!$A$7:$B$52,2,0)</f>
        <v>Wiz Labs</v>
      </c>
      <c r="H204" s="10" t="s">
        <v>54</v>
      </c>
      <c r="I204" s="10" t="str">
        <f>VLOOKUP(ClientDB[[#This Row],[Country Code]],'Lookup Lists'!$D$7:$E$59,2,0)</f>
        <v>Romania</v>
      </c>
      <c r="J204" s="15">
        <v>10</v>
      </c>
      <c r="K204" s="15" t="str">
        <f>IF(ClientDB[[#This Row],[Start Date]]&gt;=$U$14,"New","")</f>
        <v>New</v>
      </c>
      <c r="L204" s="15" t="str">
        <f>IF(AND(ClientDB[[#This Row],[Start Year]]&lt;2016,ClientDB[[#This Row],[Events]]&gt;=6),"Gift","")</f>
        <v/>
      </c>
      <c r="M20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204" s="15">
        <v>1</v>
      </c>
      <c r="O204" s="38">
        <f>ClientDB[[#This Row],[Days]]*(IF(ClientDB[[#This Row],[Days]]&gt;1,300,350))</f>
        <v>350</v>
      </c>
      <c r="P20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204" s="15" t="s">
        <v>902</v>
      </c>
      <c r="R204" s="15" t="str">
        <f>INDEX('Lookup Lists'!$H$7:$K$59,MATCH(ClientDB[[#This Row],[Country Code]],'Lookup Lists'!$G$7:$G$59,0),(MATCH(ClientDB[[#This Row],[Meal]],'Lookup Lists'!$H$6:$K$6,0)))</f>
        <v>C</v>
      </c>
    </row>
    <row r="205" spans="1:18" x14ac:dyDescent="0.2">
      <c r="A205" s="10">
        <v>26887</v>
      </c>
      <c r="B205" t="s">
        <v>147</v>
      </c>
      <c r="C205" t="s">
        <v>314</v>
      </c>
      <c r="D205" s="18">
        <v>42909</v>
      </c>
      <c r="E205" s="37">
        <f>YEAR(ClientDB[[#This Row],[Start Date]])</f>
        <v>2017</v>
      </c>
      <c r="F205" t="s">
        <v>827</v>
      </c>
      <c r="G205" t="str">
        <f>VLOOKUP(ClientDB[[#This Row],[Org Code]],'Lookup Lists'!$A$7:$B$52,2,0)</f>
        <v>Ripple Com</v>
      </c>
      <c r="H205" s="10" t="s">
        <v>15</v>
      </c>
      <c r="I205" s="10" t="str">
        <f>VLOOKUP(ClientDB[[#This Row],[Country Code]],'Lookup Lists'!$D$7:$E$59,2,0)</f>
        <v>United Kingdom</v>
      </c>
      <c r="J205" s="15">
        <v>12</v>
      </c>
      <c r="K205" s="15" t="str">
        <f>IF(ClientDB[[#This Row],[Start Date]]&gt;=$U$14,"New","")</f>
        <v/>
      </c>
      <c r="L205" s="15" t="str">
        <f>IF(AND(ClientDB[[#This Row],[Start Year]]&lt;2016,ClientDB[[#This Row],[Events]]&gt;=6),"Gift","")</f>
        <v/>
      </c>
      <c r="M20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205" s="15">
        <v>2</v>
      </c>
      <c r="O205" s="38">
        <f>ClientDB[[#This Row],[Days]]*(IF(ClientDB[[#This Row],[Days]]&gt;1,300,350))</f>
        <v>600</v>
      </c>
      <c r="P20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205" s="15" t="s">
        <v>901</v>
      </c>
      <c r="R205" s="15" t="str">
        <f>INDEX('Lookup Lists'!$H$7:$K$59,MATCH(ClientDB[[#This Row],[Country Code]],'Lookup Lists'!$G$7:$G$59,0),(MATCH(ClientDB[[#This Row],[Meal]],'Lookup Lists'!$H$6:$K$6,0)))</f>
        <v>E</v>
      </c>
    </row>
    <row r="206" spans="1:18" x14ac:dyDescent="0.2">
      <c r="A206" s="10">
        <v>26888</v>
      </c>
      <c r="B206" t="s">
        <v>47</v>
      </c>
      <c r="C206" t="s">
        <v>48</v>
      </c>
      <c r="D206" s="18">
        <v>42143</v>
      </c>
      <c r="E206" s="37">
        <f>YEAR(ClientDB[[#This Row],[Start Date]])</f>
        <v>2015</v>
      </c>
      <c r="F206" t="s">
        <v>840</v>
      </c>
      <c r="G206" t="str">
        <f>VLOOKUP(ClientDB[[#This Row],[Org Code]],'Lookup Lists'!$A$7:$B$52,2,0)</f>
        <v>Zim Sales</v>
      </c>
      <c r="H206" s="10" t="s">
        <v>50</v>
      </c>
      <c r="I206" s="10" t="str">
        <f>VLOOKUP(ClientDB[[#This Row],[Country Code]],'Lookup Lists'!$D$7:$E$59,2,0)</f>
        <v>Finland</v>
      </c>
      <c r="J206" s="15">
        <v>1</v>
      </c>
      <c r="K206" s="15" t="str">
        <f>IF(ClientDB[[#This Row],[Start Date]]&gt;=$U$14,"New","")</f>
        <v/>
      </c>
      <c r="L206" s="15" t="str">
        <f>IF(AND(ClientDB[[#This Row],[Start Year]]&lt;2016,ClientDB[[#This Row],[Events]]&gt;=6),"Gift","")</f>
        <v/>
      </c>
      <c r="M20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06" s="15">
        <v>1</v>
      </c>
      <c r="O206" s="38">
        <f>ClientDB[[#This Row],[Days]]*(IF(ClientDB[[#This Row],[Days]]&gt;1,300,350))</f>
        <v>350</v>
      </c>
      <c r="P20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206" s="15" t="s">
        <v>901</v>
      </c>
      <c r="R206" s="15" t="str">
        <f>INDEX('Lookup Lists'!$H$7:$K$59,MATCH(ClientDB[[#This Row],[Country Code]],'Lookup Lists'!$G$7:$G$59,0),(MATCH(ClientDB[[#This Row],[Meal]],'Lookup Lists'!$H$6:$K$6,0)))</f>
        <v>D</v>
      </c>
    </row>
    <row r="207" spans="1:18" x14ac:dyDescent="0.2">
      <c r="A207" s="10">
        <v>26949</v>
      </c>
      <c r="B207" t="s">
        <v>242</v>
      </c>
      <c r="C207" t="s">
        <v>729</v>
      </c>
      <c r="D207" s="18">
        <v>43741</v>
      </c>
      <c r="E207" s="37">
        <f>YEAR(ClientDB[[#This Row],[Start Date]])</f>
        <v>2019</v>
      </c>
      <c r="F207" t="s">
        <v>799</v>
      </c>
      <c r="G207" t="str">
        <f>VLOOKUP(ClientDB[[#This Row],[Org Code]],'Lookup Lists'!$A$7:$B$52,2,0)</f>
        <v>ByteSize</v>
      </c>
      <c r="H207" s="10" t="s">
        <v>26</v>
      </c>
      <c r="I207" s="10" t="str">
        <f>VLOOKUP(ClientDB[[#This Row],[Country Code]],'Lookup Lists'!$D$7:$E$59,2,0)</f>
        <v>Ukraine</v>
      </c>
      <c r="J207" s="15">
        <v>2</v>
      </c>
      <c r="K207" s="15" t="str">
        <f>IF(ClientDB[[#This Row],[Start Date]]&gt;=$U$14,"New","")</f>
        <v/>
      </c>
      <c r="L207" s="15" t="str">
        <f>IF(AND(ClientDB[[#This Row],[Start Year]]&lt;2016,ClientDB[[#This Row],[Events]]&gt;=6),"Gift","")</f>
        <v/>
      </c>
      <c r="M20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07" s="15">
        <v>3</v>
      </c>
      <c r="O207" s="38">
        <f>ClientDB[[#This Row],[Days]]*(IF(ClientDB[[#This Row],[Days]]&gt;1,300,350))</f>
        <v>900</v>
      </c>
      <c r="P20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207" s="15" t="s">
        <v>901</v>
      </c>
      <c r="R207" s="15" t="str">
        <f>INDEX('Lookup Lists'!$H$7:$K$59,MATCH(ClientDB[[#This Row],[Country Code]],'Lookup Lists'!$G$7:$G$59,0),(MATCH(ClientDB[[#This Row],[Meal]],'Lookup Lists'!$H$6:$K$6,0)))</f>
        <v>G</v>
      </c>
    </row>
    <row r="208" spans="1:18" x14ac:dyDescent="0.2">
      <c r="A208" s="10">
        <v>27034</v>
      </c>
      <c r="B208" t="s">
        <v>422</v>
      </c>
      <c r="C208" t="s">
        <v>423</v>
      </c>
      <c r="D208" s="18">
        <v>42427</v>
      </c>
      <c r="E208" s="37">
        <f>YEAR(ClientDB[[#This Row],[Start Date]])</f>
        <v>2016</v>
      </c>
      <c r="F208" t="s">
        <v>827</v>
      </c>
      <c r="G208" t="str">
        <f>VLOOKUP(ClientDB[[#This Row],[Org Code]],'Lookup Lists'!$A$7:$B$52,2,0)</f>
        <v>Ripple Com</v>
      </c>
      <c r="H208" s="10" t="s">
        <v>15</v>
      </c>
      <c r="I208" s="10" t="str">
        <f>VLOOKUP(ClientDB[[#This Row],[Country Code]],'Lookup Lists'!$D$7:$E$59,2,0)</f>
        <v>United Kingdom</v>
      </c>
      <c r="J208" s="15">
        <v>8</v>
      </c>
      <c r="K208" s="15" t="str">
        <f>IF(ClientDB[[#This Row],[Start Date]]&gt;=$U$14,"New","")</f>
        <v/>
      </c>
      <c r="L208" s="15" t="str">
        <f>IF(AND(ClientDB[[#This Row],[Start Year]]&lt;2016,ClientDB[[#This Row],[Events]]&gt;=6),"Gift","")</f>
        <v/>
      </c>
      <c r="M20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08" s="15">
        <v>1</v>
      </c>
      <c r="O208" s="38">
        <f>ClientDB[[#This Row],[Days]]*(IF(ClientDB[[#This Row],[Days]]&gt;1,300,350))</f>
        <v>350</v>
      </c>
      <c r="P20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208" s="15" t="s">
        <v>899</v>
      </c>
      <c r="R208" s="15" t="str">
        <f>INDEX('Lookup Lists'!$H$7:$K$59,MATCH(ClientDB[[#This Row],[Country Code]],'Lookup Lists'!$G$7:$G$59,0),(MATCH(ClientDB[[#This Row],[Meal]],'Lookup Lists'!$H$6:$K$6,0)))</f>
        <v>A</v>
      </c>
    </row>
    <row r="209" spans="1:18" x14ac:dyDescent="0.2">
      <c r="A209" s="10">
        <v>27232</v>
      </c>
      <c r="B209" t="s">
        <v>452</v>
      </c>
      <c r="C209" t="s">
        <v>453</v>
      </c>
      <c r="D209" s="18">
        <v>43721</v>
      </c>
      <c r="E209" s="37">
        <f>YEAR(ClientDB[[#This Row],[Start Date]])</f>
        <v>2019</v>
      </c>
      <c r="F209" t="s">
        <v>833</v>
      </c>
      <c r="G209" t="str">
        <f>VLOOKUP(ClientDB[[#This Row],[Org Code]],'Lookup Lists'!$A$7:$B$52,2,0)</f>
        <v>UON</v>
      </c>
      <c r="H209" s="10" t="s">
        <v>34</v>
      </c>
      <c r="I209" s="10" t="str">
        <f>VLOOKUP(ClientDB[[#This Row],[Country Code]],'Lookup Lists'!$D$7:$E$59,2,0)</f>
        <v>United States</v>
      </c>
      <c r="J209" s="15">
        <v>1</v>
      </c>
      <c r="K209" s="15" t="str">
        <f>IF(ClientDB[[#This Row],[Start Date]]&gt;=$U$14,"New","")</f>
        <v/>
      </c>
      <c r="L209" s="15" t="str">
        <f>IF(AND(ClientDB[[#This Row],[Start Year]]&lt;2016,ClientDB[[#This Row],[Events]]&gt;=6),"Gift","")</f>
        <v/>
      </c>
      <c r="M20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09" s="15">
        <v>1</v>
      </c>
      <c r="O209" s="38">
        <f>ClientDB[[#This Row],[Days]]*(IF(ClientDB[[#This Row],[Days]]&gt;1,300,350))</f>
        <v>350</v>
      </c>
      <c r="P20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209" s="15" t="s">
        <v>899</v>
      </c>
      <c r="R209" s="15" t="str">
        <f>INDEX('Lookup Lists'!$H$7:$K$59,MATCH(ClientDB[[#This Row],[Country Code]],'Lookup Lists'!$G$7:$G$59,0),(MATCH(ClientDB[[#This Row],[Meal]],'Lookup Lists'!$H$6:$K$6,0)))</f>
        <v>F</v>
      </c>
    </row>
    <row r="210" spans="1:18" x14ac:dyDescent="0.2">
      <c r="A210" s="10">
        <v>27293</v>
      </c>
      <c r="B210" t="s">
        <v>483</v>
      </c>
      <c r="C210" t="s">
        <v>484</v>
      </c>
      <c r="D210" s="18">
        <v>42364</v>
      </c>
      <c r="E210" s="37">
        <f>YEAR(ClientDB[[#This Row],[Start Date]])</f>
        <v>2015</v>
      </c>
      <c r="F210" t="s">
        <v>833</v>
      </c>
      <c r="G210" t="str">
        <f>VLOOKUP(ClientDB[[#This Row],[Org Code]],'Lookup Lists'!$A$7:$B$52,2,0)</f>
        <v>UON</v>
      </c>
      <c r="H210" s="10" t="s">
        <v>34</v>
      </c>
      <c r="I210" s="10" t="str">
        <f>VLOOKUP(ClientDB[[#This Row],[Country Code]],'Lookup Lists'!$D$7:$E$59,2,0)</f>
        <v>United States</v>
      </c>
      <c r="J210" s="15">
        <v>6</v>
      </c>
      <c r="K210" s="15" t="str">
        <f>IF(ClientDB[[#This Row],[Start Date]]&gt;=$U$14,"New","")</f>
        <v/>
      </c>
      <c r="L210" s="15" t="str">
        <f>IF(AND(ClientDB[[#This Row],[Start Year]]&lt;2016,ClientDB[[#This Row],[Events]]&gt;=6),"Gift","")</f>
        <v>Gift</v>
      </c>
      <c r="M21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10" s="15">
        <v>1</v>
      </c>
      <c r="O210" s="38">
        <f>ClientDB[[#This Row],[Days]]*(IF(ClientDB[[#This Row],[Days]]&gt;1,300,350))</f>
        <v>350</v>
      </c>
      <c r="P21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210" s="15" t="s">
        <v>902</v>
      </c>
      <c r="R210" s="15" t="str">
        <f>INDEX('Lookup Lists'!$H$7:$K$59,MATCH(ClientDB[[#This Row],[Country Code]],'Lookup Lists'!$G$7:$G$59,0),(MATCH(ClientDB[[#This Row],[Meal]],'Lookup Lists'!$H$6:$K$6,0)))</f>
        <v>F</v>
      </c>
    </row>
    <row r="211" spans="1:18" x14ac:dyDescent="0.2">
      <c r="A211" s="10">
        <v>27300</v>
      </c>
      <c r="B211" t="s">
        <v>756</v>
      </c>
      <c r="C211" t="s">
        <v>757</v>
      </c>
      <c r="D211" s="18">
        <v>42960</v>
      </c>
      <c r="E211" s="37">
        <f>YEAR(ClientDB[[#This Row],[Start Date]])</f>
        <v>2017</v>
      </c>
      <c r="F211" t="s">
        <v>827</v>
      </c>
      <c r="G211" t="str">
        <f>VLOOKUP(ClientDB[[#This Row],[Org Code]],'Lookup Lists'!$A$7:$B$52,2,0)</f>
        <v>Ripple Com</v>
      </c>
      <c r="H211" s="10" t="s">
        <v>15</v>
      </c>
      <c r="I211" s="10" t="str">
        <f>VLOOKUP(ClientDB[[#This Row],[Country Code]],'Lookup Lists'!$D$7:$E$59,2,0)</f>
        <v>United Kingdom</v>
      </c>
      <c r="J211" s="15">
        <v>1</v>
      </c>
      <c r="K211" s="15" t="str">
        <f>IF(ClientDB[[#This Row],[Start Date]]&gt;=$U$14,"New","")</f>
        <v/>
      </c>
      <c r="L211" s="15" t="str">
        <f>IF(AND(ClientDB[[#This Row],[Start Year]]&lt;2016,ClientDB[[#This Row],[Events]]&gt;=6),"Gift","")</f>
        <v/>
      </c>
      <c r="M21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11" s="15">
        <v>1</v>
      </c>
      <c r="O211" s="38">
        <f>ClientDB[[#This Row],[Days]]*(IF(ClientDB[[#This Row],[Days]]&gt;1,300,350))</f>
        <v>350</v>
      </c>
      <c r="P21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211" s="15" t="s">
        <v>902</v>
      </c>
      <c r="R211" s="15" t="str">
        <f>INDEX('Lookup Lists'!$H$7:$K$59,MATCH(ClientDB[[#This Row],[Country Code]],'Lookup Lists'!$G$7:$G$59,0),(MATCH(ClientDB[[#This Row],[Meal]],'Lookup Lists'!$H$6:$K$6,0)))</f>
        <v>B</v>
      </c>
    </row>
    <row r="212" spans="1:18" x14ac:dyDescent="0.2">
      <c r="A212" s="10">
        <v>27309</v>
      </c>
      <c r="B212" t="s">
        <v>485</v>
      </c>
      <c r="C212" t="s">
        <v>486</v>
      </c>
      <c r="D212" s="18">
        <v>43132</v>
      </c>
      <c r="E212" s="37">
        <f>YEAR(ClientDB[[#This Row],[Start Date]])</f>
        <v>2018</v>
      </c>
      <c r="F212" t="s">
        <v>827</v>
      </c>
      <c r="G212" t="str">
        <f>VLOOKUP(ClientDB[[#This Row],[Org Code]],'Lookup Lists'!$A$7:$B$52,2,0)</f>
        <v>Ripple Com</v>
      </c>
      <c r="H212" s="10" t="s">
        <v>15</v>
      </c>
      <c r="I212" s="10" t="str">
        <f>VLOOKUP(ClientDB[[#This Row],[Country Code]],'Lookup Lists'!$D$7:$E$59,2,0)</f>
        <v>United Kingdom</v>
      </c>
      <c r="J212" s="15">
        <v>3</v>
      </c>
      <c r="K212" s="15" t="str">
        <f>IF(ClientDB[[#This Row],[Start Date]]&gt;=$U$14,"New","")</f>
        <v/>
      </c>
      <c r="L212" s="15" t="str">
        <f>IF(AND(ClientDB[[#This Row],[Start Year]]&lt;2016,ClientDB[[#This Row],[Events]]&gt;=6),"Gift","")</f>
        <v/>
      </c>
      <c r="M21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12" s="15">
        <v>1</v>
      </c>
      <c r="O212" s="38">
        <f>ClientDB[[#This Row],[Days]]*(IF(ClientDB[[#This Row],[Days]]&gt;1,300,350))</f>
        <v>350</v>
      </c>
      <c r="P21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212" s="15" t="s">
        <v>900</v>
      </c>
      <c r="R212" s="15" t="str">
        <f>INDEX('Lookup Lists'!$H$7:$K$59,MATCH(ClientDB[[#This Row],[Country Code]],'Lookup Lists'!$G$7:$G$59,0),(MATCH(ClientDB[[#This Row],[Meal]],'Lookup Lists'!$H$6:$K$6,0)))</f>
        <v>A</v>
      </c>
    </row>
    <row r="213" spans="1:18" x14ac:dyDescent="0.2">
      <c r="A213" s="10">
        <v>27397</v>
      </c>
      <c r="B213" t="s">
        <v>321</v>
      </c>
      <c r="C213" t="s">
        <v>322</v>
      </c>
      <c r="D213" s="18">
        <v>43398</v>
      </c>
      <c r="E213" s="37">
        <f>YEAR(ClientDB[[#This Row],[Start Date]])</f>
        <v>2018</v>
      </c>
      <c r="F213" t="s">
        <v>827</v>
      </c>
      <c r="G213" t="str">
        <f>VLOOKUP(ClientDB[[#This Row],[Org Code]],'Lookup Lists'!$A$7:$B$52,2,0)</f>
        <v>Ripple Com</v>
      </c>
      <c r="H213" s="10" t="s">
        <v>15</v>
      </c>
      <c r="I213" s="10" t="str">
        <f>VLOOKUP(ClientDB[[#This Row],[Country Code]],'Lookup Lists'!$D$7:$E$59,2,0)</f>
        <v>United Kingdom</v>
      </c>
      <c r="J213" s="15">
        <v>6</v>
      </c>
      <c r="K213" s="15" t="str">
        <f>IF(ClientDB[[#This Row],[Start Date]]&gt;=$U$14,"New","")</f>
        <v/>
      </c>
      <c r="L213" s="15" t="str">
        <f>IF(AND(ClientDB[[#This Row],[Start Year]]&lt;2016,ClientDB[[#This Row],[Events]]&gt;=6),"Gift","")</f>
        <v/>
      </c>
      <c r="M21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13" s="15">
        <v>1</v>
      </c>
      <c r="O213" s="38">
        <f>ClientDB[[#This Row],[Days]]*(IF(ClientDB[[#This Row],[Days]]&gt;1,300,350))</f>
        <v>350</v>
      </c>
      <c r="P21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213" s="15" t="s">
        <v>900</v>
      </c>
      <c r="R213" s="15" t="str">
        <f>INDEX('Lookup Lists'!$H$7:$K$59,MATCH(ClientDB[[#This Row],[Country Code]],'Lookup Lists'!$G$7:$G$59,0),(MATCH(ClientDB[[#This Row],[Meal]],'Lookup Lists'!$H$6:$K$6,0)))</f>
        <v>A</v>
      </c>
    </row>
    <row r="214" spans="1:18" x14ac:dyDescent="0.2">
      <c r="A214" s="10">
        <v>27471</v>
      </c>
      <c r="B214" t="s">
        <v>710</v>
      </c>
      <c r="C214" t="s">
        <v>711</v>
      </c>
      <c r="D214" s="18">
        <v>43453</v>
      </c>
      <c r="E214" s="37">
        <f>YEAR(ClientDB[[#This Row],[Start Date]])</f>
        <v>2018</v>
      </c>
      <c r="F214" t="s">
        <v>817</v>
      </c>
      <c r="G214" t="str">
        <f>VLOOKUP(ClientDB[[#This Row],[Org Code]],'Lookup Lists'!$A$7:$B$52,2,0)</f>
        <v>LACNE</v>
      </c>
      <c r="H214" s="10" t="s">
        <v>124</v>
      </c>
      <c r="I214" s="10" t="str">
        <f>VLOOKUP(ClientDB[[#This Row],[Country Code]],'Lookup Lists'!$D$7:$E$59,2,0)</f>
        <v>Lebanon</v>
      </c>
      <c r="J214" s="15">
        <v>7</v>
      </c>
      <c r="K214" s="15" t="str">
        <f>IF(ClientDB[[#This Row],[Start Date]]&gt;=$U$14,"New","")</f>
        <v/>
      </c>
      <c r="L214" s="15" t="str">
        <f>IF(AND(ClientDB[[#This Row],[Start Year]]&lt;2016,ClientDB[[#This Row],[Events]]&gt;=6),"Gift","")</f>
        <v/>
      </c>
      <c r="M21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14" s="15">
        <v>2</v>
      </c>
      <c r="O214" s="38">
        <f>ClientDB[[#This Row],[Days]]*(IF(ClientDB[[#This Row],[Days]]&gt;1,300,350))</f>
        <v>600</v>
      </c>
      <c r="P21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214" s="15" t="s">
        <v>901</v>
      </c>
      <c r="R214" s="15" t="str">
        <f>INDEX('Lookup Lists'!$H$7:$K$59,MATCH(ClientDB[[#This Row],[Country Code]],'Lookup Lists'!$G$7:$G$59,0),(MATCH(ClientDB[[#This Row],[Meal]],'Lookup Lists'!$H$6:$K$6,0)))</f>
        <v>F</v>
      </c>
    </row>
    <row r="215" spans="1:18" x14ac:dyDescent="0.2">
      <c r="A215" s="10">
        <v>27531</v>
      </c>
      <c r="B215" t="s">
        <v>563</v>
      </c>
      <c r="C215" t="s">
        <v>564</v>
      </c>
      <c r="D215" s="18">
        <v>42375</v>
      </c>
      <c r="E215" s="37">
        <f>YEAR(ClientDB[[#This Row],[Start Date]])</f>
        <v>2016</v>
      </c>
      <c r="F215" t="s">
        <v>830</v>
      </c>
      <c r="G215" t="str">
        <f>VLOOKUP(ClientDB[[#This Row],[Org Code]],'Lookup Lists'!$A$7:$B$52,2,0)</f>
        <v>Steps IT Training</v>
      </c>
      <c r="H215" s="10" t="s">
        <v>565</v>
      </c>
      <c r="I215" s="10" t="str">
        <f>VLOOKUP(ClientDB[[#This Row],[Country Code]],'Lookup Lists'!$D$7:$E$59,2,0)</f>
        <v>Syria</v>
      </c>
      <c r="J215" s="15">
        <v>2</v>
      </c>
      <c r="K215" s="15" t="str">
        <f>IF(ClientDB[[#This Row],[Start Date]]&gt;=$U$14,"New","")</f>
        <v/>
      </c>
      <c r="L215" s="15" t="str">
        <f>IF(AND(ClientDB[[#This Row],[Start Year]]&lt;2016,ClientDB[[#This Row],[Events]]&gt;=6),"Gift","")</f>
        <v/>
      </c>
      <c r="M21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15" s="15">
        <v>3</v>
      </c>
      <c r="O215" s="38">
        <f>ClientDB[[#This Row],[Days]]*(IF(ClientDB[[#This Row],[Days]]&gt;1,300,350))</f>
        <v>900</v>
      </c>
      <c r="P21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215" s="15" t="s">
        <v>900</v>
      </c>
      <c r="R215" s="15" t="str">
        <f>INDEX('Lookup Lists'!$H$7:$K$59,MATCH(ClientDB[[#This Row],[Country Code]],'Lookup Lists'!$G$7:$G$59,0),(MATCH(ClientDB[[#This Row],[Meal]],'Lookup Lists'!$H$6:$K$6,0)))</f>
        <v>C</v>
      </c>
    </row>
    <row r="216" spans="1:18" x14ac:dyDescent="0.2">
      <c r="A216" s="10">
        <v>27673</v>
      </c>
      <c r="B216" t="s">
        <v>689</v>
      </c>
      <c r="C216" t="s">
        <v>690</v>
      </c>
      <c r="D216" s="18">
        <v>43482</v>
      </c>
      <c r="E216" s="37">
        <f>YEAR(ClientDB[[#This Row],[Start Date]])</f>
        <v>2019</v>
      </c>
      <c r="F216" t="s">
        <v>798</v>
      </c>
      <c r="G216" t="str">
        <f>VLOOKUP(ClientDB[[#This Row],[Org Code]],'Lookup Lists'!$A$7:$B$52,2,0)</f>
        <v>Axell Group</v>
      </c>
      <c r="H216" s="10" t="s">
        <v>146</v>
      </c>
      <c r="I216" s="10" t="str">
        <f>VLOOKUP(ClientDB[[#This Row],[Country Code]],'Lookup Lists'!$D$7:$E$59,2,0)</f>
        <v>Russia</v>
      </c>
      <c r="J216" s="15">
        <v>5</v>
      </c>
      <c r="K216" s="15" t="str">
        <f>IF(ClientDB[[#This Row],[Start Date]]&gt;=$U$14,"New","")</f>
        <v/>
      </c>
      <c r="L216" s="15" t="str">
        <f>IF(AND(ClientDB[[#This Row],[Start Year]]&lt;2016,ClientDB[[#This Row],[Events]]&gt;=6),"Gift","")</f>
        <v/>
      </c>
      <c r="M21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16" s="15">
        <v>3</v>
      </c>
      <c r="O216" s="38">
        <f>ClientDB[[#This Row],[Days]]*(IF(ClientDB[[#This Row],[Days]]&gt;1,300,350))</f>
        <v>900</v>
      </c>
      <c r="P21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216" s="15" t="s">
        <v>902</v>
      </c>
      <c r="R216" s="15" t="str">
        <f>INDEX('Lookup Lists'!$H$7:$K$59,MATCH(ClientDB[[#This Row],[Country Code]],'Lookup Lists'!$G$7:$G$59,0),(MATCH(ClientDB[[#This Row],[Meal]],'Lookup Lists'!$H$6:$K$6,0)))</f>
        <v>C</v>
      </c>
    </row>
    <row r="217" spans="1:18" x14ac:dyDescent="0.2">
      <c r="A217" s="10">
        <v>27765</v>
      </c>
      <c r="B217" t="s">
        <v>462</v>
      </c>
      <c r="C217" t="s">
        <v>463</v>
      </c>
      <c r="D217" s="18">
        <v>43048</v>
      </c>
      <c r="E217" s="37">
        <f>YEAR(ClientDB[[#This Row],[Start Date]])</f>
        <v>2017</v>
      </c>
      <c r="F217" t="s">
        <v>819</v>
      </c>
      <c r="G217" t="str">
        <f>VLOOKUP(ClientDB[[#This Row],[Org Code]],'Lookup Lists'!$A$7:$B$52,2,0)</f>
        <v>NetaAssist</v>
      </c>
      <c r="H217" s="10" t="s">
        <v>46</v>
      </c>
      <c r="I217" s="10" t="str">
        <f>VLOOKUP(ClientDB[[#This Row],[Country Code]],'Lookup Lists'!$D$7:$E$59,2,0)</f>
        <v>Germany</v>
      </c>
      <c r="J217" s="15">
        <v>6</v>
      </c>
      <c r="K217" s="15" t="str">
        <f>IF(ClientDB[[#This Row],[Start Date]]&gt;=$U$14,"New","")</f>
        <v/>
      </c>
      <c r="L217" s="15" t="str">
        <f>IF(AND(ClientDB[[#This Row],[Start Year]]&lt;2016,ClientDB[[#This Row],[Events]]&gt;=6),"Gift","")</f>
        <v/>
      </c>
      <c r="M21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17" s="15">
        <v>3</v>
      </c>
      <c r="O217" s="38">
        <f>ClientDB[[#This Row],[Days]]*(IF(ClientDB[[#This Row],[Days]]&gt;1,300,350))</f>
        <v>900</v>
      </c>
      <c r="P21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217" s="15" t="s">
        <v>901</v>
      </c>
      <c r="R217" s="15" t="str">
        <f>INDEX('Lookup Lists'!$H$7:$K$59,MATCH(ClientDB[[#This Row],[Country Code]],'Lookup Lists'!$G$7:$G$59,0),(MATCH(ClientDB[[#This Row],[Meal]],'Lookup Lists'!$H$6:$K$6,0)))</f>
        <v>D</v>
      </c>
    </row>
    <row r="218" spans="1:18" x14ac:dyDescent="0.2">
      <c r="A218" s="10">
        <v>27771</v>
      </c>
      <c r="B218" t="s">
        <v>652</v>
      </c>
      <c r="C218" t="s">
        <v>653</v>
      </c>
      <c r="D218" s="18">
        <v>42917</v>
      </c>
      <c r="E218" s="37">
        <f>YEAR(ClientDB[[#This Row],[Start Date]])</f>
        <v>2017</v>
      </c>
      <c r="F218" t="s">
        <v>803</v>
      </c>
      <c r="G218" t="str">
        <f>VLOOKUP(ClientDB[[#This Row],[Org Code]],'Lookup Lists'!$A$7:$B$52,2,0)</f>
        <v>CTX</v>
      </c>
      <c r="H218" s="10" t="s">
        <v>46</v>
      </c>
      <c r="I218" s="10" t="str">
        <f>VLOOKUP(ClientDB[[#This Row],[Country Code]],'Lookup Lists'!$D$7:$E$59,2,0)</f>
        <v>Germany</v>
      </c>
      <c r="J218" s="15">
        <v>8</v>
      </c>
      <c r="K218" s="15" t="str">
        <f>IF(ClientDB[[#This Row],[Start Date]]&gt;=$U$14,"New","")</f>
        <v/>
      </c>
      <c r="L218" s="15" t="str">
        <f>IF(AND(ClientDB[[#This Row],[Start Year]]&lt;2016,ClientDB[[#This Row],[Events]]&gt;=6),"Gift","")</f>
        <v/>
      </c>
      <c r="M21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18" s="15">
        <v>3</v>
      </c>
      <c r="O218" s="38">
        <f>ClientDB[[#This Row],[Days]]*(IF(ClientDB[[#This Row],[Days]]&gt;1,300,350))</f>
        <v>900</v>
      </c>
      <c r="P21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218" s="15" t="s">
        <v>901</v>
      </c>
      <c r="R218" s="15" t="str">
        <f>INDEX('Lookup Lists'!$H$7:$K$59,MATCH(ClientDB[[#This Row],[Country Code]],'Lookup Lists'!$G$7:$G$59,0),(MATCH(ClientDB[[#This Row],[Meal]],'Lookup Lists'!$H$6:$K$6,0)))</f>
        <v>D</v>
      </c>
    </row>
    <row r="219" spans="1:18" x14ac:dyDescent="0.2">
      <c r="A219" s="10">
        <v>27801</v>
      </c>
      <c r="B219" t="s">
        <v>101</v>
      </c>
      <c r="C219" t="s">
        <v>102</v>
      </c>
      <c r="D219" s="18">
        <v>44026</v>
      </c>
      <c r="E219" s="37">
        <f>YEAR(ClientDB[[#This Row],[Start Date]])</f>
        <v>2020</v>
      </c>
      <c r="F219" t="s">
        <v>827</v>
      </c>
      <c r="G219" t="str">
        <f>VLOOKUP(ClientDB[[#This Row],[Org Code]],'Lookup Lists'!$A$7:$B$52,2,0)</f>
        <v>Ripple Com</v>
      </c>
      <c r="H219" s="10" t="s">
        <v>26</v>
      </c>
      <c r="I219" s="10" t="str">
        <f>VLOOKUP(ClientDB[[#This Row],[Country Code]],'Lookup Lists'!$D$7:$E$59,2,0)</f>
        <v>Ukraine</v>
      </c>
      <c r="J219" s="15">
        <v>1</v>
      </c>
      <c r="K219" s="15" t="str">
        <f>IF(ClientDB[[#This Row],[Start Date]]&gt;=$U$14,"New","")</f>
        <v>New</v>
      </c>
      <c r="L219" s="15" t="str">
        <f>IF(AND(ClientDB[[#This Row],[Start Year]]&lt;2016,ClientDB[[#This Row],[Events]]&gt;=6),"Gift","")</f>
        <v/>
      </c>
      <c r="M21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19" s="15">
        <v>3</v>
      </c>
      <c r="O219" s="38">
        <f>ClientDB[[#This Row],[Days]]*(IF(ClientDB[[#This Row],[Days]]&gt;1,300,350))</f>
        <v>900</v>
      </c>
      <c r="P21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219" s="15" t="s">
        <v>902</v>
      </c>
      <c r="R219" s="15" t="str">
        <f>INDEX('Lookup Lists'!$H$7:$K$59,MATCH(ClientDB[[#This Row],[Country Code]],'Lookup Lists'!$G$7:$G$59,0),(MATCH(ClientDB[[#This Row],[Meal]],'Lookup Lists'!$H$6:$K$6,0)))</f>
        <v>C</v>
      </c>
    </row>
    <row r="220" spans="1:18" x14ac:dyDescent="0.2">
      <c r="A220" s="10">
        <v>27809</v>
      </c>
      <c r="B220" t="s">
        <v>587</v>
      </c>
      <c r="C220" t="s">
        <v>588</v>
      </c>
      <c r="D220" s="18">
        <v>42157</v>
      </c>
      <c r="E220" s="37">
        <f>YEAR(ClientDB[[#This Row],[Start Date]])</f>
        <v>2015</v>
      </c>
      <c r="F220" t="s">
        <v>812</v>
      </c>
      <c r="G220" t="str">
        <f>VLOOKUP(ClientDB[[#This Row],[Org Code]],'Lookup Lists'!$A$7:$B$52,2,0)</f>
        <v>Fzig Fibre</v>
      </c>
      <c r="H220" s="10" t="s">
        <v>59</v>
      </c>
      <c r="I220" s="10" t="str">
        <f>VLOOKUP(ClientDB[[#This Row],[Country Code]],'Lookup Lists'!$D$7:$E$59,2,0)</f>
        <v>Netherlands</v>
      </c>
      <c r="J220" s="15">
        <v>2</v>
      </c>
      <c r="K220" s="15" t="str">
        <f>IF(ClientDB[[#This Row],[Start Date]]&gt;=$U$14,"New","")</f>
        <v/>
      </c>
      <c r="L220" s="15" t="str">
        <f>IF(AND(ClientDB[[#This Row],[Start Year]]&lt;2016,ClientDB[[#This Row],[Events]]&gt;=6),"Gift","")</f>
        <v/>
      </c>
      <c r="M22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20" s="15">
        <v>2</v>
      </c>
      <c r="O220" s="38">
        <f>ClientDB[[#This Row],[Days]]*(IF(ClientDB[[#This Row],[Days]]&gt;1,300,350))</f>
        <v>600</v>
      </c>
      <c r="P22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220" s="15" t="s">
        <v>902</v>
      </c>
      <c r="R220" s="15" t="str">
        <f>INDEX('Lookup Lists'!$H$7:$K$59,MATCH(ClientDB[[#This Row],[Country Code]],'Lookup Lists'!$G$7:$G$59,0),(MATCH(ClientDB[[#This Row],[Meal]],'Lookup Lists'!$H$6:$K$6,0)))</f>
        <v>C</v>
      </c>
    </row>
    <row r="221" spans="1:18" x14ac:dyDescent="0.2">
      <c r="A221" s="10">
        <v>27886</v>
      </c>
      <c r="B221" t="s">
        <v>357</v>
      </c>
      <c r="C221" t="s">
        <v>509</v>
      </c>
      <c r="D221" s="18">
        <v>43163</v>
      </c>
      <c r="E221" s="37">
        <f>YEAR(ClientDB[[#This Row],[Start Date]])</f>
        <v>2018</v>
      </c>
      <c r="F221" t="s">
        <v>827</v>
      </c>
      <c r="G221" t="str">
        <f>VLOOKUP(ClientDB[[#This Row],[Org Code]],'Lookup Lists'!$A$7:$B$52,2,0)</f>
        <v>Ripple Com</v>
      </c>
      <c r="H221" s="10" t="s">
        <v>15</v>
      </c>
      <c r="I221" s="10" t="str">
        <f>VLOOKUP(ClientDB[[#This Row],[Country Code]],'Lookup Lists'!$D$7:$E$59,2,0)</f>
        <v>United Kingdom</v>
      </c>
      <c r="J221" s="15">
        <v>4</v>
      </c>
      <c r="K221" s="15" t="str">
        <f>IF(ClientDB[[#This Row],[Start Date]]&gt;=$U$14,"New","")</f>
        <v/>
      </c>
      <c r="L221" s="15" t="str">
        <f>IF(AND(ClientDB[[#This Row],[Start Year]]&lt;2016,ClientDB[[#This Row],[Events]]&gt;=6),"Gift","")</f>
        <v/>
      </c>
      <c r="M22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21" s="15">
        <v>3</v>
      </c>
      <c r="O221" s="38">
        <f>ClientDB[[#This Row],[Days]]*(IF(ClientDB[[#This Row],[Days]]&gt;1,300,350))</f>
        <v>900</v>
      </c>
      <c r="P22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221" s="15" t="s">
        <v>901</v>
      </c>
      <c r="R221" s="15" t="str">
        <f>INDEX('Lookup Lists'!$H$7:$K$59,MATCH(ClientDB[[#This Row],[Country Code]],'Lookup Lists'!$G$7:$G$59,0),(MATCH(ClientDB[[#This Row],[Meal]],'Lookup Lists'!$H$6:$K$6,0)))</f>
        <v>E</v>
      </c>
    </row>
    <row r="222" spans="1:18" x14ac:dyDescent="0.2">
      <c r="A222" s="10">
        <v>27950</v>
      </c>
      <c r="B222" t="s">
        <v>208</v>
      </c>
      <c r="C222" t="s">
        <v>209</v>
      </c>
      <c r="D222" s="18">
        <v>43428</v>
      </c>
      <c r="E222" s="37">
        <f>YEAR(ClientDB[[#This Row],[Start Date]])</f>
        <v>2018</v>
      </c>
      <c r="F222" t="s">
        <v>831</v>
      </c>
      <c r="G222" t="str">
        <f>VLOOKUP(ClientDB[[#This Row],[Org Code]],'Lookup Lists'!$A$7:$B$52,2,0)</f>
        <v>TatSan</v>
      </c>
      <c r="H222" s="10" t="s">
        <v>146</v>
      </c>
      <c r="I222" s="10" t="str">
        <f>VLOOKUP(ClientDB[[#This Row],[Country Code]],'Lookup Lists'!$D$7:$E$59,2,0)</f>
        <v>Russia</v>
      </c>
      <c r="J222" s="15">
        <v>11</v>
      </c>
      <c r="K222" s="15" t="str">
        <f>IF(ClientDB[[#This Row],[Start Date]]&gt;=$U$14,"New","")</f>
        <v/>
      </c>
      <c r="L222" s="15" t="str">
        <f>IF(AND(ClientDB[[#This Row],[Start Year]]&lt;2016,ClientDB[[#This Row],[Events]]&gt;=6),"Gift","")</f>
        <v/>
      </c>
      <c r="M22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222" s="15">
        <v>2</v>
      </c>
      <c r="O222" s="38">
        <f>ClientDB[[#This Row],[Days]]*(IF(ClientDB[[#This Row],[Days]]&gt;1,300,350))</f>
        <v>600</v>
      </c>
      <c r="P22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222" s="15" t="s">
        <v>902</v>
      </c>
      <c r="R222" s="15" t="str">
        <f>INDEX('Lookup Lists'!$H$7:$K$59,MATCH(ClientDB[[#This Row],[Country Code]],'Lookup Lists'!$G$7:$G$59,0),(MATCH(ClientDB[[#This Row],[Meal]],'Lookup Lists'!$H$6:$K$6,0)))</f>
        <v>C</v>
      </c>
    </row>
    <row r="223" spans="1:18" x14ac:dyDescent="0.2">
      <c r="A223" s="10">
        <v>28005</v>
      </c>
      <c r="B223" t="s">
        <v>458</v>
      </c>
      <c r="C223" t="s">
        <v>651</v>
      </c>
      <c r="D223" s="18">
        <v>43752</v>
      </c>
      <c r="E223" s="37">
        <f>YEAR(ClientDB[[#This Row],[Start Date]])</f>
        <v>2019</v>
      </c>
      <c r="F223" t="s">
        <v>807</v>
      </c>
      <c r="G223" t="str">
        <f>VLOOKUP(ClientDB[[#This Row],[Org Code]],'Lookup Lists'!$A$7:$B$52,2,0)</f>
        <v>Duet</v>
      </c>
      <c r="H223" s="10" t="s">
        <v>155</v>
      </c>
      <c r="I223" s="10" t="str">
        <f>VLOOKUP(ClientDB[[#This Row],[Country Code]],'Lookup Lists'!$D$7:$E$59,2,0)</f>
        <v>United Arab Emirates</v>
      </c>
      <c r="J223" s="15">
        <v>3</v>
      </c>
      <c r="K223" s="15" t="str">
        <f>IF(ClientDB[[#This Row],[Start Date]]&gt;=$U$14,"New","")</f>
        <v/>
      </c>
      <c r="L223" s="15" t="str">
        <f>IF(AND(ClientDB[[#This Row],[Start Year]]&lt;2016,ClientDB[[#This Row],[Events]]&gt;=6),"Gift","")</f>
        <v/>
      </c>
      <c r="M22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23" s="15">
        <v>3</v>
      </c>
      <c r="O223" s="38">
        <f>ClientDB[[#This Row],[Days]]*(IF(ClientDB[[#This Row],[Days]]&gt;1,300,350))</f>
        <v>900</v>
      </c>
      <c r="P22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223" s="15" t="s">
        <v>900</v>
      </c>
      <c r="R223" s="15" t="str">
        <f>INDEX('Lookup Lists'!$H$7:$K$59,MATCH(ClientDB[[#This Row],[Country Code]],'Lookup Lists'!$G$7:$G$59,0),(MATCH(ClientDB[[#This Row],[Meal]],'Lookup Lists'!$H$6:$K$6,0)))</f>
        <v>A</v>
      </c>
    </row>
    <row r="224" spans="1:18" x14ac:dyDescent="0.2">
      <c r="A224" s="10">
        <v>28181</v>
      </c>
      <c r="B224" t="s">
        <v>449</v>
      </c>
      <c r="C224" t="s">
        <v>450</v>
      </c>
      <c r="D224" s="18">
        <v>42163</v>
      </c>
      <c r="E224" s="37">
        <f>YEAR(ClientDB[[#This Row],[Start Date]])</f>
        <v>2015</v>
      </c>
      <c r="F224" t="s">
        <v>825</v>
      </c>
      <c r="G224" t="str">
        <f>VLOOKUP(ClientDB[[#This Row],[Org Code]],'Lookup Lists'!$A$7:$B$52,2,0)</f>
        <v>Qinisar</v>
      </c>
      <c r="H224" s="10" t="s">
        <v>54</v>
      </c>
      <c r="I224" s="10" t="str">
        <f>VLOOKUP(ClientDB[[#This Row],[Country Code]],'Lookup Lists'!$D$7:$E$59,2,0)</f>
        <v>Romania</v>
      </c>
      <c r="J224" s="15">
        <v>6</v>
      </c>
      <c r="K224" s="15" t="str">
        <f>IF(ClientDB[[#This Row],[Start Date]]&gt;=$U$14,"New","")</f>
        <v/>
      </c>
      <c r="L224" s="15" t="str">
        <f>IF(AND(ClientDB[[#This Row],[Start Year]]&lt;2016,ClientDB[[#This Row],[Events]]&gt;=6),"Gift","")</f>
        <v>Gift</v>
      </c>
      <c r="M22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24" s="15">
        <v>3</v>
      </c>
      <c r="O224" s="38">
        <f>ClientDB[[#This Row],[Days]]*(IF(ClientDB[[#This Row],[Days]]&gt;1,300,350))</f>
        <v>900</v>
      </c>
      <c r="P22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224" s="15" t="s">
        <v>899</v>
      </c>
      <c r="R224" s="15" t="str">
        <f>INDEX('Lookup Lists'!$H$7:$K$59,MATCH(ClientDB[[#This Row],[Country Code]],'Lookup Lists'!$G$7:$G$59,0),(MATCH(ClientDB[[#This Row],[Meal]],'Lookup Lists'!$H$6:$K$6,0)))</f>
        <v>B</v>
      </c>
    </row>
    <row r="225" spans="1:18" x14ac:dyDescent="0.2">
      <c r="A225" s="10">
        <v>28195</v>
      </c>
      <c r="B225" t="s">
        <v>671</v>
      </c>
      <c r="C225" t="s">
        <v>590</v>
      </c>
      <c r="D225" s="18">
        <v>43768</v>
      </c>
      <c r="E225" s="37">
        <f>YEAR(ClientDB[[#This Row],[Start Date]])</f>
        <v>2019</v>
      </c>
      <c r="F225" t="s">
        <v>804</v>
      </c>
      <c r="G225" t="str">
        <f>VLOOKUP(ClientDB[[#This Row],[Org Code]],'Lookup Lists'!$A$7:$B$52,2,0)</f>
        <v>Cyber Data Processing</v>
      </c>
      <c r="H225" s="10" t="s">
        <v>7</v>
      </c>
      <c r="I225" s="10" t="str">
        <f>VLOOKUP(ClientDB[[#This Row],[Country Code]],'Lookup Lists'!$D$7:$E$59,2,0)</f>
        <v>Iran</v>
      </c>
      <c r="J225" s="15">
        <v>3</v>
      </c>
      <c r="K225" s="15" t="str">
        <f>IF(ClientDB[[#This Row],[Start Date]]&gt;=$U$14,"New","")</f>
        <v/>
      </c>
      <c r="L225" s="15" t="str">
        <f>IF(AND(ClientDB[[#This Row],[Start Year]]&lt;2016,ClientDB[[#This Row],[Events]]&gt;=6),"Gift","")</f>
        <v/>
      </c>
      <c r="M22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25" s="15">
        <v>2</v>
      </c>
      <c r="O225" s="38">
        <f>ClientDB[[#This Row],[Days]]*(IF(ClientDB[[#This Row],[Days]]&gt;1,300,350))</f>
        <v>600</v>
      </c>
      <c r="P22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225" s="15" t="s">
        <v>901</v>
      </c>
      <c r="R225" s="15" t="str">
        <f>INDEX('Lookup Lists'!$H$7:$K$59,MATCH(ClientDB[[#This Row],[Country Code]],'Lookup Lists'!$G$7:$G$59,0),(MATCH(ClientDB[[#This Row],[Meal]],'Lookup Lists'!$H$6:$K$6,0)))</f>
        <v>F</v>
      </c>
    </row>
    <row r="226" spans="1:18" x14ac:dyDescent="0.2">
      <c r="A226" s="10">
        <v>28404</v>
      </c>
      <c r="B226" t="s">
        <v>389</v>
      </c>
      <c r="C226" t="s">
        <v>390</v>
      </c>
      <c r="D226" s="18">
        <v>43966</v>
      </c>
      <c r="E226" s="37">
        <f>YEAR(ClientDB[[#This Row],[Start Date]])</f>
        <v>2020</v>
      </c>
      <c r="F226" t="s">
        <v>827</v>
      </c>
      <c r="G226" t="str">
        <f>VLOOKUP(ClientDB[[#This Row],[Org Code]],'Lookup Lists'!$A$7:$B$52,2,0)</f>
        <v>Ripple Com</v>
      </c>
      <c r="H226" s="10" t="s">
        <v>15</v>
      </c>
      <c r="I226" s="10" t="str">
        <f>VLOOKUP(ClientDB[[#This Row],[Country Code]],'Lookup Lists'!$D$7:$E$59,2,0)</f>
        <v>United Kingdom</v>
      </c>
      <c r="J226" s="15">
        <v>1</v>
      </c>
      <c r="K226" s="15" t="str">
        <f>IF(ClientDB[[#This Row],[Start Date]]&gt;=$U$14,"New","")</f>
        <v>New</v>
      </c>
      <c r="L226" s="15" t="str">
        <f>IF(AND(ClientDB[[#This Row],[Start Year]]&lt;2016,ClientDB[[#This Row],[Events]]&gt;=6),"Gift","")</f>
        <v/>
      </c>
      <c r="M22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26" s="15">
        <v>3</v>
      </c>
      <c r="O226" s="38">
        <f>ClientDB[[#This Row],[Days]]*(IF(ClientDB[[#This Row],[Days]]&gt;1,300,350))</f>
        <v>900</v>
      </c>
      <c r="P22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226" s="15" t="s">
        <v>899</v>
      </c>
      <c r="R226" s="15" t="str">
        <f>INDEX('Lookup Lists'!$H$7:$K$59,MATCH(ClientDB[[#This Row],[Country Code]],'Lookup Lists'!$G$7:$G$59,0),(MATCH(ClientDB[[#This Row],[Meal]],'Lookup Lists'!$H$6:$K$6,0)))</f>
        <v>A</v>
      </c>
    </row>
    <row r="227" spans="1:18" x14ac:dyDescent="0.2">
      <c r="A227" s="10">
        <v>28487</v>
      </c>
      <c r="B227" t="s">
        <v>503</v>
      </c>
      <c r="C227" t="s">
        <v>611</v>
      </c>
      <c r="D227" s="18">
        <v>42591</v>
      </c>
      <c r="E227" s="37">
        <f>YEAR(ClientDB[[#This Row],[Start Date]])</f>
        <v>2016</v>
      </c>
      <c r="F227" t="s">
        <v>803</v>
      </c>
      <c r="G227" t="str">
        <f>VLOOKUP(ClientDB[[#This Row],[Org Code]],'Lookup Lists'!$A$7:$B$52,2,0)</f>
        <v>CTX</v>
      </c>
      <c r="H227" s="10" t="s">
        <v>46</v>
      </c>
      <c r="I227" s="10" t="str">
        <f>VLOOKUP(ClientDB[[#This Row],[Country Code]],'Lookup Lists'!$D$7:$E$59,2,0)</f>
        <v>Germany</v>
      </c>
      <c r="J227" s="15">
        <v>5</v>
      </c>
      <c r="K227" s="15" t="str">
        <f>IF(ClientDB[[#This Row],[Start Date]]&gt;=$U$14,"New","")</f>
        <v/>
      </c>
      <c r="L227" s="15" t="str">
        <f>IF(AND(ClientDB[[#This Row],[Start Year]]&lt;2016,ClientDB[[#This Row],[Events]]&gt;=6),"Gift","")</f>
        <v/>
      </c>
      <c r="M22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27" s="15">
        <v>2</v>
      </c>
      <c r="O227" s="38">
        <f>ClientDB[[#This Row],[Days]]*(IF(ClientDB[[#This Row],[Days]]&gt;1,300,350))</f>
        <v>600</v>
      </c>
      <c r="P22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227" s="15" t="s">
        <v>900</v>
      </c>
      <c r="R227" s="15" t="str">
        <f>INDEX('Lookup Lists'!$H$7:$K$59,MATCH(ClientDB[[#This Row],[Country Code]],'Lookup Lists'!$G$7:$G$59,0),(MATCH(ClientDB[[#This Row],[Meal]],'Lookup Lists'!$H$6:$K$6,0)))</f>
        <v>A</v>
      </c>
    </row>
    <row r="228" spans="1:18" x14ac:dyDescent="0.2">
      <c r="A228" s="10">
        <v>28547</v>
      </c>
      <c r="B228" t="s">
        <v>344</v>
      </c>
      <c r="C228" t="s">
        <v>345</v>
      </c>
      <c r="D228" s="18">
        <v>44047</v>
      </c>
      <c r="E228" s="37">
        <f>YEAR(ClientDB[[#This Row],[Start Date]])</f>
        <v>2020</v>
      </c>
      <c r="F228" t="s">
        <v>827</v>
      </c>
      <c r="G228" t="str">
        <f>VLOOKUP(ClientDB[[#This Row],[Org Code]],'Lookup Lists'!$A$7:$B$52,2,0)</f>
        <v>Ripple Com</v>
      </c>
      <c r="H228" s="10" t="s">
        <v>15</v>
      </c>
      <c r="I228" s="10" t="str">
        <f>VLOOKUP(ClientDB[[#This Row],[Country Code]],'Lookup Lists'!$D$7:$E$59,2,0)</f>
        <v>United Kingdom</v>
      </c>
      <c r="J228" s="15">
        <v>1</v>
      </c>
      <c r="K228" s="15" t="str">
        <f>IF(ClientDB[[#This Row],[Start Date]]&gt;=$U$14,"New","")</f>
        <v>New</v>
      </c>
      <c r="L228" s="15" t="str">
        <f>IF(AND(ClientDB[[#This Row],[Start Year]]&lt;2016,ClientDB[[#This Row],[Events]]&gt;=6),"Gift","")</f>
        <v/>
      </c>
      <c r="M22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28" s="15">
        <v>2</v>
      </c>
      <c r="O228" s="38">
        <f>ClientDB[[#This Row],[Days]]*(IF(ClientDB[[#This Row],[Days]]&gt;1,300,350))</f>
        <v>600</v>
      </c>
      <c r="P22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228" s="15" t="s">
        <v>900</v>
      </c>
      <c r="R228" s="15" t="str">
        <f>INDEX('Lookup Lists'!$H$7:$K$59,MATCH(ClientDB[[#This Row],[Country Code]],'Lookup Lists'!$G$7:$G$59,0),(MATCH(ClientDB[[#This Row],[Meal]],'Lookup Lists'!$H$6:$K$6,0)))</f>
        <v>A</v>
      </c>
    </row>
    <row r="229" spans="1:18" x14ac:dyDescent="0.2">
      <c r="A229" s="10">
        <v>28675</v>
      </c>
      <c r="B229" t="s">
        <v>94</v>
      </c>
      <c r="C229" t="s">
        <v>576</v>
      </c>
      <c r="D229" s="18">
        <v>43322</v>
      </c>
      <c r="E229" s="37">
        <f>YEAR(ClientDB[[#This Row],[Start Date]])</f>
        <v>2018</v>
      </c>
      <c r="F229" t="s">
        <v>811</v>
      </c>
      <c r="G229" t="str">
        <f>VLOOKUP(ClientDB[[#This Row],[Org Code]],'Lookup Lists'!$A$7:$B$52,2,0)</f>
        <v>EYN</v>
      </c>
      <c r="H229" s="10" t="s">
        <v>239</v>
      </c>
      <c r="I229" s="10" t="str">
        <f>VLOOKUP(ClientDB[[#This Row],[Country Code]],'Lookup Lists'!$D$7:$E$59,2,0)</f>
        <v>Switzerland</v>
      </c>
      <c r="J229" s="15">
        <v>3</v>
      </c>
      <c r="K229" s="15" t="str">
        <f>IF(ClientDB[[#This Row],[Start Date]]&gt;=$U$14,"New","")</f>
        <v/>
      </c>
      <c r="L229" s="15" t="str">
        <f>IF(AND(ClientDB[[#This Row],[Start Year]]&lt;2016,ClientDB[[#This Row],[Events]]&gt;=6),"Gift","")</f>
        <v/>
      </c>
      <c r="M22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29" s="15">
        <v>1</v>
      </c>
      <c r="O229" s="38">
        <f>ClientDB[[#This Row],[Days]]*(IF(ClientDB[[#This Row],[Days]]&gt;1,300,350))</f>
        <v>350</v>
      </c>
      <c r="P22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229" s="15" t="s">
        <v>901</v>
      </c>
      <c r="R229" s="15" t="str">
        <f>INDEX('Lookup Lists'!$H$7:$K$59,MATCH(ClientDB[[#This Row],[Country Code]],'Lookup Lists'!$G$7:$G$59,0),(MATCH(ClientDB[[#This Row],[Meal]],'Lookup Lists'!$H$6:$K$6,0)))</f>
        <v>D</v>
      </c>
    </row>
    <row r="230" spans="1:18" x14ac:dyDescent="0.2">
      <c r="A230" s="10">
        <v>28781</v>
      </c>
      <c r="B230" t="s">
        <v>458</v>
      </c>
      <c r="C230" t="s">
        <v>459</v>
      </c>
      <c r="D230" s="18">
        <v>43688</v>
      </c>
      <c r="E230" s="37">
        <f>YEAR(ClientDB[[#This Row],[Start Date]])</f>
        <v>2019</v>
      </c>
      <c r="F230" t="s">
        <v>801</v>
      </c>
      <c r="G230" t="str">
        <f>VLOOKUP(ClientDB[[#This Row],[Org Code]],'Lookup Lists'!$A$7:$B$52,2,0)</f>
        <v>Collings University</v>
      </c>
      <c r="H230" s="10" t="s">
        <v>163</v>
      </c>
      <c r="I230" s="10" t="str">
        <f>VLOOKUP(ClientDB[[#This Row],[Country Code]],'Lookup Lists'!$D$7:$E$59,2,0)</f>
        <v>Jordan</v>
      </c>
      <c r="J230" s="15">
        <v>4</v>
      </c>
      <c r="K230" s="15" t="str">
        <f>IF(ClientDB[[#This Row],[Start Date]]&gt;=$U$14,"New","")</f>
        <v/>
      </c>
      <c r="L230" s="15" t="str">
        <f>IF(AND(ClientDB[[#This Row],[Start Year]]&lt;2016,ClientDB[[#This Row],[Events]]&gt;=6),"Gift","")</f>
        <v/>
      </c>
      <c r="M23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30" s="15">
        <v>3</v>
      </c>
      <c r="O230" s="38">
        <f>ClientDB[[#This Row],[Days]]*(IF(ClientDB[[#This Row],[Days]]&gt;1,300,350))</f>
        <v>900</v>
      </c>
      <c r="P23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230" s="15" t="s">
        <v>902</v>
      </c>
      <c r="R230" s="15" t="str">
        <f>INDEX('Lookup Lists'!$H$7:$K$59,MATCH(ClientDB[[#This Row],[Country Code]],'Lookup Lists'!$G$7:$G$59,0),(MATCH(ClientDB[[#This Row],[Meal]],'Lookup Lists'!$H$6:$K$6,0)))</f>
        <v>C</v>
      </c>
    </row>
    <row r="231" spans="1:18" x14ac:dyDescent="0.2">
      <c r="A231" s="10">
        <v>28784</v>
      </c>
      <c r="B231" t="s">
        <v>440</v>
      </c>
      <c r="C231" t="s">
        <v>441</v>
      </c>
      <c r="D231" s="18">
        <v>43095</v>
      </c>
      <c r="E231" s="37">
        <f>YEAR(ClientDB[[#This Row],[Start Date]])</f>
        <v>2017</v>
      </c>
      <c r="F231" t="s">
        <v>813</v>
      </c>
      <c r="G231" t="str">
        <f>VLOOKUP(ClientDB[[#This Row],[Org Code]],'Lookup Lists'!$A$7:$B$52,2,0)</f>
        <v>HeatProof</v>
      </c>
      <c r="H231" s="10" t="s">
        <v>7</v>
      </c>
      <c r="I231" s="10" t="str">
        <f>VLOOKUP(ClientDB[[#This Row],[Country Code]],'Lookup Lists'!$D$7:$E$59,2,0)</f>
        <v>Iran</v>
      </c>
      <c r="J231" s="15">
        <v>6</v>
      </c>
      <c r="K231" s="15" t="str">
        <f>IF(ClientDB[[#This Row],[Start Date]]&gt;=$U$14,"New","")</f>
        <v/>
      </c>
      <c r="L231" s="15" t="str">
        <f>IF(AND(ClientDB[[#This Row],[Start Year]]&lt;2016,ClientDB[[#This Row],[Events]]&gt;=6),"Gift","")</f>
        <v/>
      </c>
      <c r="M23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31" s="15">
        <v>3</v>
      </c>
      <c r="O231" s="38">
        <f>ClientDB[[#This Row],[Days]]*(IF(ClientDB[[#This Row],[Days]]&gt;1,300,350))</f>
        <v>900</v>
      </c>
      <c r="P23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231" s="15" t="s">
        <v>901</v>
      </c>
      <c r="R231" s="15" t="str">
        <f>INDEX('Lookup Lists'!$H$7:$K$59,MATCH(ClientDB[[#This Row],[Country Code]],'Lookup Lists'!$G$7:$G$59,0),(MATCH(ClientDB[[#This Row],[Meal]],'Lookup Lists'!$H$6:$K$6,0)))</f>
        <v>F</v>
      </c>
    </row>
    <row r="232" spans="1:18" x14ac:dyDescent="0.2">
      <c r="A232" s="10">
        <v>28939</v>
      </c>
      <c r="B232" t="s">
        <v>315</v>
      </c>
      <c r="C232" t="s">
        <v>442</v>
      </c>
      <c r="D232" s="18">
        <v>42119</v>
      </c>
      <c r="E232" s="37">
        <f>YEAR(ClientDB[[#This Row],[Start Date]])</f>
        <v>2015</v>
      </c>
      <c r="F232" t="s">
        <v>804</v>
      </c>
      <c r="G232" t="str">
        <f>VLOOKUP(ClientDB[[#This Row],[Org Code]],'Lookup Lists'!$A$7:$B$52,2,0)</f>
        <v>Cyber Data Processing</v>
      </c>
      <c r="H232" s="10" t="s">
        <v>34</v>
      </c>
      <c r="I232" s="10" t="str">
        <f>VLOOKUP(ClientDB[[#This Row],[Country Code]],'Lookup Lists'!$D$7:$E$59,2,0)</f>
        <v>United States</v>
      </c>
      <c r="J232" s="15">
        <v>5</v>
      </c>
      <c r="K232" s="15" t="str">
        <f>IF(ClientDB[[#This Row],[Start Date]]&gt;=$U$14,"New","")</f>
        <v/>
      </c>
      <c r="L232" s="15" t="str">
        <f>IF(AND(ClientDB[[#This Row],[Start Year]]&lt;2016,ClientDB[[#This Row],[Events]]&gt;=6),"Gift","")</f>
        <v/>
      </c>
      <c r="M23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32" s="15">
        <v>2</v>
      </c>
      <c r="O232" s="38">
        <f>ClientDB[[#This Row],[Days]]*(IF(ClientDB[[#This Row],[Days]]&gt;1,300,350))</f>
        <v>600</v>
      </c>
      <c r="P23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232" s="15" t="s">
        <v>901</v>
      </c>
      <c r="R232" s="15" t="str">
        <f>INDEX('Lookup Lists'!$H$7:$K$59,MATCH(ClientDB[[#This Row],[Country Code]],'Lookup Lists'!$G$7:$G$59,0),(MATCH(ClientDB[[#This Row],[Meal]],'Lookup Lists'!$H$6:$K$6,0)))</f>
        <v>G</v>
      </c>
    </row>
    <row r="233" spans="1:18" x14ac:dyDescent="0.2">
      <c r="A233" s="10">
        <v>28943</v>
      </c>
      <c r="B233" t="s">
        <v>758</v>
      </c>
      <c r="C233" t="s">
        <v>289</v>
      </c>
      <c r="D233" s="18">
        <v>43438</v>
      </c>
      <c r="E233" s="37">
        <f>YEAR(ClientDB[[#This Row],[Start Date]])</f>
        <v>2018</v>
      </c>
      <c r="F233" t="s">
        <v>822</v>
      </c>
      <c r="G233" t="str">
        <f>VLOOKUP(ClientDB[[#This Row],[Org Code]],'Lookup Lists'!$A$7:$B$52,2,0)</f>
        <v>PicSure</v>
      </c>
      <c r="H233" s="10" t="s">
        <v>143</v>
      </c>
      <c r="I233" s="10" t="str">
        <f>VLOOKUP(ClientDB[[#This Row],[Country Code]],'Lookup Lists'!$D$7:$E$59,2,0)</f>
        <v>Oman</v>
      </c>
      <c r="J233" s="15">
        <v>1</v>
      </c>
      <c r="K233" s="15" t="str">
        <f>IF(ClientDB[[#This Row],[Start Date]]&gt;=$U$14,"New","")</f>
        <v/>
      </c>
      <c r="L233" s="15" t="str">
        <f>IF(AND(ClientDB[[#This Row],[Start Year]]&lt;2016,ClientDB[[#This Row],[Events]]&gt;=6),"Gift","")</f>
        <v/>
      </c>
      <c r="M23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33" s="15">
        <v>1</v>
      </c>
      <c r="O233" s="38">
        <f>ClientDB[[#This Row],[Days]]*(IF(ClientDB[[#This Row],[Days]]&gt;1,300,350))</f>
        <v>350</v>
      </c>
      <c r="P23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233" s="15" t="s">
        <v>899</v>
      </c>
      <c r="R233" s="15" t="str">
        <f>INDEX('Lookup Lists'!$H$7:$K$59,MATCH(ClientDB[[#This Row],[Country Code]],'Lookup Lists'!$G$7:$G$59,0),(MATCH(ClientDB[[#This Row],[Meal]],'Lookup Lists'!$H$6:$K$6,0)))</f>
        <v>B</v>
      </c>
    </row>
    <row r="234" spans="1:18" x14ac:dyDescent="0.2">
      <c r="A234" s="10">
        <v>28961</v>
      </c>
      <c r="B234" t="s">
        <v>98</v>
      </c>
      <c r="C234" t="s">
        <v>99</v>
      </c>
      <c r="D234" s="18">
        <v>43036</v>
      </c>
      <c r="E234" s="37">
        <f>YEAR(ClientDB[[#This Row],[Start Date]])</f>
        <v>2017</v>
      </c>
      <c r="F234" t="s">
        <v>817</v>
      </c>
      <c r="G234" t="str">
        <f>VLOOKUP(ClientDB[[#This Row],[Org Code]],'Lookup Lists'!$A$7:$B$52,2,0)</f>
        <v>LACNE</v>
      </c>
      <c r="H234" s="10" t="s">
        <v>34</v>
      </c>
      <c r="I234" s="10" t="str">
        <f>VLOOKUP(ClientDB[[#This Row],[Country Code]],'Lookup Lists'!$D$7:$E$59,2,0)</f>
        <v>United States</v>
      </c>
      <c r="J234" s="15">
        <v>1</v>
      </c>
      <c r="K234" s="15" t="str">
        <f>IF(ClientDB[[#This Row],[Start Date]]&gt;=$U$14,"New","")</f>
        <v/>
      </c>
      <c r="L234" s="15" t="str">
        <f>IF(AND(ClientDB[[#This Row],[Start Year]]&lt;2016,ClientDB[[#This Row],[Events]]&gt;=6),"Gift","")</f>
        <v/>
      </c>
      <c r="M23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34" s="15">
        <v>2</v>
      </c>
      <c r="O234" s="38">
        <f>ClientDB[[#This Row],[Days]]*(IF(ClientDB[[#This Row],[Days]]&gt;1,300,350))</f>
        <v>600</v>
      </c>
      <c r="P23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234" s="15" t="s">
        <v>901</v>
      </c>
      <c r="R234" s="15" t="str">
        <f>INDEX('Lookup Lists'!$H$7:$K$59,MATCH(ClientDB[[#This Row],[Country Code]],'Lookup Lists'!$G$7:$G$59,0),(MATCH(ClientDB[[#This Row],[Meal]],'Lookup Lists'!$H$6:$K$6,0)))</f>
        <v>G</v>
      </c>
    </row>
    <row r="235" spans="1:18" x14ac:dyDescent="0.2">
      <c r="A235" s="10">
        <v>28965</v>
      </c>
      <c r="B235" t="s">
        <v>366</v>
      </c>
      <c r="C235" t="s">
        <v>367</v>
      </c>
      <c r="D235" s="18">
        <v>42307</v>
      </c>
      <c r="E235" s="37">
        <f>YEAR(ClientDB[[#This Row],[Start Date]])</f>
        <v>2015</v>
      </c>
      <c r="F235" t="s">
        <v>801</v>
      </c>
      <c r="G235" t="str">
        <f>VLOOKUP(ClientDB[[#This Row],[Org Code]],'Lookup Lists'!$A$7:$B$52,2,0)</f>
        <v>Collings University</v>
      </c>
      <c r="H235" s="10" t="s">
        <v>15</v>
      </c>
      <c r="I235" s="10" t="str">
        <f>VLOOKUP(ClientDB[[#This Row],[Country Code]],'Lookup Lists'!$D$7:$E$59,2,0)</f>
        <v>United Kingdom</v>
      </c>
      <c r="J235" s="15">
        <v>5</v>
      </c>
      <c r="K235" s="15" t="str">
        <f>IF(ClientDB[[#This Row],[Start Date]]&gt;=$U$14,"New","")</f>
        <v/>
      </c>
      <c r="L235" s="15" t="str">
        <f>IF(AND(ClientDB[[#This Row],[Start Year]]&lt;2016,ClientDB[[#This Row],[Events]]&gt;=6),"Gift","")</f>
        <v/>
      </c>
      <c r="M23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35" s="15">
        <v>3</v>
      </c>
      <c r="O235" s="38">
        <f>ClientDB[[#This Row],[Days]]*(IF(ClientDB[[#This Row],[Days]]&gt;1,300,350))</f>
        <v>900</v>
      </c>
      <c r="P23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235" s="15" t="s">
        <v>902</v>
      </c>
      <c r="R235" s="15" t="str">
        <f>INDEX('Lookup Lists'!$H$7:$K$59,MATCH(ClientDB[[#This Row],[Country Code]],'Lookup Lists'!$G$7:$G$59,0),(MATCH(ClientDB[[#This Row],[Meal]],'Lookup Lists'!$H$6:$K$6,0)))</f>
        <v>B</v>
      </c>
    </row>
    <row r="236" spans="1:18" x14ac:dyDescent="0.2">
      <c r="A236" s="10">
        <v>29055</v>
      </c>
      <c r="B236" t="s">
        <v>510</v>
      </c>
      <c r="C236" t="s">
        <v>511</v>
      </c>
      <c r="D236" s="18">
        <v>42557</v>
      </c>
      <c r="E236" s="37">
        <f>YEAR(ClientDB[[#This Row],[Start Date]])</f>
        <v>2016</v>
      </c>
      <c r="F236" t="s">
        <v>812</v>
      </c>
      <c r="G236" t="str">
        <f>VLOOKUP(ClientDB[[#This Row],[Org Code]],'Lookup Lists'!$A$7:$B$52,2,0)</f>
        <v>Fzig Fibre</v>
      </c>
      <c r="H236" s="10" t="s">
        <v>124</v>
      </c>
      <c r="I236" s="10" t="str">
        <f>VLOOKUP(ClientDB[[#This Row],[Country Code]],'Lookup Lists'!$D$7:$E$59,2,0)</f>
        <v>Lebanon</v>
      </c>
      <c r="J236" s="15">
        <v>5</v>
      </c>
      <c r="K236" s="15" t="str">
        <f>IF(ClientDB[[#This Row],[Start Date]]&gt;=$U$14,"New","")</f>
        <v/>
      </c>
      <c r="L236" s="15" t="str">
        <f>IF(AND(ClientDB[[#This Row],[Start Year]]&lt;2016,ClientDB[[#This Row],[Events]]&gt;=6),"Gift","")</f>
        <v/>
      </c>
      <c r="M23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36" s="15">
        <v>2</v>
      </c>
      <c r="O236" s="38">
        <f>ClientDB[[#This Row],[Days]]*(IF(ClientDB[[#This Row],[Days]]&gt;1,300,350))</f>
        <v>600</v>
      </c>
      <c r="P23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236" s="15" t="s">
        <v>901</v>
      </c>
      <c r="R236" s="15" t="str">
        <f>INDEX('Lookup Lists'!$H$7:$K$59,MATCH(ClientDB[[#This Row],[Country Code]],'Lookup Lists'!$G$7:$G$59,0),(MATCH(ClientDB[[#This Row],[Meal]],'Lookup Lists'!$H$6:$K$6,0)))</f>
        <v>F</v>
      </c>
    </row>
    <row r="237" spans="1:18" x14ac:dyDescent="0.2">
      <c r="A237" s="10">
        <v>29101</v>
      </c>
      <c r="B237" t="s">
        <v>738</v>
      </c>
      <c r="C237" t="s">
        <v>739</v>
      </c>
      <c r="D237" s="18">
        <v>43941</v>
      </c>
      <c r="E237" s="37">
        <f>YEAR(ClientDB[[#This Row],[Start Date]])</f>
        <v>2020</v>
      </c>
      <c r="F237" t="s">
        <v>828</v>
      </c>
      <c r="G237" t="str">
        <f>VLOOKUP(ClientDB[[#This Row],[Org Code]],'Lookup Lists'!$A$7:$B$52,2,0)</f>
        <v>Shaw Construction</v>
      </c>
      <c r="H237" s="10" t="s">
        <v>26</v>
      </c>
      <c r="I237" s="10" t="str">
        <f>VLOOKUP(ClientDB[[#This Row],[Country Code]],'Lookup Lists'!$D$7:$E$59,2,0)</f>
        <v>Ukraine</v>
      </c>
      <c r="J237" s="15">
        <v>2</v>
      </c>
      <c r="K237" s="15" t="str">
        <f>IF(ClientDB[[#This Row],[Start Date]]&gt;=$U$14,"New","")</f>
        <v>New</v>
      </c>
      <c r="L237" s="15" t="str">
        <f>IF(AND(ClientDB[[#This Row],[Start Year]]&lt;2016,ClientDB[[#This Row],[Events]]&gt;=6),"Gift","")</f>
        <v/>
      </c>
      <c r="M23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37" s="15">
        <v>2</v>
      </c>
      <c r="O237" s="38">
        <f>ClientDB[[#This Row],[Days]]*(IF(ClientDB[[#This Row],[Days]]&gt;1,300,350))</f>
        <v>600</v>
      </c>
      <c r="P23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237" s="15" t="s">
        <v>901</v>
      </c>
      <c r="R237" s="15" t="str">
        <f>INDEX('Lookup Lists'!$H$7:$K$59,MATCH(ClientDB[[#This Row],[Country Code]],'Lookup Lists'!$G$7:$G$59,0),(MATCH(ClientDB[[#This Row],[Meal]],'Lookup Lists'!$H$6:$K$6,0)))</f>
        <v>G</v>
      </c>
    </row>
    <row r="238" spans="1:18" x14ac:dyDescent="0.2">
      <c r="A238" s="10">
        <v>29151</v>
      </c>
      <c r="B238" t="s">
        <v>91</v>
      </c>
      <c r="C238" t="s">
        <v>92</v>
      </c>
      <c r="D238" s="18">
        <v>42448</v>
      </c>
      <c r="E238" s="37">
        <f>YEAR(ClientDB[[#This Row],[Start Date]])</f>
        <v>2016</v>
      </c>
      <c r="F238" t="s">
        <v>831</v>
      </c>
      <c r="G238" t="str">
        <f>VLOOKUP(ClientDB[[#This Row],[Org Code]],'Lookup Lists'!$A$7:$B$52,2,0)</f>
        <v>TatSan</v>
      </c>
      <c r="H238" s="10" t="s">
        <v>59</v>
      </c>
      <c r="I238" s="10" t="str">
        <f>VLOOKUP(ClientDB[[#This Row],[Country Code]],'Lookup Lists'!$D$7:$E$59,2,0)</f>
        <v>Netherlands</v>
      </c>
      <c r="J238" s="15">
        <v>12</v>
      </c>
      <c r="K238" s="15" t="str">
        <f>IF(ClientDB[[#This Row],[Start Date]]&gt;=$U$14,"New","")</f>
        <v/>
      </c>
      <c r="L238" s="15" t="str">
        <f>IF(AND(ClientDB[[#This Row],[Start Year]]&lt;2016,ClientDB[[#This Row],[Events]]&gt;=6),"Gift","")</f>
        <v/>
      </c>
      <c r="M23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238" s="15">
        <v>1</v>
      </c>
      <c r="O238" s="38">
        <f>ClientDB[[#This Row],[Days]]*(IF(ClientDB[[#This Row],[Days]]&gt;1,300,350))</f>
        <v>350</v>
      </c>
      <c r="P23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238" s="15" t="s">
        <v>901</v>
      </c>
      <c r="R238" s="15" t="str">
        <f>INDEX('Lookup Lists'!$H$7:$K$59,MATCH(ClientDB[[#This Row],[Country Code]],'Lookup Lists'!$G$7:$G$59,0),(MATCH(ClientDB[[#This Row],[Meal]],'Lookup Lists'!$H$6:$K$6,0)))</f>
        <v>F</v>
      </c>
    </row>
    <row r="239" spans="1:18" x14ac:dyDescent="0.2">
      <c r="A239" s="10">
        <v>29151</v>
      </c>
      <c r="B239" t="s">
        <v>544</v>
      </c>
      <c r="C239" t="s">
        <v>545</v>
      </c>
      <c r="D239" s="18">
        <v>43737</v>
      </c>
      <c r="E239" s="37">
        <f>YEAR(ClientDB[[#This Row],[Start Date]])</f>
        <v>2019</v>
      </c>
      <c r="F239" t="s">
        <v>840</v>
      </c>
      <c r="G239" t="str">
        <f>VLOOKUP(ClientDB[[#This Row],[Org Code]],'Lookup Lists'!$A$7:$B$52,2,0)</f>
        <v>Zim Sales</v>
      </c>
      <c r="H239" s="10" t="s">
        <v>262</v>
      </c>
      <c r="I239" s="10" t="str">
        <f>VLOOKUP(ClientDB[[#This Row],[Country Code]],'Lookup Lists'!$D$7:$E$59,2,0)</f>
        <v>Poland</v>
      </c>
      <c r="J239" s="15">
        <v>3</v>
      </c>
      <c r="K239" s="15" t="str">
        <f>IF(ClientDB[[#This Row],[Start Date]]&gt;=$U$14,"New","")</f>
        <v/>
      </c>
      <c r="L239" s="15" t="str">
        <f>IF(AND(ClientDB[[#This Row],[Start Year]]&lt;2016,ClientDB[[#This Row],[Events]]&gt;=6),"Gift","")</f>
        <v/>
      </c>
      <c r="M23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39" s="15">
        <v>3</v>
      </c>
      <c r="O239" s="38">
        <f>ClientDB[[#This Row],[Days]]*(IF(ClientDB[[#This Row],[Days]]&gt;1,300,350))</f>
        <v>900</v>
      </c>
      <c r="P23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239" s="15" t="s">
        <v>901</v>
      </c>
      <c r="R239" s="15" t="str">
        <f>INDEX('Lookup Lists'!$H$7:$K$59,MATCH(ClientDB[[#This Row],[Country Code]],'Lookup Lists'!$G$7:$G$59,0),(MATCH(ClientDB[[#This Row],[Meal]],'Lookup Lists'!$H$6:$K$6,0)))</f>
        <v>F</v>
      </c>
    </row>
    <row r="240" spans="1:18" x14ac:dyDescent="0.2">
      <c r="A240" s="10">
        <v>29544</v>
      </c>
      <c r="B240" t="s">
        <v>103</v>
      </c>
      <c r="C240" t="s">
        <v>104</v>
      </c>
      <c r="D240" s="18">
        <v>41447</v>
      </c>
      <c r="E240" s="37">
        <f>YEAR(ClientDB[[#This Row],[Start Date]])</f>
        <v>2013</v>
      </c>
      <c r="F240" t="s">
        <v>823</v>
      </c>
      <c r="G240" t="str">
        <f>VLOOKUP(ClientDB[[#This Row],[Org Code]],'Lookup Lists'!$A$7:$B$52,2,0)</f>
        <v>Pilco Streambank</v>
      </c>
      <c r="H240" s="10" t="s">
        <v>59</v>
      </c>
      <c r="I240" s="10" t="str">
        <f>VLOOKUP(ClientDB[[#This Row],[Country Code]],'Lookup Lists'!$D$7:$E$59,2,0)</f>
        <v>Netherlands</v>
      </c>
      <c r="J240" s="15">
        <v>17</v>
      </c>
      <c r="K240" s="15" t="str">
        <f>IF(ClientDB[[#This Row],[Start Date]]&gt;=$U$14,"New","")</f>
        <v/>
      </c>
      <c r="L240" s="15" t="str">
        <f>IF(AND(ClientDB[[#This Row],[Start Year]]&lt;2016,ClientDB[[#This Row],[Events]]&gt;=6),"Gift","")</f>
        <v>Gift</v>
      </c>
      <c r="M24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240" s="15">
        <v>2</v>
      </c>
      <c r="O240" s="38">
        <f>ClientDB[[#This Row],[Days]]*(IF(ClientDB[[#This Row],[Days]]&gt;1,300,350))</f>
        <v>600</v>
      </c>
      <c r="P24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240" s="15" t="s">
        <v>901</v>
      </c>
      <c r="R240" s="15" t="str">
        <f>INDEX('Lookup Lists'!$H$7:$K$59,MATCH(ClientDB[[#This Row],[Country Code]],'Lookup Lists'!$G$7:$G$59,0),(MATCH(ClientDB[[#This Row],[Meal]],'Lookup Lists'!$H$6:$K$6,0)))</f>
        <v>F</v>
      </c>
    </row>
    <row r="241" spans="1:18" x14ac:dyDescent="0.2">
      <c r="A241" s="10">
        <v>29564</v>
      </c>
      <c r="B241" t="s">
        <v>72</v>
      </c>
      <c r="C241" t="s">
        <v>73</v>
      </c>
      <c r="D241" s="18">
        <v>43894</v>
      </c>
      <c r="E241" s="37">
        <f>YEAR(ClientDB[[#This Row],[Start Date]])</f>
        <v>2020</v>
      </c>
      <c r="F241" t="s">
        <v>821</v>
      </c>
      <c r="G241" t="str">
        <f>VLOOKUP(ClientDB[[#This Row],[Org Code]],'Lookup Lists'!$A$7:$B$52,2,0)</f>
        <v>Parmis Technologies</v>
      </c>
      <c r="H241" s="10" t="s">
        <v>63</v>
      </c>
      <c r="I241" s="10" t="str">
        <f>VLOOKUP(ClientDB[[#This Row],[Country Code]],'Lookup Lists'!$D$7:$E$59,2,0)</f>
        <v>Armenia</v>
      </c>
      <c r="J241" s="15">
        <v>3</v>
      </c>
      <c r="K241" s="15" t="str">
        <f>IF(ClientDB[[#This Row],[Start Date]]&gt;=$U$14,"New","")</f>
        <v>New</v>
      </c>
      <c r="L241" s="15" t="str">
        <f>IF(AND(ClientDB[[#This Row],[Start Year]]&lt;2016,ClientDB[[#This Row],[Events]]&gt;=6),"Gift","")</f>
        <v/>
      </c>
      <c r="M24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41" s="15">
        <v>2</v>
      </c>
      <c r="O241" s="38">
        <f>ClientDB[[#This Row],[Days]]*(IF(ClientDB[[#This Row],[Days]]&gt;1,300,350))</f>
        <v>600</v>
      </c>
      <c r="P24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241" s="15" t="s">
        <v>901</v>
      </c>
      <c r="R241" s="15" t="str">
        <f>INDEX('Lookup Lists'!$H$7:$K$59,MATCH(ClientDB[[#This Row],[Country Code]],'Lookup Lists'!$G$7:$G$59,0),(MATCH(ClientDB[[#This Row],[Meal]],'Lookup Lists'!$H$6:$K$6,0)))</f>
        <v>D</v>
      </c>
    </row>
    <row r="242" spans="1:18" x14ac:dyDescent="0.2">
      <c r="A242" s="10">
        <v>29651</v>
      </c>
      <c r="B242" t="s">
        <v>493</v>
      </c>
      <c r="C242" t="s">
        <v>494</v>
      </c>
      <c r="D242" s="18">
        <v>43523</v>
      </c>
      <c r="E242" s="37">
        <f>YEAR(ClientDB[[#This Row],[Start Date]])</f>
        <v>2019</v>
      </c>
      <c r="F242" t="s">
        <v>814</v>
      </c>
      <c r="G242" t="str">
        <f>VLOOKUP(ClientDB[[#This Row],[Org Code]],'Lookup Lists'!$A$7:$B$52,2,0)</f>
        <v>ICANT</v>
      </c>
      <c r="H242" s="10" t="s">
        <v>34</v>
      </c>
      <c r="I242" s="10" t="str">
        <f>VLOOKUP(ClientDB[[#This Row],[Country Code]],'Lookup Lists'!$D$7:$E$59,2,0)</f>
        <v>United States</v>
      </c>
      <c r="J242" s="15">
        <v>3</v>
      </c>
      <c r="K242" s="15" t="str">
        <f>IF(ClientDB[[#This Row],[Start Date]]&gt;=$U$14,"New","")</f>
        <v/>
      </c>
      <c r="L242" s="15" t="str">
        <f>IF(AND(ClientDB[[#This Row],[Start Year]]&lt;2016,ClientDB[[#This Row],[Events]]&gt;=6),"Gift","")</f>
        <v/>
      </c>
      <c r="M24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42" s="15">
        <v>3</v>
      </c>
      <c r="O242" s="38">
        <f>ClientDB[[#This Row],[Days]]*(IF(ClientDB[[#This Row],[Days]]&gt;1,300,350))</f>
        <v>900</v>
      </c>
      <c r="P24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242" s="15" t="s">
        <v>901</v>
      </c>
      <c r="R242" s="15" t="str">
        <f>INDEX('Lookup Lists'!$H$7:$K$59,MATCH(ClientDB[[#This Row],[Country Code]],'Lookup Lists'!$G$7:$G$59,0),(MATCH(ClientDB[[#This Row],[Meal]],'Lookup Lists'!$H$6:$K$6,0)))</f>
        <v>G</v>
      </c>
    </row>
    <row r="243" spans="1:18" x14ac:dyDescent="0.2">
      <c r="A243" s="10">
        <v>29695</v>
      </c>
      <c r="B243" t="s">
        <v>130</v>
      </c>
      <c r="C243" t="s">
        <v>131</v>
      </c>
      <c r="D243" s="18">
        <v>43013</v>
      </c>
      <c r="E243" s="37">
        <f>YEAR(ClientDB[[#This Row],[Start Date]])</f>
        <v>2017</v>
      </c>
      <c r="F243" t="s">
        <v>806</v>
      </c>
      <c r="G243" t="str">
        <f>VLOOKUP(ClientDB[[#This Row],[Org Code]],'Lookup Lists'!$A$7:$B$52,2,0)</f>
        <v>DENIL</v>
      </c>
      <c r="H243" s="10" t="s">
        <v>26</v>
      </c>
      <c r="I243" s="10" t="str">
        <f>VLOOKUP(ClientDB[[#This Row],[Country Code]],'Lookup Lists'!$D$7:$E$59,2,0)</f>
        <v>Ukraine</v>
      </c>
      <c r="J243" s="15">
        <v>2</v>
      </c>
      <c r="K243" s="15" t="str">
        <f>IF(ClientDB[[#This Row],[Start Date]]&gt;=$U$14,"New","")</f>
        <v/>
      </c>
      <c r="L243" s="15" t="str">
        <f>IF(AND(ClientDB[[#This Row],[Start Year]]&lt;2016,ClientDB[[#This Row],[Events]]&gt;=6),"Gift","")</f>
        <v/>
      </c>
      <c r="M24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43" s="15">
        <v>2</v>
      </c>
      <c r="O243" s="38">
        <f>ClientDB[[#This Row],[Days]]*(IF(ClientDB[[#This Row],[Days]]&gt;1,300,350))</f>
        <v>600</v>
      </c>
      <c r="P24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243" s="15" t="s">
        <v>900</v>
      </c>
      <c r="R243" s="15" t="str">
        <f>INDEX('Lookup Lists'!$H$7:$K$59,MATCH(ClientDB[[#This Row],[Country Code]],'Lookup Lists'!$G$7:$G$59,0),(MATCH(ClientDB[[#This Row],[Meal]],'Lookup Lists'!$H$6:$K$6,0)))</f>
        <v>C</v>
      </c>
    </row>
    <row r="244" spans="1:18" x14ac:dyDescent="0.2">
      <c r="A244" s="10">
        <v>29717</v>
      </c>
      <c r="B244" t="s">
        <v>361</v>
      </c>
      <c r="C244" t="s">
        <v>362</v>
      </c>
      <c r="D244" s="18">
        <v>43152</v>
      </c>
      <c r="E244" s="37">
        <f>YEAR(ClientDB[[#This Row],[Start Date]])</f>
        <v>2018</v>
      </c>
      <c r="F244" t="s">
        <v>834</v>
      </c>
      <c r="G244" t="str">
        <f>VLOOKUP(ClientDB[[#This Row],[Org Code]],'Lookup Lists'!$A$7:$B$52,2,0)</f>
        <v>Verisize</v>
      </c>
      <c r="H244" s="10" t="s">
        <v>363</v>
      </c>
      <c r="I244" s="10" t="str">
        <f>VLOOKUP(ClientDB[[#This Row],[Country Code]],'Lookup Lists'!$D$7:$E$59,2,0)</f>
        <v>Hong Kong</v>
      </c>
      <c r="J244" s="15">
        <v>7</v>
      </c>
      <c r="K244" s="15" t="str">
        <f>IF(ClientDB[[#This Row],[Start Date]]&gt;=$U$14,"New","")</f>
        <v/>
      </c>
      <c r="L244" s="15" t="str">
        <f>IF(AND(ClientDB[[#This Row],[Start Year]]&lt;2016,ClientDB[[#This Row],[Events]]&gt;=6),"Gift","")</f>
        <v/>
      </c>
      <c r="M24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44" s="15">
        <v>1</v>
      </c>
      <c r="O244" s="38">
        <f>ClientDB[[#This Row],[Days]]*(IF(ClientDB[[#This Row],[Days]]&gt;1,300,350))</f>
        <v>350</v>
      </c>
      <c r="P24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244" s="15" t="s">
        <v>901</v>
      </c>
      <c r="R244" s="15" t="str">
        <f>INDEX('Lookup Lists'!$H$7:$K$59,MATCH(ClientDB[[#This Row],[Country Code]],'Lookup Lists'!$G$7:$G$59,0),(MATCH(ClientDB[[#This Row],[Meal]],'Lookup Lists'!$H$6:$K$6,0)))</f>
        <v>E</v>
      </c>
    </row>
    <row r="245" spans="1:18" x14ac:dyDescent="0.2">
      <c r="A245" s="10">
        <v>29720</v>
      </c>
      <c r="B245" t="s">
        <v>506</v>
      </c>
      <c r="C245" t="s">
        <v>122</v>
      </c>
      <c r="D245" s="18">
        <v>42178</v>
      </c>
      <c r="E245" s="37">
        <f>YEAR(ClientDB[[#This Row],[Start Date]])</f>
        <v>2015</v>
      </c>
      <c r="F245" t="s">
        <v>827</v>
      </c>
      <c r="G245" t="str">
        <f>VLOOKUP(ClientDB[[#This Row],[Org Code]],'Lookup Lists'!$A$7:$B$52,2,0)</f>
        <v>Ripple Com</v>
      </c>
      <c r="H245" s="10" t="s">
        <v>34</v>
      </c>
      <c r="I245" s="10" t="str">
        <f>VLOOKUP(ClientDB[[#This Row],[Country Code]],'Lookup Lists'!$D$7:$E$59,2,0)</f>
        <v>United States</v>
      </c>
      <c r="J245" s="15">
        <v>17</v>
      </c>
      <c r="K245" s="15" t="str">
        <f>IF(ClientDB[[#This Row],[Start Date]]&gt;=$U$14,"New","")</f>
        <v/>
      </c>
      <c r="L245" s="15" t="str">
        <f>IF(AND(ClientDB[[#This Row],[Start Year]]&lt;2016,ClientDB[[#This Row],[Events]]&gt;=6),"Gift","")</f>
        <v>Gift</v>
      </c>
      <c r="M24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245" s="15">
        <v>3</v>
      </c>
      <c r="O245" s="38">
        <f>ClientDB[[#This Row],[Days]]*(IF(ClientDB[[#This Row],[Days]]&gt;1,300,350))</f>
        <v>900</v>
      </c>
      <c r="P24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245" s="15" t="s">
        <v>900</v>
      </c>
      <c r="R245" s="15" t="str">
        <f>INDEX('Lookup Lists'!$H$7:$K$59,MATCH(ClientDB[[#This Row],[Country Code]],'Lookup Lists'!$G$7:$G$59,0),(MATCH(ClientDB[[#This Row],[Meal]],'Lookup Lists'!$H$6:$K$6,0)))</f>
        <v>F</v>
      </c>
    </row>
    <row r="246" spans="1:18" x14ac:dyDescent="0.2">
      <c r="A246" s="10">
        <v>29731</v>
      </c>
      <c r="B246" t="s">
        <v>550</v>
      </c>
      <c r="C246" t="s">
        <v>551</v>
      </c>
      <c r="D246" s="18">
        <v>43233</v>
      </c>
      <c r="E246" s="37">
        <f>YEAR(ClientDB[[#This Row],[Start Date]])</f>
        <v>2018</v>
      </c>
      <c r="F246" t="s">
        <v>828</v>
      </c>
      <c r="G246" t="str">
        <f>VLOOKUP(ClientDB[[#This Row],[Org Code]],'Lookup Lists'!$A$7:$B$52,2,0)</f>
        <v>Shaw Construction</v>
      </c>
      <c r="H246" s="10" t="s">
        <v>26</v>
      </c>
      <c r="I246" s="10" t="str">
        <f>VLOOKUP(ClientDB[[#This Row],[Country Code]],'Lookup Lists'!$D$7:$E$59,2,0)</f>
        <v>Ukraine</v>
      </c>
      <c r="J246" s="15">
        <v>9</v>
      </c>
      <c r="K246" s="15" t="str">
        <f>IF(ClientDB[[#This Row],[Start Date]]&gt;=$U$14,"New","")</f>
        <v/>
      </c>
      <c r="L246" s="15" t="str">
        <f>IF(AND(ClientDB[[#This Row],[Start Year]]&lt;2016,ClientDB[[#This Row],[Events]]&gt;=6),"Gift","")</f>
        <v/>
      </c>
      <c r="M24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46" s="15">
        <v>1</v>
      </c>
      <c r="O246" s="38">
        <f>ClientDB[[#This Row],[Days]]*(IF(ClientDB[[#This Row],[Days]]&gt;1,300,350))</f>
        <v>350</v>
      </c>
      <c r="P24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246" s="15" t="s">
        <v>900</v>
      </c>
      <c r="R246" s="15" t="str">
        <f>INDEX('Lookup Lists'!$H$7:$K$59,MATCH(ClientDB[[#This Row],[Country Code]],'Lookup Lists'!$G$7:$G$59,0),(MATCH(ClientDB[[#This Row],[Meal]],'Lookup Lists'!$H$6:$K$6,0)))</f>
        <v>C</v>
      </c>
    </row>
    <row r="247" spans="1:18" x14ac:dyDescent="0.2">
      <c r="A247" s="10">
        <v>29823</v>
      </c>
      <c r="B247" t="s">
        <v>538</v>
      </c>
      <c r="C247" t="s">
        <v>539</v>
      </c>
      <c r="D247" s="18">
        <v>43066</v>
      </c>
      <c r="E247" s="37">
        <f>YEAR(ClientDB[[#This Row],[Start Date]])</f>
        <v>2017</v>
      </c>
      <c r="F247" t="s">
        <v>826</v>
      </c>
      <c r="G247" t="str">
        <f>VLOOKUP(ClientDB[[#This Row],[Org Code]],'Lookup Lists'!$A$7:$B$52,2,0)</f>
        <v>Respira Networks</v>
      </c>
      <c r="H247" s="10" t="s">
        <v>396</v>
      </c>
      <c r="I247" s="10" t="str">
        <f>VLOOKUP(ClientDB[[#This Row],[Country Code]],'Lookup Lists'!$D$7:$E$59,2,0)</f>
        <v>Lithuania</v>
      </c>
      <c r="J247" s="15">
        <v>12</v>
      </c>
      <c r="K247" s="15" t="str">
        <f>IF(ClientDB[[#This Row],[Start Date]]&gt;=$U$14,"New","")</f>
        <v/>
      </c>
      <c r="L247" s="15" t="str">
        <f>IF(AND(ClientDB[[#This Row],[Start Year]]&lt;2016,ClientDB[[#This Row],[Events]]&gt;=6),"Gift","")</f>
        <v/>
      </c>
      <c r="M24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247" s="15">
        <v>3</v>
      </c>
      <c r="O247" s="38">
        <f>ClientDB[[#This Row],[Days]]*(IF(ClientDB[[#This Row],[Days]]&gt;1,300,350))</f>
        <v>900</v>
      </c>
      <c r="P24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247" s="15" t="s">
        <v>901</v>
      </c>
      <c r="R247" s="15" t="str">
        <f>INDEX('Lookup Lists'!$H$7:$K$59,MATCH(ClientDB[[#This Row],[Country Code]],'Lookup Lists'!$G$7:$G$59,0),(MATCH(ClientDB[[#This Row],[Meal]],'Lookup Lists'!$H$6:$K$6,0)))</f>
        <v>F</v>
      </c>
    </row>
    <row r="248" spans="1:18" x14ac:dyDescent="0.2">
      <c r="A248" s="10">
        <v>29879</v>
      </c>
      <c r="B248" t="s">
        <v>427</v>
      </c>
      <c r="C248" t="s">
        <v>428</v>
      </c>
      <c r="D248" s="18">
        <v>42099</v>
      </c>
      <c r="E248" s="37">
        <f>YEAR(ClientDB[[#This Row],[Start Date]])</f>
        <v>2015</v>
      </c>
      <c r="F248" t="s">
        <v>812</v>
      </c>
      <c r="G248" t="str">
        <f>VLOOKUP(ClientDB[[#This Row],[Org Code]],'Lookup Lists'!$A$7:$B$52,2,0)</f>
        <v>Fzig Fibre</v>
      </c>
      <c r="H248" s="10" t="s">
        <v>59</v>
      </c>
      <c r="I248" s="10" t="str">
        <f>VLOOKUP(ClientDB[[#This Row],[Country Code]],'Lookup Lists'!$D$7:$E$59,2,0)</f>
        <v>Netherlands</v>
      </c>
      <c r="J248" s="15">
        <v>12</v>
      </c>
      <c r="K248" s="15" t="str">
        <f>IF(ClientDB[[#This Row],[Start Date]]&gt;=$U$14,"New","")</f>
        <v/>
      </c>
      <c r="L248" s="15" t="str">
        <f>IF(AND(ClientDB[[#This Row],[Start Year]]&lt;2016,ClientDB[[#This Row],[Events]]&gt;=6),"Gift","")</f>
        <v>Gift</v>
      </c>
      <c r="M24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248" s="15">
        <v>3</v>
      </c>
      <c r="O248" s="38">
        <f>ClientDB[[#This Row],[Days]]*(IF(ClientDB[[#This Row],[Days]]&gt;1,300,350))</f>
        <v>900</v>
      </c>
      <c r="P24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248" s="15" t="s">
        <v>902</v>
      </c>
      <c r="R248" s="15" t="str">
        <f>INDEX('Lookup Lists'!$H$7:$K$59,MATCH(ClientDB[[#This Row],[Country Code]],'Lookup Lists'!$G$7:$G$59,0),(MATCH(ClientDB[[#This Row],[Meal]],'Lookup Lists'!$H$6:$K$6,0)))</f>
        <v>C</v>
      </c>
    </row>
    <row r="249" spans="1:18" x14ac:dyDescent="0.2">
      <c r="A249" s="10">
        <v>29924</v>
      </c>
      <c r="B249" t="s">
        <v>125</v>
      </c>
      <c r="C249" t="s">
        <v>126</v>
      </c>
      <c r="D249" s="18">
        <v>42346</v>
      </c>
      <c r="E249" s="37">
        <f>YEAR(ClientDB[[#This Row],[Start Date]])</f>
        <v>2015</v>
      </c>
      <c r="F249" t="s">
        <v>808</v>
      </c>
      <c r="G249" t="str">
        <f>VLOOKUP(ClientDB[[#This Row],[Org Code]],'Lookup Lists'!$A$7:$B$52,2,0)</f>
        <v>Ebony Telecoms</v>
      </c>
      <c r="H249" s="10" t="s">
        <v>34</v>
      </c>
      <c r="I249" s="10" t="str">
        <f>VLOOKUP(ClientDB[[#This Row],[Country Code]],'Lookup Lists'!$D$7:$E$59,2,0)</f>
        <v>United States</v>
      </c>
      <c r="J249" s="15">
        <v>6</v>
      </c>
      <c r="K249" s="15" t="str">
        <f>IF(ClientDB[[#This Row],[Start Date]]&gt;=$U$14,"New","")</f>
        <v/>
      </c>
      <c r="L249" s="15" t="str">
        <f>IF(AND(ClientDB[[#This Row],[Start Year]]&lt;2016,ClientDB[[#This Row],[Events]]&gt;=6),"Gift","")</f>
        <v>Gift</v>
      </c>
      <c r="M24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49" s="15">
        <v>2</v>
      </c>
      <c r="O249" s="38">
        <f>ClientDB[[#This Row],[Days]]*(IF(ClientDB[[#This Row],[Days]]&gt;1,300,350))</f>
        <v>600</v>
      </c>
      <c r="P24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249" s="15" t="s">
        <v>902</v>
      </c>
      <c r="R249" s="15" t="str">
        <f>INDEX('Lookup Lists'!$H$7:$K$59,MATCH(ClientDB[[#This Row],[Country Code]],'Lookup Lists'!$G$7:$G$59,0),(MATCH(ClientDB[[#This Row],[Meal]],'Lookup Lists'!$H$6:$K$6,0)))</f>
        <v>F</v>
      </c>
    </row>
    <row r="250" spans="1:18" x14ac:dyDescent="0.2">
      <c r="A250" s="10">
        <v>30050</v>
      </c>
      <c r="B250" t="s">
        <v>764</v>
      </c>
      <c r="C250" t="s">
        <v>765</v>
      </c>
      <c r="D250" s="18">
        <v>42112</v>
      </c>
      <c r="E250" s="37">
        <f>YEAR(ClientDB[[#This Row],[Start Date]])</f>
        <v>2015</v>
      </c>
      <c r="F250" t="s">
        <v>824</v>
      </c>
      <c r="G250" t="str">
        <f>VLOOKUP(ClientDB[[#This Row],[Org Code]],'Lookup Lists'!$A$7:$B$52,2,0)</f>
        <v>Pink Cloud Networks</v>
      </c>
      <c r="H250" s="10" t="s">
        <v>155</v>
      </c>
      <c r="I250" s="10" t="str">
        <f>VLOOKUP(ClientDB[[#This Row],[Country Code]],'Lookup Lists'!$D$7:$E$59,2,0)</f>
        <v>United Arab Emirates</v>
      </c>
      <c r="J250" s="15">
        <v>16</v>
      </c>
      <c r="K250" s="15" t="str">
        <f>IF(ClientDB[[#This Row],[Start Date]]&gt;=$U$14,"New","")</f>
        <v/>
      </c>
      <c r="L250" s="15" t="str">
        <f>IF(AND(ClientDB[[#This Row],[Start Year]]&lt;2016,ClientDB[[#This Row],[Events]]&gt;=6),"Gift","")</f>
        <v>Gift</v>
      </c>
      <c r="M25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250" s="15">
        <v>3</v>
      </c>
      <c r="O250" s="38">
        <f>ClientDB[[#This Row],[Days]]*(IF(ClientDB[[#This Row],[Days]]&gt;1,300,350))</f>
        <v>900</v>
      </c>
      <c r="P25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250" s="15" t="s">
        <v>901</v>
      </c>
      <c r="R250" s="15" t="str">
        <f>INDEX('Lookup Lists'!$H$7:$K$59,MATCH(ClientDB[[#This Row],[Country Code]],'Lookup Lists'!$G$7:$G$59,0),(MATCH(ClientDB[[#This Row],[Meal]],'Lookup Lists'!$H$6:$K$6,0)))</f>
        <v>D</v>
      </c>
    </row>
    <row r="251" spans="1:18" x14ac:dyDescent="0.2">
      <c r="A251" s="10">
        <v>30118</v>
      </c>
      <c r="B251" t="s">
        <v>257</v>
      </c>
      <c r="C251" t="s">
        <v>258</v>
      </c>
      <c r="D251" s="18">
        <v>43607</v>
      </c>
      <c r="E251" s="37">
        <f>YEAR(ClientDB[[#This Row],[Start Date]])</f>
        <v>2019</v>
      </c>
      <c r="F251" t="s">
        <v>830</v>
      </c>
      <c r="G251" t="str">
        <f>VLOOKUP(ClientDB[[#This Row],[Org Code]],'Lookup Lists'!$A$7:$B$52,2,0)</f>
        <v>Steps IT Training</v>
      </c>
      <c r="H251" s="10" t="s">
        <v>15</v>
      </c>
      <c r="I251" s="10" t="str">
        <f>VLOOKUP(ClientDB[[#This Row],[Country Code]],'Lookup Lists'!$D$7:$E$59,2,0)</f>
        <v>United Kingdom</v>
      </c>
      <c r="J251" s="15">
        <v>5</v>
      </c>
      <c r="K251" s="15" t="str">
        <f>IF(ClientDB[[#This Row],[Start Date]]&gt;=$U$14,"New","")</f>
        <v/>
      </c>
      <c r="L251" s="15" t="str">
        <f>IF(AND(ClientDB[[#This Row],[Start Year]]&lt;2016,ClientDB[[#This Row],[Events]]&gt;=6),"Gift","")</f>
        <v/>
      </c>
      <c r="M25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51" s="15">
        <v>2</v>
      </c>
      <c r="O251" s="38">
        <f>ClientDB[[#This Row],[Days]]*(IF(ClientDB[[#This Row],[Days]]&gt;1,300,350))</f>
        <v>600</v>
      </c>
      <c r="P25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251" s="15" t="s">
        <v>899</v>
      </c>
      <c r="R251" s="15" t="str">
        <f>INDEX('Lookup Lists'!$H$7:$K$59,MATCH(ClientDB[[#This Row],[Country Code]],'Lookup Lists'!$G$7:$G$59,0),(MATCH(ClientDB[[#This Row],[Meal]],'Lookup Lists'!$H$6:$K$6,0)))</f>
        <v>A</v>
      </c>
    </row>
    <row r="252" spans="1:18" x14ac:dyDescent="0.2">
      <c r="A252" s="10">
        <v>30197</v>
      </c>
      <c r="B252" t="s">
        <v>717</v>
      </c>
      <c r="C252" t="s">
        <v>718</v>
      </c>
      <c r="D252" s="18">
        <v>43868</v>
      </c>
      <c r="E252" s="37">
        <f>YEAR(ClientDB[[#This Row],[Start Date]])</f>
        <v>2020</v>
      </c>
      <c r="F252" t="s">
        <v>827</v>
      </c>
      <c r="G252" t="str">
        <f>VLOOKUP(ClientDB[[#This Row],[Org Code]],'Lookup Lists'!$A$7:$B$52,2,0)</f>
        <v>Ripple Com</v>
      </c>
      <c r="H252" s="10" t="s">
        <v>15</v>
      </c>
      <c r="I252" s="10" t="str">
        <f>VLOOKUP(ClientDB[[#This Row],[Country Code]],'Lookup Lists'!$D$7:$E$59,2,0)</f>
        <v>United Kingdom</v>
      </c>
      <c r="J252" s="15">
        <v>2</v>
      </c>
      <c r="K252" s="15" t="str">
        <f>IF(ClientDB[[#This Row],[Start Date]]&gt;=$U$14,"New","")</f>
        <v>New</v>
      </c>
      <c r="L252" s="15" t="str">
        <f>IF(AND(ClientDB[[#This Row],[Start Year]]&lt;2016,ClientDB[[#This Row],[Events]]&gt;=6),"Gift","")</f>
        <v/>
      </c>
      <c r="M25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52" s="15">
        <v>2</v>
      </c>
      <c r="O252" s="38">
        <f>ClientDB[[#This Row],[Days]]*(IF(ClientDB[[#This Row],[Days]]&gt;1,300,350))</f>
        <v>600</v>
      </c>
      <c r="P25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252" s="15" t="s">
        <v>900</v>
      </c>
      <c r="R252" s="15" t="str">
        <f>INDEX('Lookup Lists'!$H$7:$K$59,MATCH(ClientDB[[#This Row],[Country Code]],'Lookup Lists'!$G$7:$G$59,0),(MATCH(ClientDB[[#This Row],[Meal]],'Lookup Lists'!$H$6:$K$6,0)))</f>
        <v>A</v>
      </c>
    </row>
    <row r="253" spans="1:18" x14ac:dyDescent="0.2">
      <c r="A253" s="10">
        <v>30374</v>
      </c>
      <c r="B253" t="s">
        <v>503</v>
      </c>
      <c r="C253" t="s">
        <v>504</v>
      </c>
      <c r="D253" s="18">
        <v>42163</v>
      </c>
      <c r="E253" s="37">
        <f>YEAR(ClientDB[[#This Row],[Start Date]])</f>
        <v>2015</v>
      </c>
      <c r="F253" t="s">
        <v>829</v>
      </c>
      <c r="G253" t="str">
        <f>VLOOKUP(ClientDB[[#This Row],[Org Code]],'Lookup Lists'!$A$7:$B$52,2,0)</f>
        <v>StepAhead</v>
      </c>
      <c r="H253" s="10" t="s">
        <v>46</v>
      </c>
      <c r="I253" s="10" t="str">
        <f>VLOOKUP(ClientDB[[#This Row],[Country Code]],'Lookup Lists'!$D$7:$E$59,2,0)</f>
        <v>Germany</v>
      </c>
      <c r="J253" s="15">
        <v>12</v>
      </c>
      <c r="K253" s="15" t="str">
        <f>IF(ClientDB[[#This Row],[Start Date]]&gt;=$U$14,"New","")</f>
        <v/>
      </c>
      <c r="L253" s="15" t="str">
        <f>IF(AND(ClientDB[[#This Row],[Start Year]]&lt;2016,ClientDB[[#This Row],[Events]]&gt;=6),"Gift","")</f>
        <v>Gift</v>
      </c>
      <c r="M25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253" s="15">
        <v>1</v>
      </c>
      <c r="O253" s="38">
        <f>ClientDB[[#This Row],[Days]]*(IF(ClientDB[[#This Row],[Days]]&gt;1,300,350))</f>
        <v>350</v>
      </c>
      <c r="P25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253" s="15" t="s">
        <v>901</v>
      </c>
      <c r="R253" s="15" t="str">
        <f>INDEX('Lookup Lists'!$H$7:$K$59,MATCH(ClientDB[[#This Row],[Country Code]],'Lookup Lists'!$G$7:$G$59,0),(MATCH(ClientDB[[#This Row],[Meal]],'Lookup Lists'!$H$6:$K$6,0)))</f>
        <v>D</v>
      </c>
    </row>
    <row r="254" spans="1:18" x14ac:dyDescent="0.2">
      <c r="A254" s="10">
        <v>30406</v>
      </c>
      <c r="B254" t="s">
        <v>659</v>
      </c>
      <c r="C254" t="s">
        <v>660</v>
      </c>
      <c r="D254" s="18">
        <v>42139</v>
      </c>
      <c r="E254" s="37">
        <f>YEAR(ClientDB[[#This Row],[Start Date]])</f>
        <v>2015</v>
      </c>
      <c r="F254" t="s">
        <v>827</v>
      </c>
      <c r="G254" t="str">
        <f>VLOOKUP(ClientDB[[#This Row],[Org Code]],'Lookup Lists'!$A$7:$B$52,2,0)</f>
        <v>Ripple Com</v>
      </c>
      <c r="H254" s="10" t="s">
        <v>15</v>
      </c>
      <c r="I254" s="10" t="str">
        <f>VLOOKUP(ClientDB[[#This Row],[Country Code]],'Lookup Lists'!$D$7:$E$59,2,0)</f>
        <v>United Kingdom</v>
      </c>
      <c r="J254" s="15">
        <v>9</v>
      </c>
      <c r="K254" s="15" t="str">
        <f>IF(ClientDB[[#This Row],[Start Date]]&gt;=$U$14,"New","")</f>
        <v/>
      </c>
      <c r="L254" s="15" t="str">
        <f>IF(AND(ClientDB[[#This Row],[Start Year]]&lt;2016,ClientDB[[#This Row],[Events]]&gt;=6),"Gift","")</f>
        <v>Gift</v>
      </c>
      <c r="M25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54" s="15">
        <v>3</v>
      </c>
      <c r="O254" s="38">
        <f>ClientDB[[#This Row],[Days]]*(IF(ClientDB[[#This Row],[Days]]&gt;1,300,350))</f>
        <v>900</v>
      </c>
      <c r="P25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254" s="15" t="s">
        <v>901</v>
      </c>
      <c r="R254" s="15" t="str">
        <f>INDEX('Lookup Lists'!$H$7:$K$59,MATCH(ClientDB[[#This Row],[Country Code]],'Lookup Lists'!$G$7:$G$59,0),(MATCH(ClientDB[[#This Row],[Meal]],'Lookup Lists'!$H$6:$K$6,0)))</f>
        <v>E</v>
      </c>
    </row>
    <row r="255" spans="1:18" x14ac:dyDescent="0.2">
      <c r="A255" s="10">
        <v>30591</v>
      </c>
      <c r="B255" t="s">
        <v>359</v>
      </c>
      <c r="C255" t="s">
        <v>505</v>
      </c>
      <c r="D255" s="18">
        <v>43961</v>
      </c>
      <c r="E255" s="37">
        <f>YEAR(ClientDB[[#This Row],[Start Date]])</f>
        <v>2020</v>
      </c>
      <c r="F255" t="s">
        <v>811</v>
      </c>
      <c r="G255" t="str">
        <f>VLOOKUP(ClientDB[[#This Row],[Org Code]],'Lookup Lists'!$A$7:$B$52,2,0)</f>
        <v>EYN</v>
      </c>
      <c r="H255" s="10" t="s">
        <v>34</v>
      </c>
      <c r="I255" s="10" t="str">
        <f>VLOOKUP(ClientDB[[#This Row],[Country Code]],'Lookup Lists'!$D$7:$E$59,2,0)</f>
        <v>United States</v>
      </c>
      <c r="J255" s="15">
        <v>1</v>
      </c>
      <c r="K255" s="15" t="str">
        <f>IF(ClientDB[[#This Row],[Start Date]]&gt;=$U$14,"New","")</f>
        <v>New</v>
      </c>
      <c r="L255" s="15" t="str">
        <f>IF(AND(ClientDB[[#This Row],[Start Year]]&lt;2016,ClientDB[[#This Row],[Events]]&gt;=6),"Gift","")</f>
        <v/>
      </c>
      <c r="M25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55" s="15">
        <v>3</v>
      </c>
      <c r="O255" s="38">
        <f>ClientDB[[#This Row],[Days]]*(IF(ClientDB[[#This Row],[Days]]&gt;1,300,350))</f>
        <v>900</v>
      </c>
      <c r="P25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255" s="15" t="s">
        <v>901</v>
      </c>
      <c r="R255" s="15" t="str">
        <f>INDEX('Lookup Lists'!$H$7:$K$59,MATCH(ClientDB[[#This Row],[Country Code]],'Lookup Lists'!$G$7:$G$59,0),(MATCH(ClientDB[[#This Row],[Meal]],'Lookup Lists'!$H$6:$K$6,0)))</f>
        <v>G</v>
      </c>
    </row>
    <row r="256" spans="1:18" x14ac:dyDescent="0.2">
      <c r="A256" s="10">
        <v>30681</v>
      </c>
      <c r="B256" t="s">
        <v>480</v>
      </c>
      <c r="C256" t="s">
        <v>481</v>
      </c>
      <c r="D256" s="18">
        <v>43377</v>
      </c>
      <c r="E256" s="37">
        <f>YEAR(ClientDB[[#This Row],[Start Date]])</f>
        <v>2018</v>
      </c>
      <c r="F256" t="s">
        <v>827</v>
      </c>
      <c r="G256" t="str">
        <f>VLOOKUP(ClientDB[[#This Row],[Org Code]],'Lookup Lists'!$A$7:$B$52,2,0)</f>
        <v>Ripple Com</v>
      </c>
      <c r="H256" s="10" t="s">
        <v>15</v>
      </c>
      <c r="I256" s="10" t="str">
        <f>VLOOKUP(ClientDB[[#This Row],[Country Code]],'Lookup Lists'!$D$7:$E$59,2,0)</f>
        <v>United Kingdom</v>
      </c>
      <c r="J256" s="15">
        <v>10</v>
      </c>
      <c r="K256" s="15" t="str">
        <f>IF(ClientDB[[#This Row],[Start Date]]&gt;=$U$14,"New","")</f>
        <v/>
      </c>
      <c r="L256" s="15" t="str">
        <f>IF(AND(ClientDB[[#This Row],[Start Year]]&lt;2016,ClientDB[[#This Row],[Events]]&gt;=6),"Gift","")</f>
        <v/>
      </c>
      <c r="M25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256" s="15">
        <v>3</v>
      </c>
      <c r="O256" s="38">
        <f>ClientDB[[#This Row],[Days]]*(IF(ClientDB[[#This Row],[Days]]&gt;1,300,350))</f>
        <v>900</v>
      </c>
      <c r="P25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256" s="15" t="s">
        <v>901</v>
      </c>
      <c r="R256" s="15" t="str">
        <f>INDEX('Lookup Lists'!$H$7:$K$59,MATCH(ClientDB[[#This Row],[Country Code]],'Lookup Lists'!$G$7:$G$59,0),(MATCH(ClientDB[[#This Row],[Meal]],'Lookup Lists'!$H$6:$K$6,0)))</f>
        <v>E</v>
      </c>
    </row>
    <row r="257" spans="1:18" x14ac:dyDescent="0.2">
      <c r="A257" s="10">
        <v>30682</v>
      </c>
      <c r="B257" t="s">
        <v>193</v>
      </c>
      <c r="C257" t="s">
        <v>194</v>
      </c>
      <c r="D257" s="18">
        <v>42322</v>
      </c>
      <c r="E257" s="37">
        <f>YEAR(ClientDB[[#This Row],[Start Date]])</f>
        <v>2015</v>
      </c>
      <c r="F257" t="s">
        <v>808</v>
      </c>
      <c r="G257" t="str">
        <f>VLOOKUP(ClientDB[[#This Row],[Org Code]],'Lookup Lists'!$A$7:$B$52,2,0)</f>
        <v>Ebony Telecoms</v>
      </c>
      <c r="H257" s="10" t="s">
        <v>84</v>
      </c>
      <c r="I257" s="10" t="str">
        <f>VLOOKUP(ClientDB[[#This Row],[Country Code]],'Lookup Lists'!$D$7:$E$59,2,0)</f>
        <v>Norway</v>
      </c>
      <c r="J257" s="15">
        <v>17</v>
      </c>
      <c r="K257" s="15" t="str">
        <f>IF(ClientDB[[#This Row],[Start Date]]&gt;=$U$14,"New","")</f>
        <v/>
      </c>
      <c r="L257" s="15" t="str">
        <f>IF(AND(ClientDB[[#This Row],[Start Year]]&lt;2016,ClientDB[[#This Row],[Events]]&gt;=6),"Gift","")</f>
        <v>Gift</v>
      </c>
      <c r="M25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257" s="15">
        <v>2</v>
      </c>
      <c r="O257" s="38">
        <f>ClientDB[[#This Row],[Days]]*(IF(ClientDB[[#This Row],[Days]]&gt;1,300,350))</f>
        <v>600</v>
      </c>
      <c r="P25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257" s="15" t="s">
        <v>901</v>
      </c>
      <c r="R257" s="15" t="str">
        <f>INDEX('Lookup Lists'!$H$7:$K$59,MATCH(ClientDB[[#This Row],[Country Code]],'Lookup Lists'!$G$7:$G$59,0),(MATCH(ClientDB[[#This Row],[Meal]],'Lookup Lists'!$H$6:$K$6,0)))</f>
        <v>F</v>
      </c>
    </row>
    <row r="258" spans="1:18" x14ac:dyDescent="0.2">
      <c r="A258" s="10">
        <v>30687</v>
      </c>
      <c r="B258" t="s">
        <v>210</v>
      </c>
      <c r="C258" t="s">
        <v>211</v>
      </c>
      <c r="D258" s="18">
        <v>42385</v>
      </c>
      <c r="E258" s="37">
        <f>YEAR(ClientDB[[#This Row],[Start Date]])</f>
        <v>2016</v>
      </c>
      <c r="F258" t="s">
        <v>796</v>
      </c>
      <c r="G258" t="str">
        <f>VLOOKUP(ClientDB[[#This Row],[Org Code]],'Lookup Lists'!$A$7:$B$52,2,0)</f>
        <v>Ares</v>
      </c>
      <c r="H258" s="10" t="s">
        <v>186</v>
      </c>
      <c r="I258" s="10" t="str">
        <f>VLOOKUP(ClientDB[[#This Row],[Country Code]],'Lookup Lists'!$D$7:$E$59,2,0)</f>
        <v>Slovenia</v>
      </c>
      <c r="J258" s="15">
        <v>11</v>
      </c>
      <c r="K258" s="15" t="str">
        <f>IF(ClientDB[[#This Row],[Start Date]]&gt;=$U$14,"New","")</f>
        <v/>
      </c>
      <c r="L258" s="15" t="str">
        <f>IF(AND(ClientDB[[#This Row],[Start Year]]&lt;2016,ClientDB[[#This Row],[Events]]&gt;=6),"Gift","")</f>
        <v/>
      </c>
      <c r="M25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258" s="15">
        <v>3</v>
      </c>
      <c r="O258" s="38">
        <f>ClientDB[[#This Row],[Days]]*(IF(ClientDB[[#This Row],[Days]]&gt;1,300,350))</f>
        <v>900</v>
      </c>
      <c r="P25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258" s="15" t="s">
        <v>901</v>
      </c>
      <c r="R258" s="15" t="str">
        <f>INDEX('Lookup Lists'!$H$7:$K$59,MATCH(ClientDB[[#This Row],[Country Code]],'Lookup Lists'!$G$7:$G$59,0),(MATCH(ClientDB[[#This Row],[Meal]],'Lookup Lists'!$H$6:$K$6,0)))</f>
        <v>G</v>
      </c>
    </row>
    <row r="259" spans="1:18" x14ac:dyDescent="0.2">
      <c r="A259" s="10">
        <v>30741</v>
      </c>
      <c r="B259" t="s">
        <v>135</v>
      </c>
      <c r="C259" t="s">
        <v>599</v>
      </c>
      <c r="D259" s="18">
        <v>43179</v>
      </c>
      <c r="E259" s="37">
        <f>YEAR(ClientDB[[#This Row],[Start Date]])</f>
        <v>2018</v>
      </c>
      <c r="F259" t="s">
        <v>827</v>
      </c>
      <c r="G259" t="str">
        <f>VLOOKUP(ClientDB[[#This Row],[Org Code]],'Lookup Lists'!$A$7:$B$52,2,0)</f>
        <v>Ripple Com</v>
      </c>
      <c r="H259" s="10" t="s">
        <v>15</v>
      </c>
      <c r="I259" s="10" t="str">
        <f>VLOOKUP(ClientDB[[#This Row],[Country Code]],'Lookup Lists'!$D$7:$E$59,2,0)</f>
        <v>United Kingdom</v>
      </c>
      <c r="J259" s="15">
        <v>4</v>
      </c>
      <c r="K259" s="15" t="str">
        <f>IF(ClientDB[[#This Row],[Start Date]]&gt;=$U$14,"New","")</f>
        <v/>
      </c>
      <c r="L259" s="15" t="str">
        <f>IF(AND(ClientDB[[#This Row],[Start Year]]&lt;2016,ClientDB[[#This Row],[Events]]&gt;=6),"Gift","")</f>
        <v/>
      </c>
      <c r="M25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59" s="15">
        <v>2</v>
      </c>
      <c r="O259" s="38">
        <f>ClientDB[[#This Row],[Days]]*(IF(ClientDB[[#This Row],[Days]]&gt;1,300,350))</f>
        <v>600</v>
      </c>
      <c r="P25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259" s="15" t="s">
        <v>902</v>
      </c>
      <c r="R259" s="15" t="str">
        <f>INDEX('Lookup Lists'!$H$7:$K$59,MATCH(ClientDB[[#This Row],[Country Code]],'Lookup Lists'!$G$7:$G$59,0),(MATCH(ClientDB[[#This Row],[Meal]],'Lookup Lists'!$H$6:$K$6,0)))</f>
        <v>B</v>
      </c>
    </row>
    <row r="260" spans="1:18" x14ac:dyDescent="0.2">
      <c r="A260" s="10">
        <v>30840</v>
      </c>
      <c r="B260" t="s">
        <v>89</v>
      </c>
      <c r="C260" t="s">
        <v>90</v>
      </c>
      <c r="D260" s="18">
        <v>43803</v>
      </c>
      <c r="E260" s="37">
        <f>YEAR(ClientDB[[#This Row],[Start Date]])</f>
        <v>2019</v>
      </c>
      <c r="F260" t="s">
        <v>827</v>
      </c>
      <c r="G260" t="str">
        <f>VLOOKUP(ClientDB[[#This Row],[Org Code]],'Lookup Lists'!$A$7:$B$52,2,0)</f>
        <v>Ripple Com</v>
      </c>
      <c r="H260" s="10" t="s">
        <v>15</v>
      </c>
      <c r="I260" s="10" t="str">
        <f>VLOOKUP(ClientDB[[#This Row],[Country Code]],'Lookup Lists'!$D$7:$E$59,2,0)</f>
        <v>United Kingdom</v>
      </c>
      <c r="J260" s="15">
        <v>3</v>
      </c>
      <c r="K260" s="15" t="str">
        <f>IF(ClientDB[[#This Row],[Start Date]]&gt;=$U$14,"New","")</f>
        <v/>
      </c>
      <c r="L260" s="15" t="str">
        <f>IF(AND(ClientDB[[#This Row],[Start Year]]&lt;2016,ClientDB[[#This Row],[Events]]&gt;=6),"Gift","")</f>
        <v/>
      </c>
      <c r="M26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60" s="15">
        <v>3</v>
      </c>
      <c r="O260" s="38">
        <f>ClientDB[[#This Row],[Days]]*(IF(ClientDB[[#This Row],[Days]]&gt;1,300,350))</f>
        <v>900</v>
      </c>
      <c r="P26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260" s="15" t="s">
        <v>902</v>
      </c>
      <c r="R260" s="15" t="str">
        <f>INDEX('Lookup Lists'!$H$7:$K$59,MATCH(ClientDB[[#This Row],[Country Code]],'Lookup Lists'!$G$7:$G$59,0),(MATCH(ClientDB[[#This Row],[Meal]],'Lookup Lists'!$H$6:$K$6,0)))</f>
        <v>B</v>
      </c>
    </row>
    <row r="261" spans="1:18" x14ac:dyDescent="0.2">
      <c r="A261" s="10">
        <v>30863</v>
      </c>
      <c r="B261" t="s">
        <v>293</v>
      </c>
      <c r="C261" t="s">
        <v>294</v>
      </c>
      <c r="D261" s="18">
        <v>43430</v>
      </c>
      <c r="E261" s="37">
        <f>YEAR(ClientDB[[#This Row],[Start Date]])</f>
        <v>2018</v>
      </c>
      <c r="F261" t="s">
        <v>818</v>
      </c>
      <c r="G261" t="str">
        <f>VLOOKUP(ClientDB[[#This Row],[Org Code]],'Lookup Lists'!$A$7:$B$52,2,0)</f>
        <v>Mojbal</v>
      </c>
      <c r="H261" s="10" t="s">
        <v>46</v>
      </c>
      <c r="I261" s="10" t="str">
        <f>VLOOKUP(ClientDB[[#This Row],[Country Code]],'Lookup Lists'!$D$7:$E$59,2,0)</f>
        <v>Germany</v>
      </c>
      <c r="J261" s="15">
        <v>2</v>
      </c>
      <c r="K261" s="15" t="str">
        <f>IF(ClientDB[[#This Row],[Start Date]]&gt;=$U$14,"New","")</f>
        <v/>
      </c>
      <c r="L261" s="15" t="str">
        <f>IF(AND(ClientDB[[#This Row],[Start Year]]&lt;2016,ClientDB[[#This Row],[Events]]&gt;=6),"Gift","")</f>
        <v/>
      </c>
      <c r="M26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61" s="15">
        <v>3</v>
      </c>
      <c r="O261" s="38">
        <f>ClientDB[[#This Row],[Days]]*(IF(ClientDB[[#This Row],[Days]]&gt;1,300,350))</f>
        <v>900</v>
      </c>
      <c r="P26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261" s="15" t="s">
        <v>900</v>
      </c>
      <c r="R261" s="15" t="str">
        <f>INDEX('Lookup Lists'!$H$7:$K$59,MATCH(ClientDB[[#This Row],[Country Code]],'Lookup Lists'!$G$7:$G$59,0),(MATCH(ClientDB[[#This Row],[Meal]],'Lookup Lists'!$H$6:$K$6,0)))</f>
        <v>A</v>
      </c>
    </row>
    <row r="262" spans="1:18" x14ac:dyDescent="0.2">
      <c r="A262" s="10">
        <v>30911</v>
      </c>
      <c r="B262" t="s">
        <v>79</v>
      </c>
      <c r="C262" t="s">
        <v>80</v>
      </c>
      <c r="D262" s="18">
        <v>43829</v>
      </c>
      <c r="E262" s="37">
        <f>YEAR(ClientDB[[#This Row],[Start Date]])</f>
        <v>2019</v>
      </c>
      <c r="F262" t="s">
        <v>826</v>
      </c>
      <c r="G262" t="str">
        <f>VLOOKUP(ClientDB[[#This Row],[Org Code]],'Lookup Lists'!$A$7:$B$52,2,0)</f>
        <v>Respira Networks</v>
      </c>
      <c r="H262" s="10" t="s">
        <v>15</v>
      </c>
      <c r="I262" s="10" t="str">
        <f>VLOOKUP(ClientDB[[#This Row],[Country Code]],'Lookup Lists'!$D$7:$E$59,2,0)</f>
        <v>United Kingdom</v>
      </c>
      <c r="J262" s="15">
        <v>3</v>
      </c>
      <c r="K262" s="15" t="str">
        <f>IF(ClientDB[[#This Row],[Start Date]]&gt;=$U$14,"New","")</f>
        <v/>
      </c>
      <c r="L262" s="15" t="str">
        <f>IF(AND(ClientDB[[#This Row],[Start Year]]&lt;2016,ClientDB[[#This Row],[Events]]&gt;=6),"Gift","")</f>
        <v/>
      </c>
      <c r="M26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62" s="15">
        <v>3</v>
      </c>
      <c r="O262" s="38">
        <f>ClientDB[[#This Row],[Days]]*(IF(ClientDB[[#This Row],[Days]]&gt;1,300,350))</f>
        <v>900</v>
      </c>
      <c r="P26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262" s="15" t="s">
        <v>901</v>
      </c>
      <c r="R262" s="15" t="str">
        <f>INDEX('Lookup Lists'!$H$7:$K$59,MATCH(ClientDB[[#This Row],[Country Code]],'Lookup Lists'!$G$7:$G$59,0),(MATCH(ClientDB[[#This Row],[Meal]],'Lookup Lists'!$H$6:$K$6,0)))</f>
        <v>E</v>
      </c>
    </row>
    <row r="263" spans="1:18" x14ac:dyDescent="0.2">
      <c r="A263" s="10">
        <v>30978</v>
      </c>
      <c r="B263" t="s">
        <v>380</v>
      </c>
      <c r="C263" t="s">
        <v>381</v>
      </c>
      <c r="D263" s="18">
        <v>43878</v>
      </c>
      <c r="E263" s="37">
        <f>YEAR(ClientDB[[#This Row],[Start Date]])</f>
        <v>2020</v>
      </c>
      <c r="F263" t="s">
        <v>827</v>
      </c>
      <c r="G263" t="str">
        <f>VLOOKUP(ClientDB[[#This Row],[Org Code]],'Lookup Lists'!$A$7:$B$52,2,0)</f>
        <v>Ripple Com</v>
      </c>
      <c r="H263" s="10" t="s">
        <v>34</v>
      </c>
      <c r="I263" s="10" t="str">
        <f>VLOOKUP(ClientDB[[#This Row],[Country Code]],'Lookup Lists'!$D$7:$E$59,2,0)</f>
        <v>United States</v>
      </c>
      <c r="J263" s="15">
        <v>1</v>
      </c>
      <c r="K263" s="15" t="str">
        <f>IF(ClientDB[[#This Row],[Start Date]]&gt;=$U$14,"New","")</f>
        <v>New</v>
      </c>
      <c r="L263" s="15" t="str">
        <f>IF(AND(ClientDB[[#This Row],[Start Year]]&lt;2016,ClientDB[[#This Row],[Events]]&gt;=6),"Gift","")</f>
        <v/>
      </c>
      <c r="M26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63" s="15">
        <v>3</v>
      </c>
      <c r="O263" s="38">
        <f>ClientDB[[#This Row],[Days]]*(IF(ClientDB[[#This Row],[Days]]&gt;1,300,350))</f>
        <v>900</v>
      </c>
      <c r="P26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263" s="15" t="s">
        <v>901</v>
      </c>
      <c r="R263" s="15" t="str">
        <f>INDEX('Lookup Lists'!$H$7:$K$59,MATCH(ClientDB[[#This Row],[Country Code]],'Lookup Lists'!$G$7:$G$59,0),(MATCH(ClientDB[[#This Row],[Meal]],'Lookup Lists'!$H$6:$K$6,0)))</f>
        <v>G</v>
      </c>
    </row>
    <row r="264" spans="1:18" x14ac:dyDescent="0.2">
      <c r="A264" s="10">
        <v>31071</v>
      </c>
      <c r="B264" t="s">
        <v>752</v>
      </c>
      <c r="C264" t="s">
        <v>753</v>
      </c>
      <c r="D264" s="18">
        <v>43887</v>
      </c>
      <c r="E264" s="37">
        <f>YEAR(ClientDB[[#This Row],[Start Date]])</f>
        <v>2020</v>
      </c>
      <c r="F264" t="s">
        <v>818</v>
      </c>
      <c r="G264" t="str">
        <f>VLOOKUP(ClientDB[[#This Row],[Org Code]],'Lookup Lists'!$A$7:$B$52,2,0)</f>
        <v>Mojbal</v>
      </c>
      <c r="H264" s="10" t="s">
        <v>46</v>
      </c>
      <c r="I264" s="10" t="str">
        <f>VLOOKUP(ClientDB[[#This Row],[Country Code]],'Lookup Lists'!$D$7:$E$59,2,0)</f>
        <v>Germany</v>
      </c>
      <c r="J264" s="15">
        <v>2</v>
      </c>
      <c r="K264" s="15" t="str">
        <f>IF(ClientDB[[#This Row],[Start Date]]&gt;=$U$14,"New","")</f>
        <v>New</v>
      </c>
      <c r="L264" s="15" t="str">
        <f>IF(AND(ClientDB[[#This Row],[Start Year]]&lt;2016,ClientDB[[#This Row],[Events]]&gt;=6),"Gift","")</f>
        <v/>
      </c>
      <c r="M26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64" s="15">
        <v>1</v>
      </c>
      <c r="O264" s="38">
        <f>ClientDB[[#This Row],[Days]]*(IF(ClientDB[[#This Row],[Days]]&gt;1,300,350))</f>
        <v>350</v>
      </c>
      <c r="P26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264" s="15" t="s">
        <v>901</v>
      </c>
      <c r="R264" s="15" t="str">
        <f>INDEX('Lookup Lists'!$H$7:$K$59,MATCH(ClientDB[[#This Row],[Country Code]],'Lookup Lists'!$G$7:$G$59,0),(MATCH(ClientDB[[#This Row],[Meal]],'Lookup Lists'!$H$6:$K$6,0)))</f>
        <v>D</v>
      </c>
    </row>
    <row r="265" spans="1:18" x14ac:dyDescent="0.2">
      <c r="A265" s="10">
        <v>31145</v>
      </c>
      <c r="B265" t="s">
        <v>556</v>
      </c>
      <c r="C265" t="s">
        <v>458</v>
      </c>
      <c r="D265" s="18">
        <v>43966</v>
      </c>
      <c r="E265" s="37">
        <f>YEAR(ClientDB[[#This Row],[Start Date]])</f>
        <v>2020</v>
      </c>
      <c r="F265" t="s">
        <v>835</v>
      </c>
      <c r="G265" t="str">
        <f>VLOOKUP(ClientDB[[#This Row],[Org Code]],'Lookup Lists'!$A$7:$B$52,2,0)</f>
        <v>West Telco</v>
      </c>
      <c r="H265" s="10" t="s">
        <v>15</v>
      </c>
      <c r="I265" s="10" t="str">
        <f>VLOOKUP(ClientDB[[#This Row],[Country Code]],'Lookup Lists'!$D$7:$E$59,2,0)</f>
        <v>United Kingdom</v>
      </c>
      <c r="J265" s="15">
        <v>1</v>
      </c>
      <c r="K265" s="15" t="str">
        <f>IF(ClientDB[[#This Row],[Start Date]]&gt;=$U$14,"New","")</f>
        <v>New</v>
      </c>
      <c r="L265" s="15" t="str">
        <f>IF(AND(ClientDB[[#This Row],[Start Year]]&lt;2016,ClientDB[[#This Row],[Events]]&gt;=6),"Gift","")</f>
        <v/>
      </c>
      <c r="M26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65" s="15">
        <v>1</v>
      </c>
      <c r="O265" s="38">
        <f>ClientDB[[#This Row],[Days]]*(IF(ClientDB[[#This Row],[Days]]&gt;1,300,350))</f>
        <v>350</v>
      </c>
      <c r="P26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265" s="15" t="s">
        <v>900</v>
      </c>
      <c r="R265" s="15" t="str">
        <f>INDEX('Lookup Lists'!$H$7:$K$59,MATCH(ClientDB[[#This Row],[Country Code]],'Lookup Lists'!$G$7:$G$59,0),(MATCH(ClientDB[[#This Row],[Meal]],'Lookup Lists'!$H$6:$K$6,0)))</f>
        <v>A</v>
      </c>
    </row>
    <row r="266" spans="1:18" x14ac:dyDescent="0.2">
      <c r="A266" s="10">
        <v>31204</v>
      </c>
      <c r="B266" t="s">
        <v>368</v>
      </c>
      <c r="C266" t="s">
        <v>369</v>
      </c>
      <c r="D266" s="18">
        <v>42533</v>
      </c>
      <c r="E266" s="37">
        <f>YEAR(ClientDB[[#This Row],[Start Date]])</f>
        <v>2016</v>
      </c>
      <c r="F266" t="s">
        <v>807</v>
      </c>
      <c r="G266" t="str">
        <f>VLOOKUP(ClientDB[[#This Row],[Org Code]],'Lookup Lists'!$A$7:$B$52,2,0)</f>
        <v>Duet</v>
      </c>
      <c r="H266" s="10" t="s">
        <v>155</v>
      </c>
      <c r="I266" s="10" t="str">
        <f>VLOOKUP(ClientDB[[#This Row],[Country Code]],'Lookup Lists'!$D$7:$E$59,2,0)</f>
        <v>United Arab Emirates</v>
      </c>
      <c r="J266" s="15">
        <v>20</v>
      </c>
      <c r="K266" s="15" t="str">
        <f>IF(ClientDB[[#This Row],[Start Date]]&gt;=$U$14,"New","")</f>
        <v/>
      </c>
      <c r="L266" s="15" t="str">
        <f>IF(AND(ClientDB[[#This Row],[Start Year]]&lt;2016,ClientDB[[#This Row],[Events]]&gt;=6),"Gift","")</f>
        <v/>
      </c>
      <c r="M26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Gold</v>
      </c>
      <c r="N266" s="15">
        <v>2</v>
      </c>
      <c r="O266" s="38">
        <f>ClientDB[[#This Row],[Days]]*(IF(ClientDB[[#This Row],[Days]]&gt;1,300,350))</f>
        <v>600</v>
      </c>
      <c r="P26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266" s="15" t="s">
        <v>899</v>
      </c>
      <c r="R266" s="15" t="str">
        <f>INDEX('Lookup Lists'!$H$7:$K$59,MATCH(ClientDB[[#This Row],[Country Code]],'Lookup Lists'!$G$7:$G$59,0),(MATCH(ClientDB[[#This Row],[Meal]],'Lookup Lists'!$H$6:$K$6,0)))</f>
        <v>A</v>
      </c>
    </row>
    <row r="267" spans="1:18" x14ac:dyDescent="0.2">
      <c r="A267" s="10">
        <v>31314</v>
      </c>
      <c r="B267" t="s">
        <v>695</v>
      </c>
      <c r="C267" t="s">
        <v>696</v>
      </c>
      <c r="D267" s="18">
        <v>43374</v>
      </c>
      <c r="E267" s="37">
        <f>YEAR(ClientDB[[#This Row],[Start Date]])</f>
        <v>2018</v>
      </c>
      <c r="F267" t="s">
        <v>818</v>
      </c>
      <c r="G267" t="str">
        <f>VLOOKUP(ClientDB[[#This Row],[Org Code]],'Lookup Lists'!$A$7:$B$52,2,0)</f>
        <v>Mojbal</v>
      </c>
      <c r="H267" s="10" t="s">
        <v>34</v>
      </c>
      <c r="I267" s="10" t="str">
        <f>VLOOKUP(ClientDB[[#This Row],[Country Code]],'Lookup Lists'!$D$7:$E$59,2,0)</f>
        <v>United States</v>
      </c>
      <c r="J267" s="15">
        <v>12</v>
      </c>
      <c r="K267" s="15" t="str">
        <f>IF(ClientDB[[#This Row],[Start Date]]&gt;=$U$14,"New","")</f>
        <v/>
      </c>
      <c r="L267" s="15" t="str">
        <f>IF(AND(ClientDB[[#This Row],[Start Year]]&lt;2016,ClientDB[[#This Row],[Events]]&gt;=6),"Gift","")</f>
        <v/>
      </c>
      <c r="M26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267" s="15">
        <v>3</v>
      </c>
      <c r="O267" s="38">
        <f>ClientDB[[#This Row],[Days]]*(IF(ClientDB[[#This Row],[Days]]&gt;1,300,350))</f>
        <v>900</v>
      </c>
      <c r="P26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267" s="15" t="s">
        <v>901</v>
      </c>
      <c r="R267" s="15" t="str">
        <f>INDEX('Lookup Lists'!$H$7:$K$59,MATCH(ClientDB[[#This Row],[Country Code]],'Lookup Lists'!$G$7:$G$59,0),(MATCH(ClientDB[[#This Row],[Meal]],'Lookup Lists'!$H$6:$K$6,0)))</f>
        <v>G</v>
      </c>
    </row>
    <row r="268" spans="1:18" x14ac:dyDescent="0.2">
      <c r="A268" s="10">
        <v>31330</v>
      </c>
      <c r="B268" t="s">
        <v>353</v>
      </c>
      <c r="C268" t="s">
        <v>354</v>
      </c>
      <c r="D268" s="18">
        <v>42732</v>
      </c>
      <c r="E268" s="37">
        <f>YEAR(ClientDB[[#This Row],[Start Date]])</f>
        <v>2016</v>
      </c>
      <c r="F268" t="s">
        <v>802</v>
      </c>
      <c r="G268" t="str">
        <f>VLOOKUP(ClientDB[[#This Row],[Org Code]],'Lookup Lists'!$A$7:$B$52,2,0)</f>
        <v>Colot</v>
      </c>
      <c r="H268" s="10" t="s">
        <v>203</v>
      </c>
      <c r="I268" s="10" t="str">
        <f>VLOOKUP(ClientDB[[#This Row],[Country Code]],'Lookup Lists'!$D$7:$E$59,2,0)</f>
        <v>Uganda</v>
      </c>
      <c r="J268" s="15">
        <v>1</v>
      </c>
      <c r="K268" s="15" t="str">
        <f>IF(ClientDB[[#This Row],[Start Date]]&gt;=$U$14,"New","")</f>
        <v/>
      </c>
      <c r="L268" s="15" t="str">
        <f>IF(AND(ClientDB[[#This Row],[Start Year]]&lt;2016,ClientDB[[#This Row],[Events]]&gt;=6),"Gift","")</f>
        <v/>
      </c>
      <c r="M26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68" s="15">
        <v>3</v>
      </c>
      <c r="O268" s="38">
        <f>ClientDB[[#This Row],[Days]]*(IF(ClientDB[[#This Row],[Days]]&gt;1,300,350))</f>
        <v>900</v>
      </c>
      <c r="P26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268" s="15" t="s">
        <v>900</v>
      </c>
      <c r="R268" s="15" t="str">
        <f>INDEX('Lookup Lists'!$H$7:$K$59,MATCH(ClientDB[[#This Row],[Country Code]],'Lookup Lists'!$G$7:$G$59,0),(MATCH(ClientDB[[#This Row],[Meal]],'Lookup Lists'!$H$6:$K$6,0)))</f>
        <v>C</v>
      </c>
    </row>
    <row r="269" spans="1:18" x14ac:dyDescent="0.2">
      <c r="A269" s="10">
        <v>31376</v>
      </c>
      <c r="B269" t="s">
        <v>315</v>
      </c>
      <c r="C269" t="s">
        <v>316</v>
      </c>
      <c r="D269" s="18">
        <v>43758</v>
      </c>
      <c r="E269" s="37">
        <f>YEAR(ClientDB[[#This Row],[Start Date]])</f>
        <v>2019</v>
      </c>
      <c r="F269" t="s">
        <v>831</v>
      </c>
      <c r="G269" t="str">
        <f>VLOOKUP(ClientDB[[#This Row],[Org Code]],'Lookup Lists'!$A$7:$B$52,2,0)</f>
        <v>TatSan</v>
      </c>
      <c r="H269" s="10" t="s">
        <v>311</v>
      </c>
      <c r="I269" s="10" t="str">
        <f>VLOOKUP(ClientDB[[#This Row],[Country Code]],'Lookup Lists'!$D$7:$E$59,2,0)</f>
        <v>France</v>
      </c>
      <c r="J269" s="15">
        <v>4</v>
      </c>
      <c r="K269" s="15" t="str">
        <f>IF(ClientDB[[#This Row],[Start Date]]&gt;=$U$14,"New","")</f>
        <v/>
      </c>
      <c r="L269" s="15" t="str">
        <f>IF(AND(ClientDB[[#This Row],[Start Year]]&lt;2016,ClientDB[[#This Row],[Events]]&gt;=6),"Gift","")</f>
        <v/>
      </c>
      <c r="M26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69" s="15">
        <v>3</v>
      </c>
      <c r="O269" s="38">
        <f>ClientDB[[#This Row],[Days]]*(IF(ClientDB[[#This Row],[Days]]&gt;1,300,350))</f>
        <v>900</v>
      </c>
      <c r="P26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269" s="15" t="s">
        <v>901</v>
      </c>
      <c r="R269" s="15" t="str">
        <f>INDEX('Lookup Lists'!$H$7:$K$59,MATCH(ClientDB[[#This Row],[Country Code]],'Lookup Lists'!$G$7:$G$59,0),(MATCH(ClientDB[[#This Row],[Meal]],'Lookup Lists'!$H$6:$K$6,0)))</f>
        <v>D</v>
      </c>
    </row>
    <row r="270" spans="1:18" x14ac:dyDescent="0.2">
      <c r="A270" s="10">
        <v>31522</v>
      </c>
      <c r="B270" t="s">
        <v>458</v>
      </c>
      <c r="C270" t="s">
        <v>522</v>
      </c>
      <c r="D270" s="18">
        <v>42898</v>
      </c>
      <c r="E270" s="37">
        <f>YEAR(ClientDB[[#This Row],[Start Date]])</f>
        <v>2017</v>
      </c>
      <c r="F270" t="s">
        <v>807</v>
      </c>
      <c r="G270" t="str">
        <f>VLOOKUP(ClientDB[[#This Row],[Org Code]],'Lookup Lists'!$A$7:$B$52,2,0)</f>
        <v>Duet</v>
      </c>
      <c r="H270" s="10" t="s">
        <v>155</v>
      </c>
      <c r="I270" s="10" t="str">
        <f>VLOOKUP(ClientDB[[#This Row],[Country Code]],'Lookup Lists'!$D$7:$E$59,2,0)</f>
        <v>United Arab Emirates</v>
      </c>
      <c r="J270" s="15">
        <v>3</v>
      </c>
      <c r="K270" s="15" t="str">
        <f>IF(ClientDB[[#This Row],[Start Date]]&gt;=$U$14,"New","")</f>
        <v/>
      </c>
      <c r="L270" s="15" t="str">
        <f>IF(AND(ClientDB[[#This Row],[Start Year]]&lt;2016,ClientDB[[#This Row],[Events]]&gt;=6),"Gift","")</f>
        <v/>
      </c>
      <c r="M27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70" s="15">
        <v>3</v>
      </c>
      <c r="O270" s="38">
        <f>ClientDB[[#This Row],[Days]]*(IF(ClientDB[[#This Row],[Days]]&gt;1,300,350))</f>
        <v>900</v>
      </c>
      <c r="P27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270" s="15" t="s">
        <v>902</v>
      </c>
      <c r="R270" s="15" t="str">
        <f>INDEX('Lookup Lists'!$H$7:$K$59,MATCH(ClientDB[[#This Row],[Country Code]],'Lookup Lists'!$G$7:$G$59,0),(MATCH(ClientDB[[#This Row],[Meal]],'Lookup Lists'!$H$6:$K$6,0)))</f>
        <v>B</v>
      </c>
    </row>
    <row r="271" spans="1:18" x14ac:dyDescent="0.2">
      <c r="A271" s="10">
        <v>31585</v>
      </c>
      <c r="B271" t="s">
        <v>187</v>
      </c>
      <c r="C271" t="s">
        <v>188</v>
      </c>
      <c r="D271" s="18">
        <v>42561</v>
      </c>
      <c r="E271" s="37">
        <f>YEAR(ClientDB[[#This Row],[Start Date]])</f>
        <v>2016</v>
      </c>
      <c r="F271" t="s">
        <v>799</v>
      </c>
      <c r="G271" t="str">
        <f>VLOOKUP(ClientDB[[#This Row],[Org Code]],'Lookup Lists'!$A$7:$B$52,2,0)</f>
        <v>ByteSize</v>
      </c>
      <c r="H271" s="10" t="s">
        <v>38</v>
      </c>
      <c r="I271" s="10" t="str">
        <f>VLOOKUP(ClientDB[[#This Row],[Country Code]],'Lookup Lists'!$D$7:$E$59,2,0)</f>
        <v>Czech Republic</v>
      </c>
      <c r="J271" s="15">
        <v>16</v>
      </c>
      <c r="K271" s="15" t="str">
        <f>IF(ClientDB[[#This Row],[Start Date]]&gt;=$U$14,"New","")</f>
        <v/>
      </c>
      <c r="L271" s="15" t="str">
        <f>IF(AND(ClientDB[[#This Row],[Start Year]]&lt;2016,ClientDB[[#This Row],[Events]]&gt;=6),"Gift","")</f>
        <v/>
      </c>
      <c r="M27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271" s="15">
        <v>2</v>
      </c>
      <c r="O271" s="38">
        <f>ClientDB[[#This Row],[Days]]*(IF(ClientDB[[#This Row],[Days]]&gt;1,300,350))</f>
        <v>600</v>
      </c>
      <c r="P27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271" s="15" t="s">
        <v>901</v>
      </c>
      <c r="R271" s="15" t="str">
        <f>INDEX('Lookup Lists'!$H$7:$K$59,MATCH(ClientDB[[#This Row],[Country Code]],'Lookup Lists'!$G$7:$G$59,0),(MATCH(ClientDB[[#This Row],[Meal]],'Lookup Lists'!$H$6:$K$6,0)))</f>
        <v>D</v>
      </c>
    </row>
    <row r="272" spans="1:18" x14ac:dyDescent="0.2">
      <c r="A272" s="10">
        <v>31657</v>
      </c>
      <c r="B272" t="s">
        <v>147</v>
      </c>
      <c r="C272" t="s">
        <v>148</v>
      </c>
      <c r="D272" s="18">
        <v>42830</v>
      </c>
      <c r="E272" s="37">
        <f>YEAR(ClientDB[[#This Row],[Start Date]])</f>
        <v>2017</v>
      </c>
      <c r="F272" t="s">
        <v>803</v>
      </c>
      <c r="G272" t="str">
        <f>VLOOKUP(ClientDB[[#This Row],[Org Code]],'Lookup Lists'!$A$7:$B$52,2,0)</f>
        <v>CTX</v>
      </c>
      <c r="H272" s="10" t="s">
        <v>11</v>
      </c>
      <c r="I272" s="10" t="str">
        <f>VLOOKUP(ClientDB[[#This Row],[Country Code]],'Lookup Lists'!$D$7:$E$59,2,0)</f>
        <v>Austria</v>
      </c>
      <c r="J272" s="15">
        <v>3</v>
      </c>
      <c r="K272" s="15" t="str">
        <f>IF(ClientDB[[#This Row],[Start Date]]&gt;=$U$14,"New","")</f>
        <v/>
      </c>
      <c r="L272" s="15" t="str">
        <f>IF(AND(ClientDB[[#This Row],[Start Year]]&lt;2016,ClientDB[[#This Row],[Events]]&gt;=6),"Gift","")</f>
        <v/>
      </c>
      <c r="M27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72" s="15">
        <v>2</v>
      </c>
      <c r="O272" s="38">
        <f>ClientDB[[#This Row],[Days]]*(IF(ClientDB[[#This Row],[Days]]&gt;1,300,350))</f>
        <v>600</v>
      </c>
      <c r="P27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272" s="15" t="s">
        <v>901</v>
      </c>
      <c r="R272" s="15" t="str">
        <f>INDEX('Lookup Lists'!$H$7:$K$59,MATCH(ClientDB[[#This Row],[Country Code]],'Lookup Lists'!$G$7:$G$59,0),(MATCH(ClientDB[[#This Row],[Meal]],'Lookup Lists'!$H$6:$K$6,0)))</f>
        <v>D</v>
      </c>
    </row>
    <row r="273" spans="1:18" x14ac:dyDescent="0.2">
      <c r="A273" s="10">
        <v>31724</v>
      </c>
      <c r="B273" t="s">
        <v>713</v>
      </c>
      <c r="C273" t="s">
        <v>714</v>
      </c>
      <c r="D273" s="18">
        <v>42824</v>
      </c>
      <c r="E273" s="37">
        <f>YEAR(ClientDB[[#This Row],[Start Date]])</f>
        <v>2017</v>
      </c>
      <c r="F273" t="s">
        <v>820</v>
      </c>
      <c r="G273" t="str">
        <f>VLOOKUP(ClientDB[[#This Row],[Org Code]],'Lookup Lists'!$A$7:$B$52,2,0)</f>
        <v>Oglev</v>
      </c>
      <c r="H273" s="10" t="s">
        <v>239</v>
      </c>
      <c r="I273" s="10" t="str">
        <f>VLOOKUP(ClientDB[[#This Row],[Country Code]],'Lookup Lists'!$D$7:$E$59,2,0)</f>
        <v>Switzerland</v>
      </c>
      <c r="J273" s="15">
        <v>2</v>
      </c>
      <c r="K273" s="15" t="str">
        <f>IF(ClientDB[[#This Row],[Start Date]]&gt;=$U$14,"New","")</f>
        <v/>
      </c>
      <c r="L273" s="15" t="str">
        <f>IF(AND(ClientDB[[#This Row],[Start Year]]&lt;2016,ClientDB[[#This Row],[Events]]&gt;=6),"Gift","")</f>
        <v/>
      </c>
      <c r="M27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73" s="15">
        <v>3</v>
      </c>
      <c r="O273" s="38">
        <f>ClientDB[[#This Row],[Days]]*(IF(ClientDB[[#This Row],[Days]]&gt;1,300,350))</f>
        <v>900</v>
      </c>
      <c r="P27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273" s="15" t="s">
        <v>901</v>
      </c>
      <c r="R273" s="15" t="str">
        <f>INDEX('Lookup Lists'!$H$7:$K$59,MATCH(ClientDB[[#This Row],[Country Code]],'Lookup Lists'!$G$7:$G$59,0),(MATCH(ClientDB[[#This Row],[Meal]],'Lookup Lists'!$H$6:$K$6,0)))</f>
        <v>D</v>
      </c>
    </row>
    <row r="274" spans="1:18" x14ac:dyDescent="0.2">
      <c r="A274" s="10">
        <v>31774</v>
      </c>
      <c r="B274" t="s">
        <v>422</v>
      </c>
      <c r="C274" t="s">
        <v>605</v>
      </c>
      <c r="D274" s="18">
        <v>42302</v>
      </c>
      <c r="E274" s="37">
        <f>YEAR(ClientDB[[#This Row],[Start Date]])</f>
        <v>2015</v>
      </c>
      <c r="F274" t="s">
        <v>827</v>
      </c>
      <c r="G274" t="str">
        <f>VLOOKUP(ClientDB[[#This Row],[Org Code]],'Lookup Lists'!$A$7:$B$52,2,0)</f>
        <v>Ripple Com</v>
      </c>
      <c r="H274" s="10" t="s">
        <v>15</v>
      </c>
      <c r="I274" s="10" t="str">
        <f>VLOOKUP(ClientDB[[#This Row],[Country Code]],'Lookup Lists'!$D$7:$E$59,2,0)</f>
        <v>United Kingdom</v>
      </c>
      <c r="J274" s="15">
        <v>1</v>
      </c>
      <c r="K274" s="15" t="str">
        <f>IF(ClientDB[[#This Row],[Start Date]]&gt;=$U$14,"New","")</f>
        <v/>
      </c>
      <c r="L274" s="15" t="str">
        <f>IF(AND(ClientDB[[#This Row],[Start Year]]&lt;2016,ClientDB[[#This Row],[Events]]&gt;=6),"Gift","")</f>
        <v/>
      </c>
      <c r="M27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74" s="15">
        <v>2</v>
      </c>
      <c r="O274" s="38">
        <f>ClientDB[[#This Row],[Days]]*(IF(ClientDB[[#This Row],[Days]]&gt;1,300,350))</f>
        <v>600</v>
      </c>
      <c r="P27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274" s="15" t="s">
        <v>901</v>
      </c>
      <c r="R274" s="15" t="str">
        <f>INDEX('Lookup Lists'!$H$7:$K$59,MATCH(ClientDB[[#This Row],[Country Code]],'Lookup Lists'!$G$7:$G$59,0),(MATCH(ClientDB[[#This Row],[Meal]],'Lookup Lists'!$H$6:$K$6,0)))</f>
        <v>E</v>
      </c>
    </row>
    <row r="275" spans="1:18" x14ac:dyDescent="0.2">
      <c r="A275" s="10">
        <v>31955</v>
      </c>
      <c r="B275" t="s">
        <v>443</v>
      </c>
      <c r="C275" t="s">
        <v>444</v>
      </c>
      <c r="D275" s="18">
        <v>42465</v>
      </c>
      <c r="E275" s="37">
        <f>YEAR(ClientDB[[#This Row],[Start Date]])</f>
        <v>2016</v>
      </c>
      <c r="F275" t="s">
        <v>798</v>
      </c>
      <c r="G275" t="str">
        <f>VLOOKUP(ClientDB[[#This Row],[Org Code]],'Lookup Lists'!$A$7:$B$52,2,0)</f>
        <v>Axell Group</v>
      </c>
      <c r="H275" s="10" t="s">
        <v>146</v>
      </c>
      <c r="I275" s="10" t="str">
        <f>VLOOKUP(ClientDB[[#This Row],[Country Code]],'Lookup Lists'!$D$7:$E$59,2,0)</f>
        <v>Russia</v>
      </c>
      <c r="J275" s="15">
        <v>9</v>
      </c>
      <c r="K275" s="15" t="str">
        <f>IF(ClientDB[[#This Row],[Start Date]]&gt;=$U$14,"New","")</f>
        <v/>
      </c>
      <c r="L275" s="15" t="str">
        <f>IF(AND(ClientDB[[#This Row],[Start Year]]&lt;2016,ClientDB[[#This Row],[Events]]&gt;=6),"Gift","")</f>
        <v/>
      </c>
      <c r="M27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75" s="15">
        <v>3</v>
      </c>
      <c r="O275" s="38">
        <f>ClientDB[[#This Row],[Days]]*(IF(ClientDB[[#This Row],[Days]]&gt;1,300,350))</f>
        <v>900</v>
      </c>
      <c r="P27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275" s="15" t="s">
        <v>902</v>
      </c>
      <c r="R275" s="15" t="str">
        <f>INDEX('Lookup Lists'!$H$7:$K$59,MATCH(ClientDB[[#This Row],[Country Code]],'Lookup Lists'!$G$7:$G$59,0),(MATCH(ClientDB[[#This Row],[Meal]],'Lookup Lists'!$H$6:$K$6,0)))</f>
        <v>C</v>
      </c>
    </row>
    <row r="276" spans="1:18" x14ac:dyDescent="0.2">
      <c r="A276" s="10">
        <v>31981</v>
      </c>
      <c r="B276" t="s">
        <v>182</v>
      </c>
      <c r="C276" t="s">
        <v>183</v>
      </c>
      <c r="D276" s="18">
        <v>43617</v>
      </c>
      <c r="E276" s="37">
        <f>YEAR(ClientDB[[#This Row],[Start Date]])</f>
        <v>2019</v>
      </c>
      <c r="F276" t="s">
        <v>795</v>
      </c>
      <c r="G276" t="str">
        <f>VLOOKUP(ClientDB[[#This Row],[Org Code]],'Lookup Lists'!$A$7:$B$52,2,0)</f>
        <v>AHA Networks</v>
      </c>
      <c r="H276" s="10" t="s">
        <v>26</v>
      </c>
      <c r="I276" s="10" t="str">
        <f>VLOOKUP(ClientDB[[#This Row],[Country Code]],'Lookup Lists'!$D$7:$E$59,2,0)</f>
        <v>Ukraine</v>
      </c>
      <c r="J276" s="15">
        <v>6</v>
      </c>
      <c r="K276" s="15" t="str">
        <f>IF(ClientDB[[#This Row],[Start Date]]&gt;=$U$14,"New","")</f>
        <v/>
      </c>
      <c r="L276" s="15" t="str">
        <f>IF(AND(ClientDB[[#This Row],[Start Year]]&lt;2016,ClientDB[[#This Row],[Events]]&gt;=6),"Gift","")</f>
        <v/>
      </c>
      <c r="M27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76" s="15">
        <v>1</v>
      </c>
      <c r="O276" s="38">
        <f>ClientDB[[#This Row],[Days]]*(IF(ClientDB[[#This Row],[Days]]&gt;1,300,350))</f>
        <v>350</v>
      </c>
      <c r="P27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276" s="15" t="s">
        <v>899</v>
      </c>
      <c r="R276" s="15" t="str">
        <f>INDEX('Lookup Lists'!$H$7:$K$59,MATCH(ClientDB[[#This Row],[Country Code]],'Lookup Lists'!$G$7:$G$59,0),(MATCH(ClientDB[[#This Row],[Meal]],'Lookup Lists'!$H$6:$K$6,0)))</f>
        <v>B</v>
      </c>
    </row>
    <row r="277" spans="1:18" x14ac:dyDescent="0.2">
      <c r="A277" s="10">
        <v>32133</v>
      </c>
      <c r="B277" t="s">
        <v>300</v>
      </c>
      <c r="C277" t="s">
        <v>301</v>
      </c>
      <c r="D277" s="18">
        <v>42828</v>
      </c>
      <c r="E277" s="37">
        <f>YEAR(ClientDB[[#This Row],[Start Date]])</f>
        <v>2017</v>
      </c>
      <c r="F277" t="s">
        <v>816</v>
      </c>
      <c r="G277" t="str">
        <f>VLOOKUP(ClientDB[[#This Row],[Org Code]],'Lookup Lists'!$A$7:$B$52,2,0)</f>
        <v>IPI Bucharest</v>
      </c>
      <c r="H277" s="10" t="s">
        <v>302</v>
      </c>
      <c r="I277" s="10" t="str">
        <f>VLOOKUP(ClientDB[[#This Row],[Country Code]],'Lookup Lists'!$D$7:$E$59,2,0)</f>
        <v>Kuwait</v>
      </c>
      <c r="J277" s="15">
        <v>1</v>
      </c>
      <c r="K277" s="15" t="str">
        <f>IF(ClientDB[[#This Row],[Start Date]]&gt;=$U$14,"New","")</f>
        <v/>
      </c>
      <c r="L277" s="15" t="str">
        <f>IF(AND(ClientDB[[#This Row],[Start Year]]&lt;2016,ClientDB[[#This Row],[Events]]&gt;=6),"Gift","")</f>
        <v/>
      </c>
      <c r="M27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77" s="15">
        <v>3</v>
      </c>
      <c r="O277" s="38">
        <f>ClientDB[[#This Row],[Days]]*(IF(ClientDB[[#This Row],[Days]]&gt;1,300,350))</f>
        <v>900</v>
      </c>
      <c r="P27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277" s="15" t="s">
        <v>901</v>
      </c>
      <c r="R277" s="15" t="str">
        <f>INDEX('Lookup Lists'!$H$7:$K$59,MATCH(ClientDB[[#This Row],[Country Code]],'Lookup Lists'!$G$7:$G$59,0),(MATCH(ClientDB[[#This Row],[Meal]],'Lookup Lists'!$H$6:$K$6,0)))</f>
        <v>F</v>
      </c>
    </row>
    <row r="278" spans="1:18" x14ac:dyDescent="0.2">
      <c r="A278" s="10">
        <v>32255</v>
      </c>
      <c r="B278" t="s">
        <v>649</v>
      </c>
      <c r="C278" t="s">
        <v>688</v>
      </c>
      <c r="D278" s="18">
        <v>42608</v>
      </c>
      <c r="E278" s="37">
        <f>YEAR(ClientDB[[#This Row],[Start Date]])</f>
        <v>2016</v>
      </c>
      <c r="F278" t="s">
        <v>812</v>
      </c>
      <c r="G278" t="str">
        <f>VLOOKUP(ClientDB[[#This Row],[Org Code]],'Lookup Lists'!$A$7:$B$52,2,0)</f>
        <v>Fzig Fibre</v>
      </c>
      <c r="H278" s="10" t="s">
        <v>658</v>
      </c>
      <c r="I278" s="10" t="str">
        <f>VLOOKUP(ClientDB[[#This Row],[Country Code]],'Lookup Lists'!$D$7:$E$59,2,0)</f>
        <v>Denmark</v>
      </c>
      <c r="J278" s="15">
        <v>2</v>
      </c>
      <c r="K278" s="15" t="str">
        <f>IF(ClientDB[[#This Row],[Start Date]]&gt;=$U$14,"New","")</f>
        <v/>
      </c>
      <c r="L278" s="15" t="str">
        <f>IF(AND(ClientDB[[#This Row],[Start Year]]&lt;2016,ClientDB[[#This Row],[Events]]&gt;=6),"Gift","")</f>
        <v/>
      </c>
      <c r="M27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78" s="15">
        <v>2</v>
      </c>
      <c r="O278" s="38">
        <f>ClientDB[[#This Row],[Days]]*(IF(ClientDB[[#This Row],[Days]]&gt;1,300,350))</f>
        <v>600</v>
      </c>
      <c r="P27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278" s="15" t="s">
        <v>899</v>
      </c>
      <c r="R278" s="15" t="str">
        <f>INDEX('Lookup Lists'!$H$7:$K$59,MATCH(ClientDB[[#This Row],[Country Code]],'Lookup Lists'!$G$7:$G$59,0),(MATCH(ClientDB[[#This Row],[Meal]],'Lookup Lists'!$H$6:$K$6,0)))</f>
        <v>A</v>
      </c>
    </row>
    <row r="279" spans="1:18" x14ac:dyDescent="0.2">
      <c r="A279" s="10">
        <v>32407</v>
      </c>
      <c r="B279" t="s">
        <v>476</v>
      </c>
      <c r="C279" t="s">
        <v>477</v>
      </c>
      <c r="D279" s="18">
        <v>43443</v>
      </c>
      <c r="E279" s="37">
        <f>YEAR(ClientDB[[#This Row],[Start Date]])</f>
        <v>2018</v>
      </c>
      <c r="F279" t="s">
        <v>827</v>
      </c>
      <c r="G279" t="str">
        <f>VLOOKUP(ClientDB[[#This Row],[Org Code]],'Lookup Lists'!$A$7:$B$52,2,0)</f>
        <v>Ripple Com</v>
      </c>
      <c r="H279" s="10" t="s">
        <v>15</v>
      </c>
      <c r="I279" s="10" t="str">
        <f>VLOOKUP(ClientDB[[#This Row],[Country Code]],'Lookup Lists'!$D$7:$E$59,2,0)</f>
        <v>United Kingdom</v>
      </c>
      <c r="J279" s="15">
        <v>3</v>
      </c>
      <c r="K279" s="15" t="str">
        <f>IF(ClientDB[[#This Row],[Start Date]]&gt;=$U$14,"New","")</f>
        <v/>
      </c>
      <c r="L279" s="15" t="str">
        <f>IF(AND(ClientDB[[#This Row],[Start Year]]&lt;2016,ClientDB[[#This Row],[Events]]&gt;=6),"Gift","")</f>
        <v/>
      </c>
      <c r="M27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79" s="15">
        <v>1</v>
      </c>
      <c r="O279" s="38">
        <f>ClientDB[[#This Row],[Days]]*(IF(ClientDB[[#This Row],[Days]]&gt;1,300,350))</f>
        <v>350</v>
      </c>
      <c r="P27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279" s="15" t="s">
        <v>901</v>
      </c>
      <c r="R279" s="15" t="str">
        <f>INDEX('Lookup Lists'!$H$7:$K$59,MATCH(ClientDB[[#This Row],[Country Code]],'Lookup Lists'!$G$7:$G$59,0),(MATCH(ClientDB[[#This Row],[Meal]],'Lookup Lists'!$H$6:$K$6,0)))</f>
        <v>E</v>
      </c>
    </row>
    <row r="280" spans="1:18" x14ac:dyDescent="0.2">
      <c r="A280" s="10">
        <v>32513</v>
      </c>
      <c r="B280" t="s">
        <v>39</v>
      </c>
      <c r="C280" t="s">
        <v>40</v>
      </c>
      <c r="D280" s="18">
        <v>42706</v>
      </c>
      <c r="E280" s="37">
        <f>YEAR(ClientDB[[#This Row],[Start Date]])</f>
        <v>2016</v>
      </c>
      <c r="F280" t="s">
        <v>820</v>
      </c>
      <c r="G280" t="str">
        <f>VLOOKUP(ClientDB[[#This Row],[Org Code]],'Lookup Lists'!$A$7:$B$52,2,0)</f>
        <v>Oglev</v>
      </c>
      <c r="H280" s="10" t="s">
        <v>42</v>
      </c>
      <c r="I280" s="10" t="str">
        <f>VLOOKUP(ClientDB[[#This Row],[Country Code]],'Lookup Lists'!$D$7:$E$59,2,0)</f>
        <v>Slovakia</v>
      </c>
      <c r="J280" s="15">
        <v>19</v>
      </c>
      <c r="K280" s="15" t="str">
        <f>IF(ClientDB[[#This Row],[Start Date]]&gt;=$U$14,"New","")</f>
        <v/>
      </c>
      <c r="L280" s="15" t="str">
        <f>IF(AND(ClientDB[[#This Row],[Start Year]]&lt;2016,ClientDB[[#This Row],[Events]]&gt;=6),"Gift","")</f>
        <v/>
      </c>
      <c r="M28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280" s="15">
        <v>3</v>
      </c>
      <c r="O280" s="38">
        <f>ClientDB[[#This Row],[Days]]*(IF(ClientDB[[#This Row],[Days]]&gt;1,300,350))</f>
        <v>900</v>
      </c>
      <c r="P28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280" s="15" t="s">
        <v>901</v>
      </c>
      <c r="R280" s="15" t="str">
        <f>INDEX('Lookup Lists'!$H$7:$K$59,MATCH(ClientDB[[#This Row],[Country Code]],'Lookup Lists'!$G$7:$G$59,0),(MATCH(ClientDB[[#This Row],[Meal]],'Lookup Lists'!$H$6:$K$6,0)))</f>
        <v>G</v>
      </c>
    </row>
    <row r="281" spans="1:18" x14ac:dyDescent="0.2">
      <c r="A281" s="10">
        <v>32550</v>
      </c>
      <c r="B281" t="s">
        <v>406</v>
      </c>
      <c r="C281" t="s">
        <v>407</v>
      </c>
      <c r="D281" s="18">
        <v>42401</v>
      </c>
      <c r="E281" s="37">
        <f>YEAR(ClientDB[[#This Row],[Start Date]])</f>
        <v>2016</v>
      </c>
      <c r="F281" t="s">
        <v>825</v>
      </c>
      <c r="G281" t="str">
        <f>VLOOKUP(ClientDB[[#This Row],[Org Code]],'Lookup Lists'!$A$7:$B$52,2,0)</f>
        <v>Qinisar</v>
      </c>
      <c r="H281" s="10" t="s">
        <v>15</v>
      </c>
      <c r="I281" s="10" t="str">
        <f>VLOOKUP(ClientDB[[#This Row],[Country Code]],'Lookup Lists'!$D$7:$E$59,2,0)</f>
        <v>United Kingdom</v>
      </c>
      <c r="J281" s="15">
        <v>7</v>
      </c>
      <c r="K281" s="15" t="str">
        <f>IF(ClientDB[[#This Row],[Start Date]]&gt;=$U$14,"New","")</f>
        <v/>
      </c>
      <c r="L281" s="15" t="str">
        <f>IF(AND(ClientDB[[#This Row],[Start Year]]&lt;2016,ClientDB[[#This Row],[Events]]&gt;=6),"Gift","")</f>
        <v/>
      </c>
      <c r="M28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81" s="15">
        <v>3</v>
      </c>
      <c r="O281" s="38">
        <f>ClientDB[[#This Row],[Days]]*(IF(ClientDB[[#This Row],[Days]]&gt;1,300,350))</f>
        <v>900</v>
      </c>
      <c r="P28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281" s="15" t="s">
        <v>901</v>
      </c>
      <c r="R281" s="15" t="str">
        <f>INDEX('Lookup Lists'!$H$7:$K$59,MATCH(ClientDB[[#This Row],[Country Code]],'Lookup Lists'!$G$7:$G$59,0),(MATCH(ClientDB[[#This Row],[Meal]],'Lookup Lists'!$H$6:$K$6,0)))</f>
        <v>E</v>
      </c>
    </row>
    <row r="282" spans="1:18" x14ac:dyDescent="0.2">
      <c r="A282" s="10">
        <v>32699</v>
      </c>
      <c r="B282" t="s">
        <v>597</v>
      </c>
      <c r="C282" t="s">
        <v>598</v>
      </c>
      <c r="D282" s="18">
        <v>43314</v>
      </c>
      <c r="E282" s="37">
        <f>YEAR(ClientDB[[#This Row],[Start Date]])</f>
        <v>2018</v>
      </c>
      <c r="F282" t="s">
        <v>803</v>
      </c>
      <c r="G282" t="str">
        <f>VLOOKUP(ClientDB[[#This Row],[Org Code]],'Lookup Lists'!$A$7:$B$52,2,0)</f>
        <v>CTX</v>
      </c>
      <c r="H282" s="10" t="s">
        <v>163</v>
      </c>
      <c r="I282" s="10" t="str">
        <f>VLOOKUP(ClientDB[[#This Row],[Country Code]],'Lookup Lists'!$D$7:$E$59,2,0)</f>
        <v>Jordan</v>
      </c>
      <c r="J282" s="15">
        <v>3</v>
      </c>
      <c r="K282" s="15" t="str">
        <f>IF(ClientDB[[#This Row],[Start Date]]&gt;=$U$14,"New","")</f>
        <v/>
      </c>
      <c r="L282" s="15" t="str">
        <f>IF(AND(ClientDB[[#This Row],[Start Year]]&lt;2016,ClientDB[[#This Row],[Events]]&gt;=6),"Gift","")</f>
        <v/>
      </c>
      <c r="M28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82" s="15">
        <v>2</v>
      </c>
      <c r="O282" s="38">
        <f>ClientDB[[#This Row],[Days]]*(IF(ClientDB[[#This Row],[Days]]&gt;1,300,350))</f>
        <v>600</v>
      </c>
      <c r="P28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282" s="15" t="s">
        <v>901</v>
      </c>
      <c r="R282" s="15" t="str">
        <f>INDEX('Lookup Lists'!$H$7:$K$59,MATCH(ClientDB[[#This Row],[Country Code]],'Lookup Lists'!$G$7:$G$59,0),(MATCH(ClientDB[[#This Row],[Meal]],'Lookup Lists'!$H$6:$K$6,0)))</f>
        <v>F</v>
      </c>
    </row>
    <row r="283" spans="1:18" x14ac:dyDescent="0.2">
      <c r="A283" s="10">
        <v>32721</v>
      </c>
      <c r="B283" t="s">
        <v>285</v>
      </c>
      <c r="C283" t="s">
        <v>286</v>
      </c>
      <c r="D283" s="18">
        <v>43268</v>
      </c>
      <c r="E283" s="37">
        <f>YEAR(ClientDB[[#This Row],[Start Date]])</f>
        <v>2018</v>
      </c>
      <c r="F283" t="s">
        <v>798</v>
      </c>
      <c r="G283" t="str">
        <f>VLOOKUP(ClientDB[[#This Row],[Org Code]],'Lookup Lists'!$A$7:$B$52,2,0)</f>
        <v>Axell Group</v>
      </c>
      <c r="H283" s="10" t="s">
        <v>146</v>
      </c>
      <c r="I283" s="10" t="str">
        <f>VLOOKUP(ClientDB[[#This Row],[Country Code]],'Lookup Lists'!$D$7:$E$59,2,0)</f>
        <v>Russia</v>
      </c>
      <c r="J283" s="15">
        <v>11</v>
      </c>
      <c r="K283" s="15" t="str">
        <f>IF(ClientDB[[#This Row],[Start Date]]&gt;=$U$14,"New","")</f>
        <v/>
      </c>
      <c r="L283" s="15" t="str">
        <f>IF(AND(ClientDB[[#This Row],[Start Year]]&lt;2016,ClientDB[[#This Row],[Events]]&gt;=6),"Gift","")</f>
        <v/>
      </c>
      <c r="M28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283" s="15">
        <v>1</v>
      </c>
      <c r="O283" s="38">
        <f>ClientDB[[#This Row],[Days]]*(IF(ClientDB[[#This Row],[Days]]&gt;1,300,350))</f>
        <v>350</v>
      </c>
      <c r="P28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283" s="15" t="s">
        <v>902</v>
      </c>
      <c r="R283" s="15" t="str">
        <f>INDEX('Lookup Lists'!$H$7:$K$59,MATCH(ClientDB[[#This Row],[Country Code]],'Lookup Lists'!$G$7:$G$59,0),(MATCH(ClientDB[[#This Row],[Meal]],'Lookup Lists'!$H$6:$K$6,0)))</f>
        <v>C</v>
      </c>
    </row>
    <row r="284" spans="1:18" x14ac:dyDescent="0.2">
      <c r="A284" s="10">
        <v>32780</v>
      </c>
      <c r="B284" t="s">
        <v>501</v>
      </c>
      <c r="C284" t="s">
        <v>502</v>
      </c>
      <c r="D284" s="18">
        <v>43377</v>
      </c>
      <c r="E284" s="37">
        <f>YEAR(ClientDB[[#This Row],[Start Date]])</f>
        <v>2018</v>
      </c>
      <c r="F284" t="s">
        <v>833</v>
      </c>
      <c r="G284" t="str">
        <f>VLOOKUP(ClientDB[[#This Row],[Org Code]],'Lookup Lists'!$A$7:$B$52,2,0)</f>
        <v>UON</v>
      </c>
      <c r="H284" s="10" t="s">
        <v>46</v>
      </c>
      <c r="I284" s="10" t="str">
        <f>VLOOKUP(ClientDB[[#This Row],[Country Code]],'Lookup Lists'!$D$7:$E$59,2,0)</f>
        <v>Germany</v>
      </c>
      <c r="J284" s="15">
        <v>4</v>
      </c>
      <c r="K284" s="15" t="str">
        <f>IF(ClientDB[[#This Row],[Start Date]]&gt;=$U$14,"New","")</f>
        <v/>
      </c>
      <c r="L284" s="15" t="str">
        <f>IF(AND(ClientDB[[#This Row],[Start Year]]&lt;2016,ClientDB[[#This Row],[Events]]&gt;=6),"Gift","")</f>
        <v/>
      </c>
      <c r="M28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84" s="15">
        <v>2</v>
      </c>
      <c r="O284" s="38">
        <f>ClientDB[[#This Row],[Days]]*(IF(ClientDB[[#This Row],[Days]]&gt;1,300,350))</f>
        <v>600</v>
      </c>
      <c r="P28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284" s="15" t="s">
        <v>901</v>
      </c>
      <c r="R284" s="15" t="str">
        <f>INDEX('Lookup Lists'!$H$7:$K$59,MATCH(ClientDB[[#This Row],[Country Code]],'Lookup Lists'!$G$7:$G$59,0),(MATCH(ClientDB[[#This Row],[Meal]],'Lookup Lists'!$H$6:$K$6,0)))</f>
        <v>D</v>
      </c>
    </row>
    <row r="285" spans="1:18" x14ac:dyDescent="0.2">
      <c r="A285" s="10">
        <v>32910</v>
      </c>
      <c r="B285" t="s">
        <v>732</v>
      </c>
      <c r="C285" t="s">
        <v>733</v>
      </c>
      <c r="D285" s="18">
        <v>43552</v>
      </c>
      <c r="E285" s="37">
        <f>YEAR(ClientDB[[#This Row],[Start Date]])</f>
        <v>2019</v>
      </c>
      <c r="F285" t="s">
        <v>803</v>
      </c>
      <c r="G285" t="str">
        <f>VLOOKUP(ClientDB[[#This Row],[Org Code]],'Lookup Lists'!$A$7:$B$52,2,0)</f>
        <v>CTX</v>
      </c>
      <c r="H285" s="10" t="s">
        <v>11</v>
      </c>
      <c r="I285" s="10" t="str">
        <f>VLOOKUP(ClientDB[[#This Row],[Country Code]],'Lookup Lists'!$D$7:$E$59,2,0)</f>
        <v>Austria</v>
      </c>
      <c r="J285" s="15">
        <v>8</v>
      </c>
      <c r="K285" s="15" t="str">
        <f>IF(ClientDB[[#This Row],[Start Date]]&gt;=$U$14,"New","")</f>
        <v/>
      </c>
      <c r="L285" s="15" t="str">
        <f>IF(AND(ClientDB[[#This Row],[Start Year]]&lt;2016,ClientDB[[#This Row],[Events]]&gt;=6),"Gift","")</f>
        <v/>
      </c>
      <c r="M28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85" s="15">
        <v>2</v>
      </c>
      <c r="O285" s="38">
        <f>ClientDB[[#This Row],[Days]]*(IF(ClientDB[[#This Row],[Days]]&gt;1,300,350))</f>
        <v>600</v>
      </c>
      <c r="P28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285" s="15" t="s">
        <v>900</v>
      </c>
      <c r="R285" s="15" t="str">
        <f>INDEX('Lookup Lists'!$H$7:$K$59,MATCH(ClientDB[[#This Row],[Country Code]],'Lookup Lists'!$G$7:$G$59,0),(MATCH(ClientDB[[#This Row],[Meal]],'Lookup Lists'!$H$6:$K$6,0)))</f>
        <v>A</v>
      </c>
    </row>
    <row r="286" spans="1:18" x14ac:dyDescent="0.2">
      <c r="A286" s="10">
        <v>32957</v>
      </c>
      <c r="B286" t="s">
        <v>357</v>
      </c>
      <c r="C286" t="s">
        <v>358</v>
      </c>
      <c r="D286" s="18">
        <v>43441</v>
      </c>
      <c r="E286" s="37">
        <f>YEAR(ClientDB[[#This Row],[Start Date]])</f>
        <v>2018</v>
      </c>
      <c r="F286" t="s">
        <v>832</v>
      </c>
      <c r="G286" t="str">
        <f>VLOOKUP(ClientDB[[#This Row],[Org Code]],'Lookup Lists'!$A$7:$B$52,2,0)</f>
        <v>TQ Processes</v>
      </c>
      <c r="H286" s="10" t="s">
        <v>34</v>
      </c>
      <c r="I286" s="10" t="str">
        <f>VLOOKUP(ClientDB[[#This Row],[Country Code]],'Lookup Lists'!$D$7:$E$59,2,0)</f>
        <v>United States</v>
      </c>
      <c r="J286" s="15">
        <v>8</v>
      </c>
      <c r="K286" s="15" t="str">
        <f>IF(ClientDB[[#This Row],[Start Date]]&gt;=$U$14,"New","")</f>
        <v/>
      </c>
      <c r="L286" s="15" t="str">
        <f>IF(AND(ClientDB[[#This Row],[Start Year]]&lt;2016,ClientDB[[#This Row],[Events]]&gt;=6),"Gift","")</f>
        <v/>
      </c>
      <c r="M28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86" s="15">
        <v>3</v>
      </c>
      <c r="O286" s="38">
        <f>ClientDB[[#This Row],[Days]]*(IF(ClientDB[[#This Row],[Days]]&gt;1,300,350))</f>
        <v>900</v>
      </c>
      <c r="P28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286" s="15" t="s">
        <v>899</v>
      </c>
      <c r="R286" s="15" t="str">
        <f>INDEX('Lookup Lists'!$H$7:$K$59,MATCH(ClientDB[[#This Row],[Country Code]],'Lookup Lists'!$G$7:$G$59,0),(MATCH(ClientDB[[#This Row],[Meal]],'Lookup Lists'!$H$6:$K$6,0)))</f>
        <v>F</v>
      </c>
    </row>
    <row r="287" spans="1:18" x14ac:dyDescent="0.2">
      <c r="A287" s="10">
        <v>32987</v>
      </c>
      <c r="B287" t="s">
        <v>334</v>
      </c>
      <c r="C287" t="s">
        <v>335</v>
      </c>
      <c r="D287" s="18">
        <v>42187</v>
      </c>
      <c r="E287" s="37">
        <f>YEAR(ClientDB[[#This Row],[Start Date]])</f>
        <v>2015</v>
      </c>
      <c r="F287" t="s">
        <v>827</v>
      </c>
      <c r="G287" t="str">
        <f>VLOOKUP(ClientDB[[#This Row],[Org Code]],'Lookup Lists'!$A$7:$B$52,2,0)</f>
        <v>Ripple Com</v>
      </c>
      <c r="H287" s="10" t="s">
        <v>15</v>
      </c>
      <c r="I287" s="10" t="str">
        <f>VLOOKUP(ClientDB[[#This Row],[Country Code]],'Lookup Lists'!$D$7:$E$59,2,0)</f>
        <v>United Kingdom</v>
      </c>
      <c r="J287" s="15">
        <v>21</v>
      </c>
      <c r="K287" s="15" t="str">
        <f>IF(ClientDB[[#This Row],[Start Date]]&gt;=$U$14,"New","")</f>
        <v/>
      </c>
      <c r="L287" s="15" t="str">
        <f>IF(AND(ClientDB[[#This Row],[Start Year]]&lt;2016,ClientDB[[#This Row],[Events]]&gt;=6),"Gift","")</f>
        <v>Gift</v>
      </c>
      <c r="M28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Gold</v>
      </c>
      <c r="N287" s="15">
        <v>3</v>
      </c>
      <c r="O287" s="38">
        <f>ClientDB[[#This Row],[Days]]*(IF(ClientDB[[#This Row],[Days]]&gt;1,300,350))</f>
        <v>900</v>
      </c>
      <c r="P28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720</v>
      </c>
      <c r="Q287" s="15" t="s">
        <v>902</v>
      </c>
      <c r="R287" s="15" t="str">
        <f>INDEX('Lookup Lists'!$H$7:$K$59,MATCH(ClientDB[[#This Row],[Country Code]],'Lookup Lists'!$G$7:$G$59,0),(MATCH(ClientDB[[#This Row],[Meal]],'Lookup Lists'!$H$6:$K$6,0)))</f>
        <v>B</v>
      </c>
    </row>
    <row r="288" spans="1:18" x14ac:dyDescent="0.2">
      <c r="A288" s="10">
        <v>33008</v>
      </c>
      <c r="B288" t="s">
        <v>326</v>
      </c>
      <c r="C288" t="s">
        <v>327</v>
      </c>
      <c r="D288" s="18">
        <v>42875</v>
      </c>
      <c r="E288" s="37">
        <f>YEAR(ClientDB[[#This Row],[Start Date]])</f>
        <v>2017</v>
      </c>
      <c r="F288" t="s">
        <v>836</v>
      </c>
      <c r="G288" t="str">
        <f>VLOOKUP(ClientDB[[#This Row],[Org Code]],'Lookup Lists'!$A$7:$B$52,2,0)</f>
        <v>Wiz Labs</v>
      </c>
      <c r="H288" s="10" t="s">
        <v>7</v>
      </c>
      <c r="I288" s="10" t="str">
        <f>VLOOKUP(ClientDB[[#This Row],[Country Code]],'Lookup Lists'!$D$7:$E$59,2,0)</f>
        <v>Iran</v>
      </c>
      <c r="J288" s="15">
        <v>3</v>
      </c>
      <c r="K288" s="15" t="str">
        <f>IF(ClientDB[[#This Row],[Start Date]]&gt;=$U$14,"New","")</f>
        <v/>
      </c>
      <c r="L288" s="15" t="str">
        <f>IF(AND(ClientDB[[#This Row],[Start Year]]&lt;2016,ClientDB[[#This Row],[Events]]&gt;=6),"Gift","")</f>
        <v/>
      </c>
      <c r="M28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88" s="15">
        <v>3</v>
      </c>
      <c r="O288" s="38">
        <f>ClientDB[[#This Row],[Days]]*(IF(ClientDB[[#This Row],[Days]]&gt;1,300,350))</f>
        <v>900</v>
      </c>
      <c r="P28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288" s="15" t="s">
        <v>901</v>
      </c>
      <c r="R288" s="15" t="str">
        <f>INDEX('Lookup Lists'!$H$7:$K$59,MATCH(ClientDB[[#This Row],[Country Code]],'Lookup Lists'!$G$7:$G$59,0),(MATCH(ClientDB[[#This Row],[Meal]],'Lookup Lists'!$H$6:$K$6,0)))</f>
        <v>F</v>
      </c>
    </row>
    <row r="289" spans="1:18" x14ac:dyDescent="0.2">
      <c r="A289" s="10">
        <v>33074</v>
      </c>
      <c r="B289" t="s">
        <v>20</v>
      </c>
      <c r="C289" t="s">
        <v>21</v>
      </c>
      <c r="D289" s="18">
        <v>43246</v>
      </c>
      <c r="E289" s="37">
        <f>YEAR(ClientDB[[#This Row],[Start Date]])</f>
        <v>2018</v>
      </c>
      <c r="F289" t="s">
        <v>827</v>
      </c>
      <c r="G289" t="str">
        <f>VLOOKUP(ClientDB[[#This Row],[Org Code]],'Lookup Lists'!$A$7:$B$52,2,0)</f>
        <v>Ripple Com</v>
      </c>
      <c r="H289" s="10" t="s">
        <v>15</v>
      </c>
      <c r="I289" s="10" t="str">
        <f>VLOOKUP(ClientDB[[#This Row],[Country Code]],'Lookup Lists'!$D$7:$E$59,2,0)</f>
        <v>United Kingdom</v>
      </c>
      <c r="J289" s="15">
        <v>4</v>
      </c>
      <c r="K289" s="15" t="str">
        <f>IF(ClientDB[[#This Row],[Start Date]]&gt;=$U$14,"New","")</f>
        <v/>
      </c>
      <c r="L289" s="15" t="str">
        <f>IF(AND(ClientDB[[#This Row],[Start Year]]&lt;2016,ClientDB[[#This Row],[Events]]&gt;=6),"Gift","")</f>
        <v/>
      </c>
      <c r="M28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89" s="15">
        <v>3</v>
      </c>
      <c r="O289" s="38">
        <f>ClientDB[[#This Row],[Days]]*(IF(ClientDB[[#This Row],[Days]]&gt;1,300,350))</f>
        <v>900</v>
      </c>
      <c r="P28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289" s="15" t="s">
        <v>899</v>
      </c>
      <c r="R289" s="15" t="str">
        <f>INDEX('Lookup Lists'!$H$7:$K$59,MATCH(ClientDB[[#This Row],[Country Code]],'Lookup Lists'!$G$7:$G$59,0),(MATCH(ClientDB[[#This Row],[Meal]],'Lookup Lists'!$H$6:$K$6,0)))</f>
        <v>A</v>
      </c>
    </row>
    <row r="290" spans="1:18" x14ac:dyDescent="0.2">
      <c r="A290" s="10">
        <v>33131</v>
      </c>
      <c r="B290" t="s">
        <v>112</v>
      </c>
      <c r="C290" t="s">
        <v>113</v>
      </c>
      <c r="D290" s="18">
        <v>43240</v>
      </c>
      <c r="E290" s="37">
        <f>YEAR(ClientDB[[#This Row],[Start Date]])</f>
        <v>2018</v>
      </c>
      <c r="F290" t="s">
        <v>822</v>
      </c>
      <c r="G290" t="str">
        <f>VLOOKUP(ClientDB[[#This Row],[Org Code]],'Lookup Lists'!$A$7:$B$52,2,0)</f>
        <v>PicSure</v>
      </c>
      <c r="H290" s="10" t="s">
        <v>59</v>
      </c>
      <c r="I290" s="10" t="str">
        <f>VLOOKUP(ClientDB[[#This Row],[Country Code]],'Lookup Lists'!$D$7:$E$59,2,0)</f>
        <v>Netherlands</v>
      </c>
      <c r="J290" s="15">
        <v>11</v>
      </c>
      <c r="K290" s="15" t="str">
        <f>IF(ClientDB[[#This Row],[Start Date]]&gt;=$U$14,"New","")</f>
        <v/>
      </c>
      <c r="L290" s="15" t="str">
        <f>IF(AND(ClientDB[[#This Row],[Start Year]]&lt;2016,ClientDB[[#This Row],[Events]]&gt;=6),"Gift","")</f>
        <v/>
      </c>
      <c r="M29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290" s="15">
        <v>1</v>
      </c>
      <c r="O290" s="38">
        <f>ClientDB[[#This Row],[Days]]*(IF(ClientDB[[#This Row],[Days]]&gt;1,300,350))</f>
        <v>350</v>
      </c>
      <c r="P29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290" s="15" t="s">
        <v>899</v>
      </c>
      <c r="R290" s="15" t="str">
        <f>INDEX('Lookup Lists'!$H$7:$K$59,MATCH(ClientDB[[#This Row],[Country Code]],'Lookup Lists'!$G$7:$G$59,0),(MATCH(ClientDB[[#This Row],[Meal]],'Lookup Lists'!$H$6:$K$6,0)))</f>
        <v>B</v>
      </c>
    </row>
    <row r="291" spans="1:18" x14ac:dyDescent="0.2">
      <c r="A291" s="10">
        <v>33141</v>
      </c>
      <c r="B291" t="s">
        <v>667</v>
      </c>
      <c r="C291" t="s">
        <v>668</v>
      </c>
      <c r="D291" s="18">
        <v>42495</v>
      </c>
      <c r="E291" s="37">
        <f>YEAR(ClientDB[[#This Row],[Start Date]])</f>
        <v>2016</v>
      </c>
      <c r="F291" t="s">
        <v>830</v>
      </c>
      <c r="G291" t="str">
        <f>VLOOKUP(ClientDB[[#This Row],[Org Code]],'Lookup Lists'!$A$7:$B$52,2,0)</f>
        <v>Steps IT Training</v>
      </c>
      <c r="H291" s="10" t="s">
        <v>565</v>
      </c>
      <c r="I291" s="10" t="str">
        <f>VLOOKUP(ClientDB[[#This Row],[Country Code]],'Lookup Lists'!$D$7:$E$59,2,0)</f>
        <v>Syria</v>
      </c>
      <c r="J291" s="15">
        <v>7</v>
      </c>
      <c r="K291" s="15" t="str">
        <f>IF(ClientDB[[#This Row],[Start Date]]&gt;=$U$14,"New","")</f>
        <v/>
      </c>
      <c r="L291" s="15" t="str">
        <f>IF(AND(ClientDB[[#This Row],[Start Year]]&lt;2016,ClientDB[[#This Row],[Events]]&gt;=6),"Gift","")</f>
        <v/>
      </c>
      <c r="M29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91" s="15">
        <v>1</v>
      </c>
      <c r="O291" s="38">
        <f>ClientDB[[#This Row],[Days]]*(IF(ClientDB[[#This Row],[Days]]&gt;1,300,350))</f>
        <v>350</v>
      </c>
      <c r="P29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291" s="15" t="s">
        <v>901</v>
      </c>
      <c r="R291" s="15" t="str">
        <f>INDEX('Lookup Lists'!$H$7:$K$59,MATCH(ClientDB[[#This Row],[Country Code]],'Lookup Lists'!$G$7:$G$59,0),(MATCH(ClientDB[[#This Row],[Meal]],'Lookup Lists'!$H$6:$K$6,0)))</f>
        <v>G</v>
      </c>
    </row>
    <row r="292" spans="1:18" x14ac:dyDescent="0.2">
      <c r="A292" s="10">
        <v>33466</v>
      </c>
      <c r="B292" t="s">
        <v>16</v>
      </c>
      <c r="C292" t="s">
        <v>17</v>
      </c>
      <c r="D292" s="18">
        <v>43362</v>
      </c>
      <c r="E292" s="37">
        <f>YEAR(ClientDB[[#This Row],[Start Date]])</f>
        <v>2018</v>
      </c>
      <c r="F292" t="s">
        <v>814</v>
      </c>
      <c r="G292" t="str">
        <f>VLOOKUP(ClientDB[[#This Row],[Org Code]],'Lookup Lists'!$A$7:$B$52,2,0)</f>
        <v>ICANT</v>
      </c>
      <c r="H292" s="10" t="s">
        <v>19</v>
      </c>
      <c r="I292" s="10" t="str">
        <f>VLOOKUP(ClientDB[[#This Row],[Country Code]],'Lookup Lists'!$D$7:$E$59,2,0)</f>
        <v>Japan</v>
      </c>
      <c r="J292" s="15">
        <v>2</v>
      </c>
      <c r="K292" s="15" t="str">
        <f>IF(ClientDB[[#This Row],[Start Date]]&gt;=$U$14,"New","")</f>
        <v/>
      </c>
      <c r="L292" s="15" t="str">
        <f>IF(AND(ClientDB[[#This Row],[Start Year]]&lt;2016,ClientDB[[#This Row],[Events]]&gt;=6),"Gift","")</f>
        <v/>
      </c>
      <c r="M29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92" s="15">
        <v>2</v>
      </c>
      <c r="O292" s="38">
        <f>ClientDB[[#This Row],[Days]]*(IF(ClientDB[[#This Row],[Days]]&gt;1,300,350))</f>
        <v>600</v>
      </c>
      <c r="P29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292" s="15" t="s">
        <v>900</v>
      </c>
      <c r="R292" s="15" t="str">
        <f>INDEX('Lookup Lists'!$H$7:$K$59,MATCH(ClientDB[[#This Row],[Country Code]],'Lookup Lists'!$G$7:$G$59,0),(MATCH(ClientDB[[#This Row],[Meal]],'Lookup Lists'!$H$6:$K$6,0)))</f>
        <v>C</v>
      </c>
    </row>
    <row r="293" spans="1:18" x14ac:dyDescent="0.2">
      <c r="A293" s="10">
        <v>33526</v>
      </c>
      <c r="B293" t="s">
        <v>736</v>
      </c>
      <c r="C293" t="s">
        <v>737</v>
      </c>
      <c r="D293" s="18">
        <v>44003</v>
      </c>
      <c r="E293" s="37">
        <f>YEAR(ClientDB[[#This Row],[Start Date]])</f>
        <v>2020</v>
      </c>
      <c r="F293" t="s">
        <v>824</v>
      </c>
      <c r="G293" t="str">
        <f>VLOOKUP(ClientDB[[#This Row],[Org Code]],'Lookup Lists'!$A$7:$B$52,2,0)</f>
        <v>Pink Cloud Networks</v>
      </c>
      <c r="H293" s="10" t="s">
        <v>163</v>
      </c>
      <c r="I293" s="10" t="str">
        <f>VLOOKUP(ClientDB[[#This Row],[Country Code]],'Lookup Lists'!$D$7:$E$59,2,0)</f>
        <v>Jordan</v>
      </c>
      <c r="J293" s="15">
        <v>1</v>
      </c>
      <c r="K293" s="15" t="str">
        <f>IF(ClientDB[[#This Row],[Start Date]]&gt;=$U$14,"New","")</f>
        <v>New</v>
      </c>
      <c r="L293" s="15" t="str">
        <f>IF(AND(ClientDB[[#This Row],[Start Year]]&lt;2016,ClientDB[[#This Row],[Events]]&gt;=6),"Gift","")</f>
        <v/>
      </c>
      <c r="M29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93" s="15">
        <v>3</v>
      </c>
      <c r="O293" s="38">
        <f>ClientDB[[#This Row],[Days]]*(IF(ClientDB[[#This Row],[Days]]&gt;1,300,350))</f>
        <v>900</v>
      </c>
      <c r="P29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293" s="15" t="s">
        <v>902</v>
      </c>
      <c r="R293" s="15" t="str">
        <f>INDEX('Lookup Lists'!$H$7:$K$59,MATCH(ClientDB[[#This Row],[Country Code]],'Lookup Lists'!$G$7:$G$59,0),(MATCH(ClientDB[[#This Row],[Meal]],'Lookup Lists'!$H$6:$K$6,0)))</f>
        <v>C</v>
      </c>
    </row>
    <row r="294" spans="1:18" x14ac:dyDescent="0.2">
      <c r="A294" s="10">
        <v>33729</v>
      </c>
      <c r="B294" t="s">
        <v>330</v>
      </c>
      <c r="C294" t="s">
        <v>331</v>
      </c>
      <c r="D294" s="18">
        <v>43714</v>
      </c>
      <c r="E294" s="37">
        <f>YEAR(ClientDB[[#This Row],[Start Date]])</f>
        <v>2019</v>
      </c>
      <c r="F294" t="s">
        <v>827</v>
      </c>
      <c r="G294" t="str">
        <f>VLOOKUP(ClientDB[[#This Row],[Org Code]],'Lookup Lists'!$A$7:$B$52,2,0)</f>
        <v>Ripple Com</v>
      </c>
      <c r="H294" s="10" t="s">
        <v>15</v>
      </c>
      <c r="I294" s="10" t="str">
        <f>VLOOKUP(ClientDB[[#This Row],[Country Code]],'Lookup Lists'!$D$7:$E$59,2,0)</f>
        <v>United Kingdom</v>
      </c>
      <c r="J294" s="15">
        <v>3</v>
      </c>
      <c r="K294" s="15" t="str">
        <f>IF(ClientDB[[#This Row],[Start Date]]&gt;=$U$14,"New","")</f>
        <v/>
      </c>
      <c r="L294" s="15" t="str">
        <f>IF(AND(ClientDB[[#This Row],[Start Year]]&lt;2016,ClientDB[[#This Row],[Events]]&gt;=6),"Gift","")</f>
        <v/>
      </c>
      <c r="M29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94" s="15">
        <v>2</v>
      </c>
      <c r="O294" s="38">
        <f>ClientDB[[#This Row],[Days]]*(IF(ClientDB[[#This Row],[Days]]&gt;1,300,350))</f>
        <v>600</v>
      </c>
      <c r="P29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294" s="15" t="s">
        <v>899</v>
      </c>
      <c r="R294" s="15" t="str">
        <f>INDEX('Lookup Lists'!$H$7:$K$59,MATCH(ClientDB[[#This Row],[Country Code]],'Lookup Lists'!$G$7:$G$59,0),(MATCH(ClientDB[[#This Row],[Meal]],'Lookup Lists'!$H$6:$K$6,0)))</f>
        <v>A</v>
      </c>
    </row>
    <row r="295" spans="1:18" x14ac:dyDescent="0.2">
      <c r="A295" s="10">
        <v>33836</v>
      </c>
      <c r="B295" t="s">
        <v>518</v>
      </c>
      <c r="C295" t="s">
        <v>519</v>
      </c>
      <c r="D295" s="18">
        <v>43713</v>
      </c>
      <c r="E295" s="37">
        <f>YEAR(ClientDB[[#This Row],[Start Date]])</f>
        <v>2019</v>
      </c>
      <c r="F295" t="s">
        <v>819</v>
      </c>
      <c r="G295" t="str">
        <f>VLOOKUP(ClientDB[[#This Row],[Org Code]],'Lookup Lists'!$A$7:$B$52,2,0)</f>
        <v>NetaAssist</v>
      </c>
      <c r="H295" s="10" t="s">
        <v>46</v>
      </c>
      <c r="I295" s="10" t="str">
        <f>VLOOKUP(ClientDB[[#This Row],[Country Code]],'Lookup Lists'!$D$7:$E$59,2,0)</f>
        <v>Germany</v>
      </c>
      <c r="J295" s="15">
        <v>8</v>
      </c>
      <c r="K295" s="15" t="str">
        <f>IF(ClientDB[[#This Row],[Start Date]]&gt;=$U$14,"New","")</f>
        <v/>
      </c>
      <c r="L295" s="15" t="str">
        <f>IF(AND(ClientDB[[#This Row],[Start Year]]&lt;2016,ClientDB[[#This Row],[Events]]&gt;=6),"Gift","")</f>
        <v/>
      </c>
      <c r="M29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95" s="15">
        <v>2</v>
      </c>
      <c r="O295" s="38">
        <f>ClientDB[[#This Row],[Days]]*(IF(ClientDB[[#This Row],[Days]]&gt;1,300,350))</f>
        <v>600</v>
      </c>
      <c r="P29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295" s="15" t="s">
        <v>900</v>
      </c>
      <c r="R295" s="15" t="str">
        <f>INDEX('Lookup Lists'!$H$7:$K$59,MATCH(ClientDB[[#This Row],[Country Code]],'Lookup Lists'!$G$7:$G$59,0),(MATCH(ClientDB[[#This Row],[Meal]],'Lookup Lists'!$H$6:$K$6,0)))</f>
        <v>A</v>
      </c>
    </row>
    <row r="296" spans="1:18" x14ac:dyDescent="0.2">
      <c r="A296" s="10">
        <v>33888</v>
      </c>
      <c r="B296" t="s">
        <v>306</v>
      </c>
      <c r="C296" t="s">
        <v>307</v>
      </c>
      <c r="D296" s="18">
        <v>43213</v>
      </c>
      <c r="E296" s="37">
        <f>YEAR(ClientDB[[#This Row],[Start Date]])</f>
        <v>2018</v>
      </c>
      <c r="F296" t="s">
        <v>825</v>
      </c>
      <c r="G296" t="str">
        <f>VLOOKUP(ClientDB[[#This Row],[Org Code]],'Lookup Lists'!$A$7:$B$52,2,0)</f>
        <v>Qinisar</v>
      </c>
      <c r="H296" s="10" t="s">
        <v>155</v>
      </c>
      <c r="I296" s="10" t="str">
        <f>VLOOKUP(ClientDB[[#This Row],[Country Code]],'Lookup Lists'!$D$7:$E$59,2,0)</f>
        <v>United Arab Emirates</v>
      </c>
      <c r="J296" s="15">
        <v>7</v>
      </c>
      <c r="K296" s="15" t="str">
        <f>IF(ClientDB[[#This Row],[Start Date]]&gt;=$U$14,"New","")</f>
        <v/>
      </c>
      <c r="L296" s="15" t="str">
        <f>IF(AND(ClientDB[[#This Row],[Start Year]]&lt;2016,ClientDB[[#This Row],[Events]]&gt;=6),"Gift","")</f>
        <v/>
      </c>
      <c r="M29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96" s="15">
        <v>1</v>
      </c>
      <c r="O296" s="38">
        <f>ClientDB[[#This Row],[Days]]*(IF(ClientDB[[#This Row],[Days]]&gt;1,300,350))</f>
        <v>350</v>
      </c>
      <c r="P29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296" s="15" t="s">
        <v>902</v>
      </c>
      <c r="R296" s="15" t="str">
        <f>INDEX('Lookup Lists'!$H$7:$K$59,MATCH(ClientDB[[#This Row],[Country Code]],'Lookup Lists'!$G$7:$G$59,0),(MATCH(ClientDB[[#This Row],[Meal]],'Lookup Lists'!$H$6:$K$6,0)))</f>
        <v>B</v>
      </c>
    </row>
    <row r="297" spans="1:18" x14ac:dyDescent="0.2">
      <c r="A297" s="10">
        <v>33952</v>
      </c>
      <c r="B297" t="s">
        <v>144</v>
      </c>
      <c r="C297" t="s">
        <v>145</v>
      </c>
      <c r="D297" s="18">
        <v>42396</v>
      </c>
      <c r="E297" s="37">
        <f>YEAR(ClientDB[[#This Row],[Start Date]])</f>
        <v>2016</v>
      </c>
      <c r="F297" t="s">
        <v>827</v>
      </c>
      <c r="G297" t="str">
        <f>VLOOKUP(ClientDB[[#This Row],[Org Code]],'Lookup Lists'!$A$7:$B$52,2,0)</f>
        <v>Ripple Com</v>
      </c>
      <c r="H297" s="10" t="s">
        <v>146</v>
      </c>
      <c r="I297" s="10" t="str">
        <f>VLOOKUP(ClientDB[[#This Row],[Country Code]],'Lookup Lists'!$D$7:$E$59,2,0)</f>
        <v>Russia</v>
      </c>
      <c r="J297" s="15">
        <v>3</v>
      </c>
      <c r="K297" s="15" t="str">
        <f>IF(ClientDB[[#This Row],[Start Date]]&gt;=$U$14,"New","")</f>
        <v/>
      </c>
      <c r="L297" s="15" t="str">
        <f>IF(AND(ClientDB[[#This Row],[Start Year]]&lt;2016,ClientDB[[#This Row],[Events]]&gt;=6),"Gift","")</f>
        <v/>
      </c>
      <c r="M29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97" s="15">
        <v>1</v>
      </c>
      <c r="O297" s="38">
        <f>ClientDB[[#This Row],[Days]]*(IF(ClientDB[[#This Row],[Days]]&gt;1,300,350))</f>
        <v>350</v>
      </c>
      <c r="P29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297" s="15" t="s">
        <v>901</v>
      </c>
      <c r="R297" s="15" t="str">
        <f>INDEX('Lookup Lists'!$H$7:$K$59,MATCH(ClientDB[[#This Row],[Country Code]],'Lookup Lists'!$G$7:$G$59,0),(MATCH(ClientDB[[#This Row],[Meal]],'Lookup Lists'!$H$6:$K$6,0)))</f>
        <v>G</v>
      </c>
    </row>
    <row r="298" spans="1:18" x14ac:dyDescent="0.2">
      <c r="A298" s="10">
        <v>33952</v>
      </c>
      <c r="B298" t="s">
        <v>514</v>
      </c>
      <c r="C298" t="s">
        <v>515</v>
      </c>
      <c r="D298" s="18">
        <v>43341</v>
      </c>
      <c r="E298" s="37">
        <f>YEAR(ClientDB[[#This Row],[Start Date]])</f>
        <v>2018</v>
      </c>
      <c r="F298" t="s">
        <v>827</v>
      </c>
      <c r="G298" t="str">
        <f>VLOOKUP(ClientDB[[#This Row],[Org Code]],'Lookup Lists'!$A$7:$B$52,2,0)</f>
        <v>Ripple Com</v>
      </c>
      <c r="H298" s="10" t="s">
        <v>15</v>
      </c>
      <c r="I298" s="10" t="str">
        <f>VLOOKUP(ClientDB[[#This Row],[Country Code]],'Lookup Lists'!$D$7:$E$59,2,0)</f>
        <v>United Kingdom</v>
      </c>
      <c r="J298" s="15">
        <v>4</v>
      </c>
      <c r="K298" s="15" t="str">
        <f>IF(ClientDB[[#This Row],[Start Date]]&gt;=$U$14,"New","")</f>
        <v/>
      </c>
      <c r="L298" s="15" t="str">
        <f>IF(AND(ClientDB[[#This Row],[Start Year]]&lt;2016,ClientDB[[#This Row],[Events]]&gt;=6),"Gift","")</f>
        <v/>
      </c>
      <c r="M29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98" s="15">
        <v>2</v>
      </c>
      <c r="O298" s="38">
        <f>ClientDB[[#This Row],[Days]]*(IF(ClientDB[[#This Row],[Days]]&gt;1,300,350))</f>
        <v>600</v>
      </c>
      <c r="P29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298" s="15" t="s">
        <v>901</v>
      </c>
      <c r="R298" s="15" t="str">
        <f>INDEX('Lookup Lists'!$H$7:$K$59,MATCH(ClientDB[[#This Row],[Country Code]],'Lookup Lists'!$G$7:$G$59,0),(MATCH(ClientDB[[#This Row],[Meal]],'Lookup Lists'!$H$6:$K$6,0)))</f>
        <v>E</v>
      </c>
    </row>
    <row r="299" spans="1:18" x14ac:dyDescent="0.2">
      <c r="A299" s="10">
        <v>34099</v>
      </c>
      <c r="B299" t="s">
        <v>270</v>
      </c>
      <c r="C299" t="s">
        <v>271</v>
      </c>
      <c r="D299" s="18">
        <v>42715</v>
      </c>
      <c r="E299" s="37">
        <f>YEAR(ClientDB[[#This Row],[Start Date]])</f>
        <v>2016</v>
      </c>
      <c r="F299" t="s">
        <v>829</v>
      </c>
      <c r="G299" t="str">
        <f>VLOOKUP(ClientDB[[#This Row],[Org Code]],'Lookup Lists'!$A$7:$B$52,2,0)</f>
        <v>StepAhead</v>
      </c>
      <c r="H299" s="10" t="s">
        <v>97</v>
      </c>
      <c r="I299" s="10" t="str">
        <f>VLOOKUP(ClientDB[[#This Row],[Country Code]],'Lookup Lists'!$D$7:$E$59,2,0)</f>
        <v>Ireland</v>
      </c>
      <c r="J299" s="15">
        <v>7</v>
      </c>
      <c r="K299" s="15" t="str">
        <f>IF(ClientDB[[#This Row],[Start Date]]&gt;=$U$14,"New","")</f>
        <v/>
      </c>
      <c r="L299" s="15" t="str">
        <f>IF(AND(ClientDB[[#This Row],[Start Year]]&lt;2016,ClientDB[[#This Row],[Events]]&gt;=6),"Gift","")</f>
        <v/>
      </c>
      <c r="M29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299" s="15">
        <v>2</v>
      </c>
      <c r="O299" s="38">
        <f>ClientDB[[#This Row],[Days]]*(IF(ClientDB[[#This Row],[Days]]&gt;1,300,350))</f>
        <v>600</v>
      </c>
      <c r="P29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299" s="15" t="s">
        <v>901</v>
      </c>
      <c r="R299" s="15" t="str">
        <f>INDEX('Lookup Lists'!$H$7:$K$59,MATCH(ClientDB[[#This Row],[Country Code]],'Lookup Lists'!$G$7:$G$59,0),(MATCH(ClientDB[[#This Row],[Meal]],'Lookup Lists'!$H$6:$K$6,0)))</f>
        <v>F</v>
      </c>
    </row>
    <row r="300" spans="1:18" x14ac:dyDescent="0.2">
      <c r="A300" s="10">
        <v>34153</v>
      </c>
      <c r="B300" t="s">
        <v>255</v>
      </c>
      <c r="C300" t="s">
        <v>451</v>
      </c>
      <c r="D300" s="18">
        <v>43485</v>
      </c>
      <c r="E300" s="37">
        <f>YEAR(ClientDB[[#This Row],[Start Date]])</f>
        <v>2019</v>
      </c>
      <c r="F300" t="s">
        <v>815</v>
      </c>
      <c r="G300" t="str">
        <f>VLOOKUP(ClientDB[[#This Row],[Org Code]],'Lookup Lists'!$A$7:$B$52,2,0)</f>
        <v>Intelligence Systems</v>
      </c>
      <c r="H300" s="10" t="s">
        <v>34</v>
      </c>
      <c r="I300" s="10" t="str">
        <f>VLOOKUP(ClientDB[[#This Row],[Country Code]],'Lookup Lists'!$D$7:$E$59,2,0)</f>
        <v>United States</v>
      </c>
      <c r="J300" s="15">
        <v>1</v>
      </c>
      <c r="K300" s="15" t="str">
        <f>IF(ClientDB[[#This Row],[Start Date]]&gt;=$U$14,"New","")</f>
        <v/>
      </c>
      <c r="L300" s="15" t="str">
        <f>IF(AND(ClientDB[[#This Row],[Start Year]]&lt;2016,ClientDB[[#This Row],[Events]]&gt;=6),"Gift","")</f>
        <v/>
      </c>
      <c r="M30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00" s="15">
        <v>2</v>
      </c>
      <c r="O300" s="38">
        <f>ClientDB[[#This Row],[Days]]*(IF(ClientDB[[#This Row],[Days]]&gt;1,300,350))</f>
        <v>600</v>
      </c>
      <c r="P30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300" s="15" t="s">
        <v>901</v>
      </c>
      <c r="R300" s="15" t="str">
        <f>INDEX('Lookup Lists'!$H$7:$K$59,MATCH(ClientDB[[#This Row],[Country Code]],'Lookup Lists'!$G$7:$G$59,0),(MATCH(ClientDB[[#This Row],[Meal]],'Lookup Lists'!$H$6:$K$6,0)))</f>
        <v>G</v>
      </c>
    </row>
    <row r="301" spans="1:18" x14ac:dyDescent="0.2">
      <c r="A301" s="10">
        <v>34274</v>
      </c>
      <c r="B301" t="s">
        <v>412</v>
      </c>
      <c r="C301" t="s">
        <v>413</v>
      </c>
      <c r="D301" s="18">
        <v>42411</v>
      </c>
      <c r="E301" s="37">
        <f>YEAR(ClientDB[[#This Row],[Start Date]])</f>
        <v>2016</v>
      </c>
      <c r="F301" t="s">
        <v>823</v>
      </c>
      <c r="G301" t="str">
        <f>VLOOKUP(ClientDB[[#This Row],[Org Code]],'Lookup Lists'!$A$7:$B$52,2,0)</f>
        <v>Pilco Streambank</v>
      </c>
      <c r="H301" s="10" t="s">
        <v>34</v>
      </c>
      <c r="I301" s="10" t="str">
        <f>VLOOKUP(ClientDB[[#This Row],[Country Code]],'Lookup Lists'!$D$7:$E$59,2,0)</f>
        <v>United States</v>
      </c>
      <c r="J301" s="15">
        <v>7</v>
      </c>
      <c r="K301" s="15" t="str">
        <f>IF(ClientDB[[#This Row],[Start Date]]&gt;=$U$14,"New","")</f>
        <v/>
      </c>
      <c r="L301" s="15" t="str">
        <f>IF(AND(ClientDB[[#This Row],[Start Year]]&lt;2016,ClientDB[[#This Row],[Events]]&gt;=6),"Gift","")</f>
        <v/>
      </c>
      <c r="M30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01" s="15">
        <v>1</v>
      </c>
      <c r="O301" s="38">
        <f>ClientDB[[#This Row],[Days]]*(IF(ClientDB[[#This Row],[Days]]&gt;1,300,350))</f>
        <v>350</v>
      </c>
      <c r="P30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301" s="15" t="s">
        <v>900</v>
      </c>
      <c r="R301" s="15" t="str">
        <f>INDEX('Lookup Lists'!$H$7:$K$59,MATCH(ClientDB[[#This Row],[Country Code]],'Lookup Lists'!$G$7:$G$59,0),(MATCH(ClientDB[[#This Row],[Meal]],'Lookup Lists'!$H$6:$K$6,0)))</f>
        <v>F</v>
      </c>
    </row>
    <row r="302" spans="1:18" x14ac:dyDescent="0.2">
      <c r="A302" s="10">
        <v>34403</v>
      </c>
      <c r="B302" t="s">
        <v>372</v>
      </c>
      <c r="C302" t="s">
        <v>426</v>
      </c>
      <c r="D302" s="18">
        <v>42789</v>
      </c>
      <c r="E302" s="37">
        <f>YEAR(ClientDB[[#This Row],[Start Date]])</f>
        <v>2017</v>
      </c>
      <c r="F302" t="s">
        <v>827</v>
      </c>
      <c r="G302" t="str">
        <f>VLOOKUP(ClientDB[[#This Row],[Org Code]],'Lookup Lists'!$A$7:$B$52,2,0)</f>
        <v>Ripple Com</v>
      </c>
      <c r="H302" s="10" t="s">
        <v>15</v>
      </c>
      <c r="I302" s="10" t="str">
        <f>VLOOKUP(ClientDB[[#This Row],[Country Code]],'Lookup Lists'!$D$7:$E$59,2,0)</f>
        <v>United Kingdom</v>
      </c>
      <c r="J302" s="15">
        <v>2</v>
      </c>
      <c r="K302" s="15" t="str">
        <f>IF(ClientDB[[#This Row],[Start Date]]&gt;=$U$14,"New","")</f>
        <v/>
      </c>
      <c r="L302" s="15" t="str">
        <f>IF(AND(ClientDB[[#This Row],[Start Year]]&lt;2016,ClientDB[[#This Row],[Events]]&gt;=6),"Gift","")</f>
        <v/>
      </c>
      <c r="M30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02" s="15">
        <v>1</v>
      </c>
      <c r="O302" s="38">
        <f>ClientDB[[#This Row],[Days]]*(IF(ClientDB[[#This Row],[Days]]&gt;1,300,350))</f>
        <v>350</v>
      </c>
      <c r="P30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302" s="15" t="s">
        <v>900</v>
      </c>
      <c r="R302" s="15" t="str">
        <f>INDEX('Lookup Lists'!$H$7:$K$59,MATCH(ClientDB[[#This Row],[Country Code]],'Lookup Lists'!$G$7:$G$59,0),(MATCH(ClientDB[[#This Row],[Meal]],'Lookup Lists'!$H$6:$K$6,0)))</f>
        <v>A</v>
      </c>
    </row>
    <row r="303" spans="1:18" x14ac:dyDescent="0.2">
      <c r="A303" s="10">
        <v>34625</v>
      </c>
      <c r="B303" t="s">
        <v>460</v>
      </c>
      <c r="C303" t="s">
        <v>461</v>
      </c>
      <c r="D303" s="18">
        <v>43003</v>
      </c>
      <c r="E303" s="37">
        <f>YEAR(ClientDB[[#This Row],[Start Date]])</f>
        <v>2017</v>
      </c>
      <c r="F303" t="s">
        <v>838</v>
      </c>
      <c r="G303" t="str">
        <f>VLOOKUP(ClientDB[[#This Row],[Org Code]],'Lookup Lists'!$A$7:$B$52,2,0)</f>
        <v>xLAN Internet Exchange</v>
      </c>
      <c r="H303" s="10" t="s">
        <v>54</v>
      </c>
      <c r="I303" s="10" t="str">
        <f>VLOOKUP(ClientDB[[#This Row],[Country Code]],'Lookup Lists'!$D$7:$E$59,2,0)</f>
        <v>Romania</v>
      </c>
      <c r="J303" s="15">
        <v>4</v>
      </c>
      <c r="K303" s="15" t="str">
        <f>IF(ClientDB[[#This Row],[Start Date]]&gt;=$U$14,"New","")</f>
        <v/>
      </c>
      <c r="L303" s="15" t="str">
        <f>IF(AND(ClientDB[[#This Row],[Start Year]]&lt;2016,ClientDB[[#This Row],[Events]]&gt;=6),"Gift","")</f>
        <v/>
      </c>
      <c r="M30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03" s="15">
        <v>2</v>
      </c>
      <c r="O303" s="38">
        <f>ClientDB[[#This Row],[Days]]*(IF(ClientDB[[#This Row],[Days]]&gt;1,300,350))</f>
        <v>600</v>
      </c>
      <c r="P30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303" s="15" t="s">
        <v>902</v>
      </c>
      <c r="R303" s="15" t="str">
        <f>INDEX('Lookup Lists'!$H$7:$K$59,MATCH(ClientDB[[#This Row],[Country Code]],'Lookup Lists'!$G$7:$G$59,0),(MATCH(ClientDB[[#This Row],[Meal]],'Lookup Lists'!$H$6:$K$6,0)))</f>
        <v>C</v>
      </c>
    </row>
    <row r="304" spans="1:18" x14ac:dyDescent="0.2">
      <c r="A304" s="10">
        <v>34658</v>
      </c>
      <c r="B304" t="s">
        <v>309</v>
      </c>
      <c r="C304" t="s">
        <v>310</v>
      </c>
      <c r="D304" s="18">
        <v>43164</v>
      </c>
      <c r="E304" s="37">
        <f>YEAR(ClientDB[[#This Row],[Start Date]])</f>
        <v>2018</v>
      </c>
      <c r="F304" t="s">
        <v>813</v>
      </c>
      <c r="G304" t="str">
        <f>VLOOKUP(ClientDB[[#This Row],[Org Code]],'Lookup Lists'!$A$7:$B$52,2,0)</f>
        <v>HeatProof</v>
      </c>
      <c r="H304" s="10" t="s">
        <v>311</v>
      </c>
      <c r="I304" s="10" t="str">
        <f>VLOOKUP(ClientDB[[#This Row],[Country Code]],'Lookup Lists'!$D$7:$E$59,2,0)</f>
        <v>France</v>
      </c>
      <c r="J304" s="15">
        <v>5</v>
      </c>
      <c r="K304" s="15" t="str">
        <f>IF(ClientDB[[#This Row],[Start Date]]&gt;=$U$14,"New","")</f>
        <v/>
      </c>
      <c r="L304" s="15" t="str">
        <f>IF(AND(ClientDB[[#This Row],[Start Year]]&lt;2016,ClientDB[[#This Row],[Events]]&gt;=6),"Gift","")</f>
        <v/>
      </c>
      <c r="M30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04" s="15">
        <v>1</v>
      </c>
      <c r="O304" s="38">
        <f>ClientDB[[#This Row],[Days]]*(IF(ClientDB[[#This Row],[Days]]&gt;1,300,350))</f>
        <v>350</v>
      </c>
      <c r="P30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304" s="15" t="s">
        <v>901</v>
      </c>
      <c r="R304" s="15" t="str">
        <f>INDEX('Lookup Lists'!$H$7:$K$59,MATCH(ClientDB[[#This Row],[Country Code]],'Lookup Lists'!$G$7:$G$59,0),(MATCH(ClientDB[[#This Row],[Meal]],'Lookup Lists'!$H$6:$K$6,0)))</f>
        <v>D</v>
      </c>
    </row>
    <row r="305" spans="1:18" x14ac:dyDescent="0.2">
      <c r="A305" s="10">
        <v>34701</v>
      </c>
      <c r="B305" t="s">
        <v>47</v>
      </c>
      <c r="C305" t="s">
        <v>635</v>
      </c>
      <c r="D305" s="18">
        <v>42675</v>
      </c>
      <c r="E305" s="37">
        <f>YEAR(ClientDB[[#This Row],[Start Date]])</f>
        <v>2016</v>
      </c>
      <c r="F305" t="s">
        <v>805</v>
      </c>
      <c r="G305" t="str">
        <f>VLOOKUP(ClientDB[[#This Row],[Org Code]],'Lookup Lists'!$A$7:$B$52,2,0)</f>
        <v>Data Pro Sys</v>
      </c>
      <c r="H305" s="10" t="s">
        <v>59</v>
      </c>
      <c r="I305" s="10" t="str">
        <f>VLOOKUP(ClientDB[[#This Row],[Country Code]],'Lookup Lists'!$D$7:$E$59,2,0)</f>
        <v>Netherlands</v>
      </c>
      <c r="J305" s="15">
        <v>5</v>
      </c>
      <c r="K305" s="15" t="str">
        <f>IF(ClientDB[[#This Row],[Start Date]]&gt;=$U$14,"New","")</f>
        <v/>
      </c>
      <c r="L305" s="15" t="str">
        <f>IF(AND(ClientDB[[#This Row],[Start Year]]&lt;2016,ClientDB[[#This Row],[Events]]&gt;=6),"Gift","")</f>
        <v/>
      </c>
      <c r="M30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05" s="15">
        <v>2</v>
      </c>
      <c r="O305" s="38">
        <f>ClientDB[[#This Row],[Days]]*(IF(ClientDB[[#This Row],[Days]]&gt;1,300,350))</f>
        <v>600</v>
      </c>
      <c r="P30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305" s="15" t="s">
        <v>902</v>
      </c>
      <c r="R305" s="15" t="str">
        <f>INDEX('Lookup Lists'!$H$7:$K$59,MATCH(ClientDB[[#This Row],[Country Code]],'Lookup Lists'!$G$7:$G$59,0),(MATCH(ClientDB[[#This Row],[Meal]],'Lookup Lists'!$H$6:$K$6,0)))</f>
        <v>C</v>
      </c>
    </row>
    <row r="306" spans="1:18" x14ac:dyDescent="0.2">
      <c r="A306" s="10">
        <v>34787</v>
      </c>
      <c r="B306" t="s">
        <v>699</v>
      </c>
      <c r="C306" t="s">
        <v>700</v>
      </c>
      <c r="D306" s="18">
        <v>43941</v>
      </c>
      <c r="E306" s="37">
        <f>YEAR(ClientDB[[#This Row],[Start Date]])</f>
        <v>2020</v>
      </c>
      <c r="F306" t="s">
        <v>826</v>
      </c>
      <c r="G306" t="str">
        <f>VLOOKUP(ClientDB[[#This Row],[Org Code]],'Lookup Lists'!$A$7:$B$52,2,0)</f>
        <v>Respira Networks</v>
      </c>
      <c r="H306" s="10" t="s">
        <v>155</v>
      </c>
      <c r="I306" s="10" t="str">
        <f>VLOOKUP(ClientDB[[#This Row],[Country Code]],'Lookup Lists'!$D$7:$E$59,2,0)</f>
        <v>United Arab Emirates</v>
      </c>
      <c r="J306" s="15">
        <v>1</v>
      </c>
      <c r="K306" s="15" t="str">
        <f>IF(ClientDB[[#This Row],[Start Date]]&gt;=$U$14,"New","")</f>
        <v>New</v>
      </c>
      <c r="L306" s="15" t="str">
        <f>IF(AND(ClientDB[[#This Row],[Start Year]]&lt;2016,ClientDB[[#This Row],[Events]]&gt;=6),"Gift","")</f>
        <v/>
      </c>
      <c r="M30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06" s="15">
        <v>1</v>
      </c>
      <c r="O306" s="38">
        <f>ClientDB[[#This Row],[Days]]*(IF(ClientDB[[#This Row],[Days]]&gt;1,300,350))</f>
        <v>350</v>
      </c>
      <c r="P30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306" s="15" t="s">
        <v>902</v>
      </c>
      <c r="R306" s="15" t="str">
        <f>INDEX('Lookup Lists'!$H$7:$K$59,MATCH(ClientDB[[#This Row],[Country Code]],'Lookup Lists'!$G$7:$G$59,0),(MATCH(ClientDB[[#This Row],[Meal]],'Lookup Lists'!$H$6:$K$6,0)))</f>
        <v>B</v>
      </c>
    </row>
    <row r="307" spans="1:18" x14ac:dyDescent="0.2">
      <c r="A307" s="10">
        <v>34974</v>
      </c>
      <c r="B307" t="s">
        <v>472</v>
      </c>
      <c r="C307" t="s">
        <v>473</v>
      </c>
      <c r="D307" s="18">
        <v>42762</v>
      </c>
      <c r="E307" s="37">
        <f>YEAR(ClientDB[[#This Row],[Start Date]])</f>
        <v>2017</v>
      </c>
      <c r="F307" t="s">
        <v>815</v>
      </c>
      <c r="G307" t="str">
        <f>VLOOKUP(ClientDB[[#This Row],[Org Code]],'Lookup Lists'!$A$7:$B$52,2,0)</f>
        <v>Intelligence Systems</v>
      </c>
      <c r="H307" s="10" t="s">
        <v>124</v>
      </c>
      <c r="I307" s="10" t="str">
        <f>VLOOKUP(ClientDB[[#This Row],[Country Code]],'Lookup Lists'!$D$7:$E$59,2,0)</f>
        <v>Lebanon</v>
      </c>
      <c r="J307" s="15">
        <v>3</v>
      </c>
      <c r="K307" s="15" t="str">
        <f>IF(ClientDB[[#This Row],[Start Date]]&gt;=$U$14,"New","")</f>
        <v/>
      </c>
      <c r="L307" s="15" t="str">
        <f>IF(AND(ClientDB[[#This Row],[Start Year]]&lt;2016,ClientDB[[#This Row],[Events]]&gt;=6),"Gift","")</f>
        <v/>
      </c>
      <c r="M30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07" s="15">
        <v>3</v>
      </c>
      <c r="O307" s="38">
        <f>ClientDB[[#This Row],[Days]]*(IF(ClientDB[[#This Row],[Days]]&gt;1,300,350))</f>
        <v>900</v>
      </c>
      <c r="P30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307" s="15" t="s">
        <v>902</v>
      </c>
      <c r="R307" s="15" t="str">
        <f>INDEX('Lookup Lists'!$H$7:$K$59,MATCH(ClientDB[[#This Row],[Country Code]],'Lookup Lists'!$G$7:$G$59,0),(MATCH(ClientDB[[#This Row],[Meal]],'Lookup Lists'!$H$6:$K$6,0)))</f>
        <v>C</v>
      </c>
    </row>
    <row r="308" spans="1:18" x14ac:dyDescent="0.2">
      <c r="A308" s="10">
        <v>35066</v>
      </c>
      <c r="B308" t="s">
        <v>406</v>
      </c>
      <c r="C308" t="s">
        <v>482</v>
      </c>
      <c r="D308" s="18">
        <v>42939</v>
      </c>
      <c r="E308" s="37">
        <f>YEAR(ClientDB[[#This Row],[Start Date]])</f>
        <v>2017</v>
      </c>
      <c r="F308" t="s">
        <v>820</v>
      </c>
      <c r="G308" t="str">
        <f>VLOOKUP(ClientDB[[#This Row],[Org Code]],'Lookup Lists'!$A$7:$B$52,2,0)</f>
        <v>Oglev</v>
      </c>
      <c r="H308" s="10" t="s">
        <v>124</v>
      </c>
      <c r="I308" s="10" t="str">
        <f>VLOOKUP(ClientDB[[#This Row],[Country Code]],'Lookup Lists'!$D$7:$E$59,2,0)</f>
        <v>Lebanon</v>
      </c>
      <c r="J308" s="15">
        <v>3</v>
      </c>
      <c r="K308" s="15" t="str">
        <f>IF(ClientDB[[#This Row],[Start Date]]&gt;=$U$14,"New","")</f>
        <v/>
      </c>
      <c r="L308" s="15" t="str">
        <f>IF(AND(ClientDB[[#This Row],[Start Year]]&lt;2016,ClientDB[[#This Row],[Events]]&gt;=6),"Gift","")</f>
        <v/>
      </c>
      <c r="M30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08" s="15">
        <v>2</v>
      </c>
      <c r="O308" s="38">
        <f>ClientDB[[#This Row],[Days]]*(IF(ClientDB[[#This Row],[Days]]&gt;1,300,350))</f>
        <v>600</v>
      </c>
      <c r="P30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308" s="15" t="s">
        <v>899</v>
      </c>
      <c r="R308" s="15" t="str">
        <f>INDEX('Lookup Lists'!$H$7:$K$59,MATCH(ClientDB[[#This Row],[Country Code]],'Lookup Lists'!$G$7:$G$59,0),(MATCH(ClientDB[[#This Row],[Meal]],'Lookup Lists'!$H$6:$K$6,0)))</f>
        <v>B</v>
      </c>
    </row>
    <row r="309" spans="1:18" x14ac:dyDescent="0.2">
      <c r="A309" s="10">
        <v>35074</v>
      </c>
      <c r="B309" t="s">
        <v>414</v>
      </c>
      <c r="C309" t="s">
        <v>415</v>
      </c>
      <c r="D309" s="18">
        <v>42209</v>
      </c>
      <c r="E309" s="37">
        <f>YEAR(ClientDB[[#This Row],[Start Date]])</f>
        <v>2015</v>
      </c>
      <c r="F309" t="s">
        <v>820</v>
      </c>
      <c r="G309" t="str">
        <f>VLOOKUP(ClientDB[[#This Row],[Org Code]],'Lookup Lists'!$A$7:$B$52,2,0)</f>
        <v>Oglev</v>
      </c>
      <c r="H309" s="10" t="s">
        <v>416</v>
      </c>
      <c r="I309" s="10" t="str">
        <f>VLOOKUP(ClientDB[[#This Row],[Country Code]],'Lookup Lists'!$D$7:$E$59,2,0)</f>
        <v>Kenya</v>
      </c>
      <c r="J309" s="15">
        <v>8</v>
      </c>
      <c r="K309" s="15" t="str">
        <f>IF(ClientDB[[#This Row],[Start Date]]&gt;=$U$14,"New","")</f>
        <v/>
      </c>
      <c r="L309" s="15" t="str">
        <f>IF(AND(ClientDB[[#This Row],[Start Year]]&lt;2016,ClientDB[[#This Row],[Events]]&gt;=6),"Gift","")</f>
        <v>Gift</v>
      </c>
      <c r="M30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09" s="15">
        <v>3</v>
      </c>
      <c r="O309" s="38">
        <f>ClientDB[[#This Row],[Days]]*(IF(ClientDB[[#This Row],[Days]]&gt;1,300,350))</f>
        <v>900</v>
      </c>
      <c r="P30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309" s="15" t="s">
        <v>902</v>
      </c>
      <c r="R309" s="15" t="str">
        <f>INDEX('Lookup Lists'!$H$7:$K$59,MATCH(ClientDB[[#This Row],[Country Code]],'Lookup Lists'!$G$7:$G$59,0),(MATCH(ClientDB[[#This Row],[Meal]],'Lookup Lists'!$H$6:$K$6,0)))</f>
        <v>C</v>
      </c>
    </row>
    <row r="310" spans="1:18" x14ac:dyDescent="0.2">
      <c r="A310" s="10">
        <v>35075</v>
      </c>
      <c r="B310" t="s">
        <v>466</v>
      </c>
      <c r="C310" t="s">
        <v>458</v>
      </c>
      <c r="D310" s="18">
        <v>42780</v>
      </c>
      <c r="E310" s="37">
        <f>YEAR(ClientDB[[#This Row],[Start Date]])</f>
        <v>2017</v>
      </c>
      <c r="F310" t="s">
        <v>804</v>
      </c>
      <c r="G310" t="str">
        <f>VLOOKUP(ClientDB[[#This Row],[Org Code]],'Lookup Lists'!$A$7:$B$52,2,0)</f>
        <v>Cyber Data Processing</v>
      </c>
      <c r="H310" s="10" t="s">
        <v>155</v>
      </c>
      <c r="I310" s="10" t="str">
        <f>VLOOKUP(ClientDB[[#This Row],[Country Code]],'Lookup Lists'!$D$7:$E$59,2,0)</f>
        <v>United Arab Emirates</v>
      </c>
      <c r="J310" s="15">
        <v>3</v>
      </c>
      <c r="K310" s="15" t="str">
        <f>IF(ClientDB[[#This Row],[Start Date]]&gt;=$U$14,"New","")</f>
        <v/>
      </c>
      <c r="L310" s="15" t="str">
        <f>IF(AND(ClientDB[[#This Row],[Start Year]]&lt;2016,ClientDB[[#This Row],[Events]]&gt;=6),"Gift","")</f>
        <v/>
      </c>
      <c r="M31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10" s="15">
        <v>1</v>
      </c>
      <c r="O310" s="38">
        <f>ClientDB[[#This Row],[Days]]*(IF(ClientDB[[#This Row],[Days]]&gt;1,300,350))</f>
        <v>350</v>
      </c>
      <c r="P31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310" s="15" t="s">
        <v>902</v>
      </c>
      <c r="R310" s="15" t="str">
        <f>INDEX('Lookup Lists'!$H$7:$K$59,MATCH(ClientDB[[#This Row],[Country Code]],'Lookup Lists'!$G$7:$G$59,0),(MATCH(ClientDB[[#This Row],[Meal]],'Lookup Lists'!$H$6:$K$6,0)))</f>
        <v>B</v>
      </c>
    </row>
    <row r="311" spans="1:18" x14ac:dyDescent="0.2">
      <c r="A311" s="10">
        <v>35131</v>
      </c>
      <c r="B311" t="s">
        <v>67</v>
      </c>
      <c r="C311" t="s">
        <v>68</v>
      </c>
      <c r="D311" s="18">
        <v>42886</v>
      </c>
      <c r="E311" s="37">
        <f>YEAR(ClientDB[[#This Row],[Start Date]])</f>
        <v>2017</v>
      </c>
      <c r="F311" t="s">
        <v>799</v>
      </c>
      <c r="G311" t="str">
        <f>VLOOKUP(ClientDB[[#This Row],[Org Code]],'Lookup Lists'!$A$7:$B$52,2,0)</f>
        <v>ByteSize</v>
      </c>
      <c r="H311" s="10" t="s">
        <v>15</v>
      </c>
      <c r="I311" s="10" t="str">
        <f>VLOOKUP(ClientDB[[#This Row],[Country Code]],'Lookup Lists'!$D$7:$E$59,2,0)</f>
        <v>United Kingdom</v>
      </c>
      <c r="J311" s="15">
        <v>8</v>
      </c>
      <c r="K311" s="15" t="str">
        <f>IF(ClientDB[[#This Row],[Start Date]]&gt;=$U$14,"New","")</f>
        <v/>
      </c>
      <c r="L311" s="15" t="str">
        <f>IF(AND(ClientDB[[#This Row],[Start Year]]&lt;2016,ClientDB[[#This Row],[Events]]&gt;=6),"Gift","")</f>
        <v/>
      </c>
      <c r="M31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11" s="15">
        <v>3</v>
      </c>
      <c r="O311" s="38">
        <f>ClientDB[[#This Row],[Days]]*(IF(ClientDB[[#This Row],[Days]]&gt;1,300,350))</f>
        <v>900</v>
      </c>
      <c r="P31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311" s="15" t="s">
        <v>902</v>
      </c>
      <c r="R311" s="15" t="str">
        <f>INDEX('Lookup Lists'!$H$7:$K$59,MATCH(ClientDB[[#This Row],[Country Code]],'Lookup Lists'!$G$7:$G$59,0),(MATCH(ClientDB[[#This Row],[Meal]],'Lookup Lists'!$H$6:$K$6,0)))</f>
        <v>B</v>
      </c>
    </row>
    <row r="312" spans="1:18" x14ac:dyDescent="0.2">
      <c r="A312" s="10">
        <v>35160</v>
      </c>
      <c r="B312" t="s">
        <v>649</v>
      </c>
      <c r="C312" t="s">
        <v>650</v>
      </c>
      <c r="D312" s="18">
        <v>43954</v>
      </c>
      <c r="E312" s="37">
        <f>YEAR(ClientDB[[#This Row],[Start Date]])</f>
        <v>2020</v>
      </c>
      <c r="F312" t="s">
        <v>798</v>
      </c>
      <c r="G312" t="str">
        <f>VLOOKUP(ClientDB[[#This Row],[Org Code]],'Lookup Lists'!$A$7:$B$52,2,0)</f>
        <v>Axell Group</v>
      </c>
      <c r="H312" s="10" t="s">
        <v>78</v>
      </c>
      <c r="I312" s="10" t="str">
        <f>VLOOKUP(ClientDB[[#This Row],[Country Code]],'Lookup Lists'!$D$7:$E$59,2,0)</f>
        <v>Sweden</v>
      </c>
      <c r="J312" s="15">
        <v>2</v>
      </c>
      <c r="K312" s="15" t="str">
        <f>IF(ClientDB[[#This Row],[Start Date]]&gt;=$U$14,"New","")</f>
        <v>New</v>
      </c>
      <c r="L312" s="15" t="str">
        <f>IF(AND(ClientDB[[#This Row],[Start Year]]&lt;2016,ClientDB[[#This Row],[Events]]&gt;=6),"Gift","")</f>
        <v/>
      </c>
      <c r="M31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12" s="15">
        <v>2</v>
      </c>
      <c r="O312" s="38">
        <f>ClientDB[[#This Row],[Days]]*(IF(ClientDB[[#This Row],[Days]]&gt;1,300,350))</f>
        <v>600</v>
      </c>
      <c r="P31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312" s="15" t="s">
        <v>901</v>
      </c>
      <c r="R312" s="15" t="str">
        <f>INDEX('Lookup Lists'!$H$7:$K$59,MATCH(ClientDB[[#This Row],[Country Code]],'Lookup Lists'!$G$7:$G$59,0),(MATCH(ClientDB[[#This Row],[Meal]],'Lookup Lists'!$H$6:$K$6,0)))</f>
        <v>G</v>
      </c>
    </row>
    <row r="313" spans="1:18" x14ac:dyDescent="0.2">
      <c r="A313" s="10">
        <v>35181</v>
      </c>
      <c r="B313" t="s">
        <v>55</v>
      </c>
      <c r="C313" t="s">
        <v>56</v>
      </c>
      <c r="D313" s="18">
        <v>43169</v>
      </c>
      <c r="E313" s="37">
        <f>YEAR(ClientDB[[#This Row],[Start Date]])</f>
        <v>2018</v>
      </c>
      <c r="F313" t="s">
        <v>806</v>
      </c>
      <c r="G313" t="str">
        <f>VLOOKUP(ClientDB[[#This Row],[Org Code]],'Lookup Lists'!$A$7:$B$52,2,0)</f>
        <v>DENIL</v>
      </c>
      <c r="H313" s="10" t="s">
        <v>34</v>
      </c>
      <c r="I313" s="10" t="str">
        <f>VLOOKUP(ClientDB[[#This Row],[Country Code]],'Lookup Lists'!$D$7:$E$59,2,0)</f>
        <v>United States</v>
      </c>
      <c r="J313" s="15">
        <v>2</v>
      </c>
      <c r="K313" s="15" t="str">
        <f>IF(ClientDB[[#This Row],[Start Date]]&gt;=$U$14,"New","")</f>
        <v/>
      </c>
      <c r="L313" s="15" t="str">
        <f>IF(AND(ClientDB[[#This Row],[Start Year]]&lt;2016,ClientDB[[#This Row],[Events]]&gt;=6),"Gift","")</f>
        <v/>
      </c>
      <c r="M31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13" s="15">
        <v>2</v>
      </c>
      <c r="O313" s="38">
        <f>ClientDB[[#This Row],[Days]]*(IF(ClientDB[[#This Row],[Days]]&gt;1,300,350))</f>
        <v>600</v>
      </c>
      <c r="P31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313" s="15" t="s">
        <v>900</v>
      </c>
      <c r="R313" s="15" t="str">
        <f>INDEX('Lookup Lists'!$H$7:$K$59,MATCH(ClientDB[[#This Row],[Country Code]],'Lookup Lists'!$G$7:$G$59,0),(MATCH(ClientDB[[#This Row],[Meal]],'Lookup Lists'!$H$6:$K$6,0)))</f>
        <v>F</v>
      </c>
    </row>
    <row r="314" spans="1:18" x14ac:dyDescent="0.2">
      <c r="A314" s="10">
        <v>35213</v>
      </c>
      <c r="B314" t="s">
        <v>70</v>
      </c>
      <c r="C314" t="s">
        <v>71</v>
      </c>
      <c r="D314" s="18">
        <v>42757</v>
      </c>
      <c r="E314" s="37">
        <f>YEAR(ClientDB[[#This Row],[Start Date]])</f>
        <v>2017</v>
      </c>
      <c r="F314" t="s">
        <v>827</v>
      </c>
      <c r="G314" t="str">
        <f>VLOOKUP(ClientDB[[#This Row],[Org Code]],'Lookup Lists'!$A$7:$B$52,2,0)</f>
        <v>Ripple Com</v>
      </c>
      <c r="H314" s="10" t="s">
        <v>15</v>
      </c>
      <c r="I314" s="10" t="str">
        <f>VLOOKUP(ClientDB[[#This Row],[Country Code]],'Lookup Lists'!$D$7:$E$59,2,0)</f>
        <v>United Kingdom</v>
      </c>
      <c r="J314" s="15">
        <v>3</v>
      </c>
      <c r="K314" s="15" t="str">
        <f>IF(ClientDB[[#This Row],[Start Date]]&gt;=$U$14,"New","")</f>
        <v/>
      </c>
      <c r="L314" s="15" t="str">
        <f>IF(AND(ClientDB[[#This Row],[Start Year]]&lt;2016,ClientDB[[#This Row],[Events]]&gt;=6),"Gift","")</f>
        <v/>
      </c>
      <c r="M31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14" s="15">
        <v>3</v>
      </c>
      <c r="O314" s="38">
        <f>ClientDB[[#This Row],[Days]]*(IF(ClientDB[[#This Row],[Days]]&gt;1,300,350))</f>
        <v>900</v>
      </c>
      <c r="P31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314" s="15" t="s">
        <v>899</v>
      </c>
      <c r="R314" s="15" t="str">
        <f>INDEX('Lookup Lists'!$H$7:$K$59,MATCH(ClientDB[[#This Row],[Country Code]],'Lookup Lists'!$G$7:$G$59,0),(MATCH(ClientDB[[#This Row],[Meal]],'Lookup Lists'!$H$6:$K$6,0)))</f>
        <v>A</v>
      </c>
    </row>
    <row r="315" spans="1:18" x14ac:dyDescent="0.2">
      <c r="A315" s="10">
        <v>35268</v>
      </c>
      <c r="B315" t="s">
        <v>212</v>
      </c>
      <c r="C315" t="s">
        <v>213</v>
      </c>
      <c r="D315" s="18">
        <v>43677</v>
      </c>
      <c r="E315" s="37">
        <f>YEAR(ClientDB[[#This Row],[Start Date]])</f>
        <v>2019</v>
      </c>
      <c r="F315" t="s">
        <v>796</v>
      </c>
      <c r="G315" t="str">
        <f>VLOOKUP(ClientDB[[#This Row],[Org Code]],'Lookup Lists'!$A$7:$B$52,2,0)</f>
        <v>Ares</v>
      </c>
      <c r="H315" s="10" t="s">
        <v>186</v>
      </c>
      <c r="I315" s="10" t="str">
        <f>VLOOKUP(ClientDB[[#This Row],[Country Code]],'Lookup Lists'!$D$7:$E$59,2,0)</f>
        <v>Slovenia</v>
      </c>
      <c r="J315" s="15">
        <v>4</v>
      </c>
      <c r="K315" s="15" t="str">
        <f>IF(ClientDB[[#This Row],[Start Date]]&gt;=$U$14,"New","")</f>
        <v/>
      </c>
      <c r="L315" s="15" t="str">
        <f>IF(AND(ClientDB[[#This Row],[Start Year]]&lt;2016,ClientDB[[#This Row],[Events]]&gt;=6),"Gift","")</f>
        <v/>
      </c>
      <c r="M31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15" s="15">
        <v>3</v>
      </c>
      <c r="O315" s="38">
        <f>ClientDB[[#This Row],[Days]]*(IF(ClientDB[[#This Row],[Days]]&gt;1,300,350))</f>
        <v>900</v>
      </c>
      <c r="P31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315" s="15" t="s">
        <v>902</v>
      </c>
      <c r="R315" s="15" t="str">
        <f>INDEX('Lookup Lists'!$H$7:$K$59,MATCH(ClientDB[[#This Row],[Country Code]],'Lookup Lists'!$G$7:$G$59,0),(MATCH(ClientDB[[#This Row],[Meal]],'Lookup Lists'!$H$6:$K$6,0)))</f>
        <v>C</v>
      </c>
    </row>
    <row r="316" spans="1:18" x14ac:dyDescent="0.2">
      <c r="A316" s="10">
        <v>35410</v>
      </c>
      <c r="B316" t="s">
        <v>525</v>
      </c>
      <c r="C316" t="s">
        <v>526</v>
      </c>
      <c r="D316" s="18">
        <v>43462</v>
      </c>
      <c r="E316" s="37">
        <f>YEAR(ClientDB[[#This Row],[Start Date]])</f>
        <v>2018</v>
      </c>
      <c r="F316" t="s">
        <v>820</v>
      </c>
      <c r="G316" t="str">
        <f>VLOOKUP(ClientDB[[#This Row],[Org Code]],'Lookup Lists'!$A$7:$B$52,2,0)</f>
        <v>Oglev</v>
      </c>
      <c r="H316" s="10" t="s">
        <v>42</v>
      </c>
      <c r="I316" s="10" t="str">
        <f>VLOOKUP(ClientDB[[#This Row],[Country Code]],'Lookup Lists'!$D$7:$E$59,2,0)</f>
        <v>Slovakia</v>
      </c>
      <c r="J316" s="15">
        <v>2</v>
      </c>
      <c r="K316" s="15" t="str">
        <f>IF(ClientDB[[#This Row],[Start Date]]&gt;=$U$14,"New","")</f>
        <v/>
      </c>
      <c r="L316" s="15" t="str">
        <f>IF(AND(ClientDB[[#This Row],[Start Year]]&lt;2016,ClientDB[[#This Row],[Events]]&gt;=6),"Gift","")</f>
        <v/>
      </c>
      <c r="M31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16" s="15">
        <v>1</v>
      </c>
      <c r="O316" s="38">
        <f>ClientDB[[#This Row],[Days]]*(IF(ClientDB[[#This Row],[Days]]&gt;1,300,350))</f>
        <v>350</v>
      </c>
      <c r="P31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316" s="15" t="s">
        <v>901</v>
      </c>
      <c r="R316" s="15" t="str">
        <f>INDEX('Lookup Lists'!$H$7:$K$59,MATCH(ClientDB[[#This Row],[Country Code]],'Lookup Lists'!$G$7:$G$59,0),(MATCH(ClientDB[[#This Row],[Meal]],'Lookup Lists'!$H$6:$K$6,0)))</f>
        <v>G</v>
      </c>
    </row>
    <row r="317" spans="1:18" x14ac:dyDescent="0.2">
      <c r="A317" s="10">
        <v>35444</v>
      </c>
      <c r="B317" t="s">
        <v>263</v>
      </c>
      <c r="C317" t="s">
        <v>606</v>
      </c>
      <c r="D317" s="18">
        <v>43795</v>
      </c>
      <c r="E317" s="37">
        <f>YEAR(ClientDB[[#This Row],[Start Date]])</f>
        <v>2019</v>
      </c>
      <c r="F317" t="s">
        <v>837</v>
      </c>
      <c r="G317" t="str">
        <f>VLOOKUP(ClientDB[[#This Row],[Org Code]],'Lookup Lists'!$A$7:$B$52,2,0)</f>
        <v>WWT</v>
      </c>
      <c r="H317" s="10" t="s">
        <v>46</v>
      </c>
      <c r="I317" s="10" t="str">
        <f>VLOOKUP(ClientDB[[#This Row],[Country Code]],'Lookup Lists'!$D$7:$E$59,2,0)</f>
        <v>Germany</v>
      </c>
      <c r="J317" s="15">
        <v>3</v>
      </c>
      <c r="K317" s="15" t="str">
        <f>IF(ClientDB[[#This Row],[Start Date]]&gt;=$U$14,"New","")</f>
        <v/>
      </c>
      <c r="L317" s="15" t="str">
        <f>IF(AND(ClientDB[[#This Row],[Start Year]]&lt;2016,ClientDB[[#This Row],[Events]]&gt;=6),"Gift","")</f>
        <v/>
      </c>
      <c r="M31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17" s="15">
        <v>2</v>
      </c>
      <c r="O317" s="38">
        <f>ClientDB[[#This Row],[Days]]*(IF(ClientDB[[#This Row],[Days]]&gt;1,300,350))</f>
        <v>600</v>
      </c>
      <c r="P31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317" s="15" t="s">
        <v>900</v>
      </c>
      <c r="R317" s="15" t="str">
        <f>INDEX('Lookup Lists'!$H$7:$K$59,MATCH(ClientDB[[#This Row],[Country Code]],'Lookup Lists'!$G$7:$G$59,0),(MATCH(ClientDB[[#This Row],[Meal]],'Lookup Lists'!$H$6:$K$6,0)))</f>
        <v>A</v>
      </c>
    </row>
    <row r="318" spans="1:18" x14ac:dyDescent="0.2">
      <c r="A318" s="10">
        <v>35525</v>
      </c>
      <c r="B318" t="s">
        <v>138</v>
      </c>
      <c r="C318" t="s">
        <v>139</v>
      </c>
      <c r="D318" s="18">
        <v>42935</v>
      </c>
      <c r="E318" s="37">
        <f>YEAR(ClientDB[[#This Row],[Start Date]])</f>
        <v>2017</v>
      </c>
      <c r="F318" t="s">
        <v>795</v>
      </c>
      <c r="G318" t="str">
        <f>VLOOKUP(ClientDB[[#This Row],[Org Code]],'Lookup Lists'!$A$7:$B$52,2,0)</f>
        <v>AHA Networks</v>
      </c>
      <c r="H318" s="10" t="s">
        <v>11</v>
      </c>
      <c r="I318" s="10" t="str">
        <f>VLOOKUP(ClientDB[[#This Row],[Country Code]],'Lookup Lists'!$D$7:$E$59,2,0)</f>
        <v>Austria</v>
      </c>
      <c r="J318" s="15">
        <v>11</v>
      </c>
      <c r="K318" s="15" t="str">
        <f>IF(ClientDB[[#This Row],[Start Date]]&gt;=$U$14,"New","")</f>
        <v/>
      </c>
      <c r="L318" s="15" t="str">
        <f>IF(AND(ClientDB[[#This Row],[Start Year]]&lt;2016,ClientDB[[#This Row],[Events]]&gt;=6),"Gift","")</f>
        <v/>
      </c>
      <c r="M31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318" s="15">
        <v>1</v>
      </c>
      <c r="O318" s="38">
        <f>ClientDB[[#This Row],[Days]]*(IF(ClientDB[[#This Row],[Days]]&gt;1,300,350))</f>
        <v>350</v>
      </c>
      <c r="P31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318" s="15" t="s">
        <v>901</v>
      </c>
      <c r="R318" s="15" t="str">
        <f>INDEX('Lookup Lists'!$H$7:$K$59,MATCH(ClientDB[[#This Row],[Country Code]],'Lookup Lists'!$G$7:$G$59,0),(MATCH(ClientDB[[#This Row],[Meal]],'Lookup Lists'!$H$6:$K$6,0)))</f>
        <v>D</v>
      </c>
    </row>
    <row r="319" spans="1:18" x14ac:dyDescent="0.2">
      <c r="A319" s="10">
        <v>35718</v>
      </c>
      <c r="B319" t="s">
        <v>298</v>
      </c>
      <c r="C319" t="s">
        <v>299</v>
      </c>
      <c r="D319" s="18">
        <v>43485</v>
      </c>
      <c r="E319" s="37">
        <f>YEAR(ClientDB[[#This Row],[Start Date]])</f>
        <v>2019</v>
      </c>
      <c r="F319" t="s">
        <v>809</v>
      </c>
      <c r="G319" t="str">
        <f>VLOOKUP(ClientDB[[#This Row],[Org Code]],'Lookup Lists'!$A$7:$B$52,2,0)</f>
        <v>Epsilon Tech</v>
      </c>
      <c r="H319" s="10" t="s">
        <v>15</v>
      </c>
      <c r="I319" s="10" t="str">
        <f>VLOOKUP(ClientDB[[#This Row],[Country Code]],'Lookup Lists'!$D$7:$E$59,2,0)</f>
        <v>United Kingdom</v>
      </c>
      <c r="J319" s="15">
        <v>2</v>
      </c>
      <c r="K319" s="15" t="str">
        <f>IF(ClientDB[[#This Row],[Start Date]]&gt;=$U$14,"New","")</f>
        <v/>
      </c>
      <c r="L319" s="15" t="str">
        <f>IF(AND(ClientDB[[#This Row],[Start Year]]&lt;2016,ClientDB[[#This Row],[Events]]&gt;=6),"Gift","")</f>
        <v/>
      </c>
      <c r="M31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19" s="15">
        <v>1</v>
      </c>
      <c r="O319" s="38">
        <f>ClientDB[[#This Row],[Days]]*(IF(ClientDB[[#This Row],[Days]]&gt;1,300,350))</f>
        <v>350</v>
      </c>
      <c r="P31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319" s="15" t="s">
        <v>900</v>
      </c>
      <c r="R319" s="15" t="str">
        <f>INDEX('Lookup Lists'!$H$7:$K$59,MATCH(ClientDB[[#This Row],[Country Code]],'Lookup Lists'!$G$7:$G$59,0),(MATCH(ClientDB[[#This Row],[Meal]],'Lookup Lists'!$H$6:$K$6,0)))</f>
        <v>A</v>
      </c>
    </row>
    <row r="320" spans="1:18" x14ac:dyDescent="0.2">
      <c r="A320" s="10">
        <v>35888</v>
      </c>
      <c r="B320" t="s">
        <v>376</v>
      </c>
      <c r="C320" t="s">
        <v>377</v>
      </c>
      <c r="D320" s="18">
        <v>42491</v>
      </c>
      <c r="E320" s="37">
        <f>YEAR(ClientDB[[#This Row],[Start Date]])</f>
        <v>2016</v>
      </c>
      <c r="F320" t="s">
        <v>827</v>
      </c>
      <c r="G320" t="str">
        <f>VLOOKUP(ClientDB[[#This Row],[Org Code]],'Lookup Lists'!$A$7:$B$52,2,0)</f>
        <v>Ripple Com</v>
      </c>
      <c r="H320" s="10" t="s">
        <v>34</v>
      </c>
      <c r="I320" s="10" t="str">
        <f>VLOOKUP(ClientDB[[#This Row],[Country Code]],'Lookup Lists'!$D$7:$E$59,2,0)</f>
        <v>United States</v>
      </c>
      <c r="J320" s="15">
        <v>9</v>
      </c>
      <c r="K320" s="15" t="str">
        <f>IF(ClientDB[[#This Row],[Start Date]]&gt;=$U$14,"New","")</f>
        <v/>
      </c>
      <c r="L320" s="15" t="str">
        <f>IF(AND(ClientDB[[#This Row],[Start Year]]&lt;2016,ClientDB[[#This Row],[Events]]&gt;=6),"Gift","")</f>
        <v/>
      </c>
      <c r="M32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20" s="15">
        <v>2</v>
      </c>
      <c r="O320" s="38">
        <f>ClientDB[[#This Row],[Days]]*(IF(ClientDB[[#This Row],[Days]]&gt;1,300,350))</f>
        <v>600</v>
      </c>
      <c r="P32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320" s="15" t="s">
        <v>899</v>
      </c>
      <c r="R320" s="15" t="str">
        <f>INDEX('Lookup Lists'!$H$7:$K$59,MATCH(ClientDB[[#This Row],[Country Code]],'Lookup Lists'!$G$7:$G$59,0),(MATCH(ClientDB[[#This Row],[Meal]],'Lookup Lists'!$H$6:$K$6,0)))</f>
        <v>F</v>
      </c>
    </row>
    <row r="321" spans="1:18" x14ac:dyDescent="0.2">
      <c r="A321" s="10">
        <v>36037</v>
      </c>
      <c r="B321" t="s">
        <v>12</v>
      </c>
      <c r="C321" t="s">
        <v>13</v>
      </c>
      <c r="D321" s="18">
        <v>43264</v>
      </c>
      <c r="E321" s="37">
        <f>YEAR(ClientDB[[#This Row],[Start Date]])</f>
        <v>2018</v>
      </c>
      <c r="F321" t="s">
        <v>801</v>
      </c>
      <c r="G321" t="str">
        <f>VLOOKUP(ClientDB[[#This Row],[Org Code]],'Lookup Lists'!$A$7:$B$52,2,0)</f>
        <v>Collings University</v>
      </c>
      <c r="H321" s="10" t="s">
        <v>15</v>
      </c>
      <c r="I321" s="10" t="str">
        <f>VLOOKUP(ClientDB[[#This Row],[Country Code]],'Lookup Lists'!$D$7:$E$59,2,0)</f>
        <v>United Kingdom</v>
      </c>
      <c r="J321" s="15">
        <v>3</v>
      </c>
      <c r="K321" s="15" t="str">
        <f>IF(ClientDB[[#This Row],[Start Date]]&gt;=$U$14,"New","")</f>
        <v/>
      </c>
      <c r="L321" s="15" t="str">
        <f>IF(AND(ClientDB[[#This Row],[Start Year]]&lt;2016,ClientDB[[#This Row],[Events]]&gt;=6),"Gift","")</f>
        <v/>
      </c>
      <c r="M32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21" s="15">
        <v>1</v>
      </c>
      <c r="O321" s="38">
        <f>ClientDB[[#This Row],[Days]]*(IF(ClientDB[[#This Row],[Days]]&gt;1,300,350))</f>
        <v>350</v>
      </c>
      <c r="P32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321" s="15" t="s">
        <v>899</v>
      </c>
      <c r="R321" s="15" t="str">
        <f>INDEX('Lookup Lists'!$H$7:$K$59,MATCH(ClientDB[[#This Row],[Country Code]],'Lookup Lists'!$G$7:$G$59,0),(MATCH(ClientDB[[#This Row],[Meal]],'Lookup Lists'!$H$6:$K$6,0)))</f>
        <v>A</v>
      </c>
    </row>
    <row r="322" spans="1:18" x14ac:dyDescent="0.2">
      <c r="A322" s="10">
        <v>36207</v>
      </c>
      <c r="B322" t="s">
        <v>225</v>
      </c>
      <c r="C322" t="s">
        <v>226</v>
      </c>
      <c r="D322" s="18">
        <v>43054</v>
      </c>
      <c r="E322" s="37">
        <f>YEAR(ClientDB[[#This Row],[Start Date]])</f>
        <v>2017</v>
      </c>
      <c r="F322" t="s">
        <v>810</v>
      </c>
      <c r="G322" t="str">
        <f>VLOOKUP(ClientDB[[#This Row],[Org Code]],'Lookup Lists'!$A$7:$B$52,2,0)</f>
        <v>Euro-M</v>
      </c>
      <c r="H322" s="10" t="s">
        <v>7</v>
      </c>
      <c r="I322" s="10" t="str">
        <f>VLOOKUP(ClientDB[[#This Row],[Country Code]],'Lookup Lists'!$D$7:$E$59,2,0)</f>
        <v>Iran</v>
      </c>
      <c r="J322" s="15">
        <v>11</v>
      </c>
      <c r="K322" s="15" t="str">
        <f>IF(ClientDB[[#This Row],[Start Date]]&gt;=$U$14,"New","")</f>
        <v/>
      </c>
      <c r="L322" s="15" t="str">
        <f>IF(AND(ClientDB[[#This Row],[Start Year]]&lt;2016,ClientDB[[#This Row],[Events]]&gt;=6),"Gift","")</f>
        <v/>
      </c>
      <c r="M32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322" s="15">
        <v>2</v>
      </c>
      <c r="O322" s="38">
        <f>ClientDB[[#This Row],[Days]]*(IF(ClientDB[[#This Row],[Days]]&gt;1,300,350))</f>
        <v>600</v>
      </c>
      <c r="P32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322" s="15" t="s">
        <v>900</v>
      </c>
      <c r="R322" s="15" t="str">
        <f>INDEX('Lookup Lists'!$H$7:$K$59,MATCH(ClientDB[[#This Row],[Country Code]],'Lookup Lists'!$G$7:$G$59,0),(MATCH(ClientDB[[#This Row],[Meal]],'Lookup Lists'!$H$6:$K$6,0)))</f>
        <v>A</v>
      </c>
    </row>
    <row r="323" spans="1:18" x14ac:dyDescent="0.2">
      <c r="A323" s="10">
        <v>36369</v>
      </c>
      <c r="B323" t="s">
        <v>456</v>
      </c>
      <c r="C323" t="s">
        <v>457</v>
      </c>
      <c r="D323" s="18">
        <v>42806</v>
      </c>
      <c r="E323" s="37">
        <f>YEAR(ClientDB[[#This Row],[Start Date]])</f>
        <v>2017</v>
      </c>
      <c r="F323" t="s">
        <v>832</v>
      </c>
      <c r="G323" t="str">
        <f>VLOOKUP(ClientDB[[#This Row],[Org Code]],'Lookup Lists'!$A$7:$B$52,2,0)</f>
        <v>TQ Processes</v>
      </c>
      <c r="H323" s="10" t="s">
        <v>15</v>
      </c>
      <c r="I323" s="10" t="str">
        <f>VLOOKUP(ClientDB[[#This Row],[Country Code]],'Lookup Lists'!$D$7:$E$59,2,0)</f>
        <v>United Kingdom</v>
      </c>
      <c r="J323" s="15">
        <v>5</v>
      </c>
      <c r="K323" s="15" t="str">
        <f>IF(ClientDB[[#This Row],[Start Date]]&gt;=$U$14,"New","")</f>
        <v/>
      </c>
      <c r="L323" s="15" t="str">
        <f>IF(AND(ClientDB[[#This Row],[Start Year]]&lt;2016,ClientDB[[#This Row],[Events]]&gt;=6),"Gift","")</f>
        <v/>
      </c>
      <c r="M32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23" s="15">
        <v>1</v>
      </c>
      <c r="O323" s="38">
        <f>ClientDB[[#This Row],[Days]]*(IF(ClientDB[[#This Row],[Days]]&gt;1,300,350))</f>
        <v>350</v>
      </c>
      <c r="P32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323" s="15" t="s">
        <v>899</v>
      </c>
      <c r="R323" s="15" t="str">
        <f>INDEX('Lookup Lists'!$H$7:$K$59,MATCH(ClientDB[[#This Row],[Country Code]],'Lookup Lists'!$G$7:$G$59,0),(MATCH(ClientDB[[#This Row],[Meal]],'Lookup Lists'!$H$6:$K$6,0)))</f>
        <v>A</v>
      </c>
    </row>
    <row r="324" spans="1:18" x14ac:dyDescent="0.2">
      <c r="A324" s="10">
        <v>36477</v>
      </c>
      <c r="B324" t="s">
        <v>759</v>
      </c>
      <c r="C324" t="s">
        <v>760</v>
      </c>
      <c r="D324" s="18">
        <v>42121</v>
      </c>
      <c r="E324" s="37">
        <f>YEAR(ClientDB[[#This Row],[Start Date]])</f>
        <v>2015</v>
      </c>
      <c r="F324" t="s">
        <v>817</v>
      </c>
      <c r="G324" t="str">
        <f>VLOOKUP(ClientDB[[#This Row],[Org Code]],'Lookup Lists'!$A$7:$B$52,2,0)</f>
        <v>LACNE</v>
      </c>
      <c r="H324" s="10" t="s">
        <v>761</v>
      </c>
      <c r="I324" s="10" t="str">
        <f>VLOOKUP(ClientDB[[#This Row],[Country Code]],'Lookup Lists'!$D$7:$E$59,2,0)</f>
        <v>Uruguay</v>
      </c>
      <c r="J324" s="15">
        <v>9</v>
      </c>
      <c r="K324" s="15" t="str">
        <f>IF(ClientDB[[#This Row],[Start Date]]&gt;=$U$14,"New","")</f>
        <v/>
      </c>
      <c r="L324" s="15" t="str">
        <f>IF(AND(ClientDB[[#This Row],[Start Year]]&lt;2016,ClientDB[[#This Row],[Events]]&gt;=6),"Gift","")</f>
        <v>Gift</v>
      </c>
      <c r="M32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24" s="15">
        <v>3</v>
      </c>
      <c r="O324" s="38">
        <f>ClientDB[[#This Row],[Days]]*(IF(ClientDB[[#This Row],[Days]]&gt;1,300,350))</f>
        <v>900</v>
      </c>
      <c r="P32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324" s="15" t="s">
        <v>901</v>
      </c>
      <c r="R324" s="15" t="str">
        <f>INDEX('Lookup Lists'!$H$7:$K$59,MATCH(ClientDB[[#This Row],[Country Code]],'Lookup Lists'!$G$7:$G$59,0),(MATCH(ClientDB[[#This Row],[Meal]],'Lookup Lists'!$H$6:$K$6,0)))</f>
        <v>G</v>
      </c>
    </row>
    <row r="325" spans="1:18" x14ac:dyDescent="0.2">
      <c r="A325" s="10">
        <v>36495</v>
      </c>
      <c r="B325" t="s">
        <v>317</v>
      </c>
      <c r="C325" t="s">
        <v>318</v>
      </c>
      <c r="D325" s="18">
        <v>43731</v>
      </c>
      <c r="E325" s="37">
        <f>YEAR(ClientDB[[#This Row],[Start Date]])</f>
        <v>2019</v>
      </c>
      <c r="F325" t="s">
        <v>839</v>
      </c>
      <c r="G325" t="str">
        <f>VLOOKUP(ClientDB[[#This Row],[Org Code]],'Lookup Lists'!$A$7:$B$52,2,0)</f>
        <v>Zconnect, Inc</v>
      </c>
      <c r="H325" s="10" t="s">
        <v>34</v>
      </c>
      <c r="I325" s="10" t="str">
        <f>VLOOKUP(ClientDB[[#This Row],[Country Code]],'Lookup Lists'!$D$7:$E$59,2,0)</f>
        <v>United States</v>
      </c>
      <c r="J325" s="15">
        <v>2</v>
      </c>
      <c r="K325" s="15" t="str">
        <f>IF(ClientDB[[#This Row],[Start Date]]&gt;=$U$14,"New","")</f>
        <v/>
      </c>
      <c r="L325" s="15" t="str">
        <f>IF(AND(ClientDB[[#This Row],[Start Year]]&lt;2016,ClientDB[[#This Row],[Events]]&gt;=6),"Gift","")</f>
        <v/>
      </c>
      <c r="M32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25" s="15">
        <v>1</v>
      </c>
      <c r="O325" s="38">
        <f>ClientDB[[#This Row],[Days]]*(IF(ClientDB[[#This Row],[Days]]&gt;1,300,350))</f>
        <v>350</v>
      </c>
      <c r="P32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325" s="15" t="s">
        <v>902</v>
      </c>
      <c r="R325" s="15" t="str">
        <f>INDEX('Lookup Lists'!$H$7:$K$59,MATCH(ClientDB[[#This Row],[Country Code]],'Lookup Lists'!$G$7:$G$59,0),(MATCH(ClientDB[[#This Row],[Meal]],'Lookup Lists'!$H$6:$K$6,0)))</f>
        <v>F</v>
      </c>
    </row>
    <row r="326" spans="1:18" x14ac:dyDescent="0.2">
      <c r="A326" s="10">
        <v>36563</v>
      </c>
      <c r="B326" t="s">
        <v>348</v>
      </c>
      <c r="C326" t="s">
        <v>349</v>
      </c>
      <c r="D326" s="18">
        <v>43110</v>
      </c>
      <c r="E326" s="37">
        <f>YEAR(ClientDB[[#This Row],[Start Date]])</f>
        <v>2018</v>
      </c>
      <c r="F326" t="s">
        <v>827</v>
      </c>
      <c r="G326" t="str">
        <f>VLOOKUP(ClientDB[[#This Row],[Org Code]],'Lookup Lists'!$A$7:$B$52,2,0)</f>
        <v>Ripple Com</v>
      </c>
      <c r="H326" s="10" t="s">
        <v>15</v>
      </c>
      <c r="I326" s="10" t="str">
        <f>VLOOKUP(ClientDB[[#This Row],[Country Code]],'Lookup Lists'!$D$7:$E$59,2,0)</f>
        <v>United Kingdom</v>
      </c>
      <c r="J326" s="15">
        <v>11</v>
      </c>
      <c r="K326" s="15" t="str">
        <f>IF(ClientDB[[#This Row],[Start Date]]&gt;=$U$14,"New","")</f>
        <v/>
      </c>
      <c r="L326" s="15" t="str">
        <f>IF(AND(ClientDB[[#This Row],[Start Year]]&lt;2016,ClientDB[[#This Row],[Events]]&gt;=6),"Gift","")</f>
        <v/>
      </c>
      <c r="M32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326" s="15">
        <v>1</v>
      </c>
      <c r="O326" s="38">
        <f>ClientDB[[#This Row],[Days]]*(IF(ClientDB[[#This Row],[Days]]&gt;1,300,350))</f>
        <v>350</v>
      </c>
      <c r="P32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326" s="15" t="s">
        <v>901</v>
      </c>
      <c r="R326" s="15" t="str">
        <f>INDEX('Lookup Lists'!$H$7:$K$59,MATCH(ClientDB[[#This Row],[Country Code]],'Lookup Lists'!$G$7:$G$59,0),(MATCH(ClientDB[[#This Row],[Meal]],'Lookup Lists'!$H$6:$K$6,0)))</f>
        <v>E</v>
      </c>
    </row>
    <row r="327" spans="1:18" x14ac:dyDescent="0.2">
      <c r="A327" s="10">
        <v>36573</v>
      </c>
      <c r="B327" t="s">
        <v>64</v>
      </c>
      <c r="C327" t="s">
        <v>65</v>
      </c>
      <c r="D327" s="18">
        <v>42658</v>
      </c>
      <c r="E327" s="37">
        <f>YEAR(ClientDB[[#This Row],[Start Date]])</f>
        <v>2016</v>
      </c>
      <c r="F327" t="s">
        <v>809</v>
      </c>
      <c r="G327" t="str">
        <f>VLOOKUP(ClientDB[[#This Row],[Org Code]],'Lookup Lists'!$A$7:$B$52,2,0)</f>
        <v>Epsilon Tech</v>
      </c>
      <c r="H327" s="10" t="s">
        <v>7</v>
      </c>
      <c r="I327" s="10" t="str">
        <f>VLOOKUP(ClientDB[[#This Row],[Country Code]],'Lookup Lists'!$D$7:$E$59,2,0)</f>
        <v>Iran</v>
      </c>
      <c r="J327" s="15">
        <v>3</v>
      </c>
      <c r="K327" s="15" t="str">
        <f>IF(ClientDB[[#This Row],[Start Date]]&gt;=$U$14,"New","")</f>
        <v/>
      </c>
      <c r="L327" s="15" t="str">
        <f>IF(AND(ClientDB[[#This Row],[Start Year]]&lt;2016,ClientDB[[#This Row],[Events]]&gt;=6),"Gift","")</f>
        <v/>
      </c>
      <c r="M32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27" s="15">
        <v>2</v>
      </c>
      <c r="O327" s="38">
        <f>ClientDB[[#This Row],[Days]]*(IF(ClientDB[[#This Row],[Days]]&gt;1,300,350))</f>
        <v>600</v>
      </c>
      <c r="P32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327" s="15" t="s">
        <v>902</v>
      </c>
      <c r="R327" s="15" t="str">
        <f>INDEX('Lookup Lists'!$H$7:$K$59,MATCH(ClientDB[[#This Row],[Country Code]],'Lookup Lists'!$G$7:$G$59,0),(MATCH(ClientDB[[#This Row],[Meal]],'Lookup Lists'!$H$6:$K$6,0)))</f>
        <v>C</v>
      </c>
    </row>
    <row r="328" spans="1:18" x14ac:dyDescent="0.2">
      <c r="A328" s="10">
        <v>36642</v>
      </c>
      <c r="B328" t="s">
        <v>620</v>
      </c>
      <c r="C328" t="s">
        <v>621</v>
      </c>
      <c r="D328" s="18">
        <v>42098</v>
      </c>
      <c r="E328" s="37">
        <f>YEAR(ClientDB[[#This Row],[Start Date]])</f>
        <v>2015</v>
      </c>
      <c r="F328" t="s">
        <v>840</v>
      </c>
      <c r="G328" t="str">
        <f>VLOOKUP(ClientDB[[#This Row],[Org Code]],'Lookup Lists'!$A$7:$B$52,2,0)</f>
        <v>Zim Sales</v>
      </c>
      <c r="H328" s="10" t="s">
        <v>34</v>
      </c>
      <c r="I328" s="10" t="str">
        <f>VLOOKUP(ClientDB[[#This Row],[Country Code]],'Lookup Lists'!$D$7:$E$59,2,0)</f>
        <v>United States</v>
      </c>
      <c r="J328" s="15">
        <v>7</v>
      </c>
      <c r="K328" s="15" t="str">
        <f>IF(ClientDB[[#This Row],[Start Date]]&gt;=$U$14,"New","")</f>
        <v/>
      </c>
      <c r="L328" s="15" t="str">
        <f>IF(AND(ClientDB[[#This Row],[Start Year]]&lt;2016,ClientDB[[#This Row],[Events]]&gt;=6),"Gift","")</f>
        <v>Gift</v>
      </c>
      <c r="M32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28" s="15">
        <v>2</v>
      </c>
      <c r="O328" s="38">
        <f>ClientDB[[#This Row],[Days]]*(IF(ClientDB[[#This Row],[Days]]&gt;1,300,350))</f>
        <v>600</v>
      </c>
      <c r="P32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328" s="15" t="s">
        <v>901</v>
      </c>
      <c r="R328" s="15" t="str">
        <f>INDEX('Lookup Lists'!$H$7:$K$59,MATCH(ClientDB[[#This Row],[Country Code]],'Lookup Lists'!$G$7:$G$59,0),(MATCH(ClientDB[[#This Row],[Meal]],'Lookup Lists'!$H$6:$K$6,0)))</f>
        <v>G</v>
      </c>
    </row>
    <row r="329" spans="1:18" x14ac:dyDescent="0.2">
      <c r="A329" s="10">
        <v>36681</v>
      </c>
      <c r="B329" t="s">
        <v>663</v>
      </c>
      <c r="C329" t="s">
        <v>664</v>
      </c>
      <c r="D329" s="18">
        <v>43120</v>
      </c>
      <c r="E329" s="37">
        <f>YEAR(ClientDB[[#This Row],[Start Date]])</f>
        <v>2018</v>
      </c>
      <c r="F329" t="s">
        <v>828</v>
      </c>
      <c r="G329" t="str">
        <f>VLOOKUP(ClientDB[[#This Row],[Org Code]],'Lookup Lists'!$A$7:$B$52,2,0)</f>
        <v>Shaw Construction</v>
      </c>
      <c r="H329" s="10" t="s">
        <v>26</v>
      </c>
      <c r="I329" s="10" t="str">
        <f>VLOOKUP(ClientDB[[#This Row],[Country Code]],'Lookup Lists'!$D$7:$E$59,2,0)</f>
        <v>Ukraine</v>
      </c>
      <c r="J329" s="15">
        <v>3</v>
      </c>
      <c r="K329" s="15" t="str">
        <f>IF(ClientDB[[#This Row],[Start Date]]&gt;=$U$14,"New","")</f>
        <v/>
      </c>
      <c r="L329" s="15" t="str">
        <f>IF(AND(ClientDB[[#This Row],[Start Year]]&lt;2016,ClientDB[[#This Row],[Events]]&gt;=6),"Gift","")</f>
        <v/>
      </c>
      <c r="M32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29" s="15">
        <v>1</v>
      </c>
      <c r="O329" s="38">
        <f>ClientDB[[#This Row],[Days]]*(IF(ClientDB[[#This Row],[Days]]&gt;1,300,350))</f>
        <v>350</v>
      </c>
      <c r="P32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329" s="15" t="s">
        <v>899</v>
      </c>
      <c r="R329" s="15" t="str">
        <f>INDEX('Lookup Lists'!$H$7:$K$59,MATCH(ClientDB[[#This Row],[Country Code]],'Lookup Lists'!$G$7:$G$59,0),(MATCH(ClientDB[[#This Row],[Meal]],'Lookup Lists'!$H$6:$K$6,0)))</f>
        <v>B</v>
      </c>
    </row>
    <row r="330" spans="1:18" x14ac:dyDescent="0.2">
      <c r="A330" s="10">
        <v>36774</v>
      </c>
      <c r="B330" t="s">
        <v>23</v>
      </c>
      <c r="C330" t="s">
        <v>267</v>
      </c>
      <c r="D330" s="18">
        <v>43028</v>
      </c>
      <c r="E330" s="37">
        <f>YEAR(ClientDB[[#This Row],[Start Date]])</f>
        <v>2017</v>
      </c>
      <c r="F330" t="s">
        <v>804</v>
      </c>
      <c r="G330" t="str">
        <f>VLOOKUP(ClientDB[[#This Row],[Org Code]],'Lookup Lists'!$A$7:$B$52,2,0)</f>
        <v>Cyber Data Processing</v>
      </c>
      <c r="H330" s="10" t="s">
        <v>26</v>
      </c>
      <c r="I330" s="10" t="str">
        <f>VLOOKUP(ClientDB[[#This Row],[Country Code]],'Lookup Lists'!$D$7:$E$59,2,0)</f>
        <v>Ukraine</v>
      </c>
      <c r="J330" s="15">
        <v>3</v>
      </c>
      <c r="K330" s="15" t="str">
        <f>IF(ClientDB[[#This Row],[Start Date]]&gt;=$U$14,"New","")</f>
        <v/>
      </c>
      <c r="L330" s="15" t="str">
        <f>IF(AND(ClientDB[[#This Row],[Start Year]]&lt;2016,ClientDB[[#This Row],[Events]]&gt;=6),"Gift","")</f>
        <v/>
      </c>
      <c r="M33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30" s="15">
        <v>1</v>
      </c>
      <c r="O330" s="38">
        <f>ClientDB[[#This Row],[Days]]*(IF(ClientDB[[#This Row],[Days]]&gt;1,300,350))</f>
        <v>350</v>
      </c>
      <c r="P33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330" s="15" t="s">
        <v>901</v>
      </c>
      <c r="R330" s="15" t="str">
        <f>INDEX('Lookup Lists'!$H$7:$K$59,MATCH(ClientDB[[#This Row],[Country Code]],'Lookup Lists'!$G$7:$G$59,0),(MATCH(ClientDB[[#This Row],[Meal]],'Lookup Lists'!$H$6:$K$6,0)))</f>
        <v>G</v>
      </c>
    </row>
    <row r="331" spans="1:18" x14ac:dyDescent="0.2">
      <c r="A331" s="10">
        <v>36799</v>
      </c>
      <c r="B331" t="s">
        <v>87</v>
      </c>
      <c r="C331" t="s">
        <v>88</v>
      </c>
      <c r="D331" s="18">
        <v>43099</v>
      </c>
      <c r="E331" s="37">
        <f>YEAR(ClientDB[[#This Row],[Start Date]])</f>
        <v>2017</v>
      </c>
      <c r="F331" t="s">
        <v>827</v>
      </c>
      <c r="G331" t="str">
        <f>VLOOKUP(ClientDB[[#This Row],[Org Code]],'Lookup Lists'!$A$7:$B$52,2,0)</f>
        <v>Ripple Com</v>
      </c>
      <c r="H331" s="10" t="s">
        <v>15</v>
      </c>
      <c r="I331" s="10" t="str">
        <f>VLOOKUP(ClientDB[[#This Row],[Country Code]],'Lookup Lists'!$D$7:$E$59,2,0)</f>
        <v>United Kingdom</v>
      </c>
      <c r="J331" s="15">
        <v>4</v>
      </c>
      <c r="K331" s="15" t="str">
        <f>IF(ClientDB[[#This Row],[Start Date]]&gt;=$U$14,"New","")</f>
        <v/>
      </c>
      <c r="L331" s="15" t="str">
        <f>IF(AND(ClientDB[[#This Row],[Start Year]]&lt;2016,ClientDB[[#This Row],[Events]]&gt;=6),"Gift","")</f>
        <v/>
      </c>
      <c r="M33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31" s="15">
        <v>1</v>
      </c>
      <c r="O331" s="38">
        <f>ClientDB[[#This Row],[Days]]*(IF(ClientDB[[#This Row],[Days]]&gt;1,300,350))</f>
        <v>350</v>
      </c>
      <c r="P33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331" s="15" t="s">
        <v>900</v>
      </c>
      <c r="R331" s="15" t="str">
        <f>INDEX('Lookup Lists'!$H$7:$K$59,MATCH(ClientDB[[#This Row],[Country Code]],'Lookup Lists'!$G$7:$G$59,0),(MATCH(ClientDB[[#This Row],[Meal]],'Lookup Lists'!$H$6:$K$6,0)))</f>
        <v>A</v>
      </c>
    </row>
    <row r="332" spans="1:18" x14ac:dyDescent="0.2">
      <c r="A332" s="10">
        <v>36870</v>
      </c>
      <c r="B332" t="s">
        <v>669</v>
      </c>
      <c r="C332" t="s">
        <v>670</v>
      </c>
      <c r="D332" s="18">
        <v>42134</v>
      </c>
      <c r="E332" s="37">
        <f>YEAR(ClientDB[[#This Row],[Start Date]])</f>
        <v>2015</v>
      </c>
      <c r="F332" t="s">
        <v>799</v>
      </c>
      <c r="G332" t="str">
        <f>VLOOKUP(ClientDB[[#This Row],[Org Code]],'Lookup Lists'!$A$7:$B$52,2,0)</f>
        <v>ByteSize</v>
      </c>
      <c r="H332" s="10" t="s">
        <v>155</v>
      </c>
      <c r="I332" s="10" t="str">
        <f>VLOOKUP(ClientDB[[#This Row],[Country Code]],'Lookup Lists'!$D$7:$E$59,2,0)</f>
        <v>United Arab Emirates</v>
      </c>
      <c r="J332" s="15">
        <v>14</v>
      </c>
      <c r="K332" s="15" t="str">
        <f>IF(ClientDB[[#This Row],[Start Date]]&gt;=$U$14,"New","")</f>
        <v/>
      </c>
      <c r="L332" s="15" t="str">
        <f>IF(AND(ClientDB[[#This Row],[Start Year]]&lt;2016,ClientDB[[#This Row],[Events]]&gt;=6),"Gift","")</f>
        <v>Gift</v>
      </c>
      <c r="M33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332" s="15">
        <v>1</v>
      </c>
      <c r="O332" s="38">
        <f>ClientDB[[#This Row],[Days]]*(IF(ClientDB[[#This Row],[Days]]&gt;1,300,350))</f>
        <v>350</v>
      </c>
      <c r="P33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332" s="15" t="s">
        <v>902</v>
      </c>
      <c r="R332" s="15" t="str">
        <f>INDEX('Lookup Lists'!$H$7:$K$59,MATCH(ClientDB[[#This Row],[Country Code]],'Lookup Lists'!$G$7:$G$59,0),(MATCH(ClientDB[[#This Row],[Meal]],'Lookup Lists'!$H$6:$K$6,0)))</f>
        <v>B</v>
      </c>
    </row>
    <row r="333" spans="1:18" x14ac:dyDescent="0.2">
      <c r="A333" s="10">
        <v>36941</v>
      </c>
      <c r="B333" t="s">
        <v>8</v>
      </c>
      <c r="C333" t="s">
        <v>9</v>
      </c>
      <c r="D333" s="18">
        <v>42100</v>
      </c>
      <c r="E333" s="37">
        <f>YEAR(ClientDB[[#This Row],[Start Date]])</f>
        <v>2015</v>
      </c>
      <c r="F333" t="s">
        <v>806</v>
      </c>
      <c r="G333" t="str">
        <f>VLOOKUP(ClientDB[[#This Row],[Org Code]],'Lookup Lists'!$A$7:$B$52,2,0)</f>
        <v>DENIL</v>
      </c>
      <c r="H333" s="10" t="s">
        <v>11</v>
      </c>
      <c r="I333" s="10" t="str">
        <f>VLOOKUP(ClientDB[[#This Row],[Country Code]],'Lookup Lists'!$D$7:$E$59,2,0)</f>
        <v>Austria</v>
      </c>
      <c r="J333" s="15">
        <v>10</v>
      </c>
      <c r="K333" s="15" t="str">
        <f>IF(ClientDB[[#This Row],[Start Date]]&gt;=$U$14,"New","")</f>
        <v/>
      </c>
      <c r="L333" s="15" t="str">
        <f>IF(AND(ClientDB[[#This Row],[Start Year]]&lt;2016,ClientDB[[#This Row],[Events]]&gt;=6),"Gift","")</f>
        <v>Gift</v>
      </c>
      <c r="M33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333" s="15">
        <v>2</v>
      </c>
      <c r="O333" s="38">
        <f>ClientDB[[#This Row],[Days]]*(IF(ClientDB[[#This Row],[Days]]&gt;1,300,350))</f>
        <v>600</v>
      </c>
      <c r="P33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333" s="15" t="s">
        <v>901</v>
      </c>
      <c r="R333" s="15" t="str">
        <f>INDEX('Lookup Lists'!$H$7:$K$59,MATCH(ClientDB[[#This Row],[Country Code]],'Lookup Lists'!$G$7:$G$59,0),(MATCH(ClientDB[[#This Row],[Meal]],'Lookup Lists'!$H$6:$K$6,0)))</f>
        <v>D</v>
      </c>
    </row>
    <row r="334" spans="1:18" x14ac:dyDescent="0.2">
      <c r="A334" s="10">
        <v>37017</v>
      </c>
      <c r="B334" t="s">
        <v>399</v>
      </c>
      <c r="C334" t="s">
        <v>400</v>
      </c>
      <c r="D334" s="18">
        <v>42116</v>
      </c>
      <c r="E334" s="37">
        <f>YEAR(ClientDB[[#This Row],[Start Date]])</f>
        <v>2015</v>
      </c>
      <c r="F334" t="s">
        <v>818</v>
      </c>
      <c r="G334" t="str">
        <f>VLOOKUP(ClientDB[[#This Row],[Org Code]],'Lookup Lists'!$A$7:$B$52,2,0)</f>
        <v>Mojbal</v>
      </c>
      <c r="H334" s="10" t="s">
        <v>30</v>
      </c>
      <c r="I334" s="10" t="str">
        <f>VLOOKUP(ClientDB[[#This Row],[Country Code]],'Lookup Lists'!$D$7:$E$59,2,0)</f>
        <v>Bahrain</v>
      </c>
      <c r="J334" s="15">
        <v>3</v>
      </c>
      <c r="K334" s="15" t="str">
        <f>IF(ClientDB[[#This Row],[Start Date]]&gt;=$U$14,"New","")</f>
        <v/>
      </c>
      <c r="L334" s="15" t="str">
        <f>IF(AND(ClientDB[[#This Row],[Start Year]]&lt;2016,ClientDB[[#This Row],[Events]]&gt;=6),"Gift","")</f>
        <v/>
      </c>
      <c r="M33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34" s="15">
        <v>3</v>
      </c>
      <c r="O334" s="38">
        <f>ClientDB[[#This Row],[Days]]*(IF(ClientDB[[#This Row],[Days]]&gt;1,300,350))</f>
        <v>900</v>
      </c>
      <c r="P33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334" s="15" t="s">
        <v>901</v>
      </c>
      <c r="R334" s="15" t="str">
        <f>INDEX('Lookup Lists'!$H$7:$K$59,MATCH(ClientDB[[#This Row],[Country Code]],'Lookup Lists'!$G$7:$G$59,0),(MATCH(ClientDB[[#This Row],[Meal]],'Lookup Lists'!$H$6:$K$6,0)))</f>
        <v>D</v>
      </c>
    </row>
    <row r="335" spans="1:18" x14ac:dyDescent="0.2">
      <c r="A335" s="10">
        <v>37188</v>
      </c>
      <c r="B335" t="s">
        <v>328</v>
      </c>
      <c r="C335" t="s">
        <v>329</v>
      </c>
      <c r="D335" s="18">
        <v>42406</v>
      </c>
      <c r="E335" s="37">
        <f>YEAR(ClientDB[[#This Row],[Start Date]])</f>
        <v>2016</v>
      </c>
      <c r="F335" t="s">
        <v>823</v>
      </c>
      <c r="G335" t="str">
        <f>VLOOKUP(ClientDB[[#This Row],[Org Code]],'Lookup Lists'!$A$7:$B$52,2,0)</f>
        <v>Pilco Streambank</v>
      </c>
      <c r="H335" s="10" t="s">
        <v>59</v>
      </c>
      <c r="I335" s="10" t="str">
        <f>VLOOKUP(ClientDB[[#This Row],[Country Code]],'Lookup Lists'!$D$7:$E$59,2,0)</f>
        <v>Netherlands</v>
      </c>
      <c r="J335" s="15">
        <v>7</v>
      </c>
      <c r="K335" s="15" t="str">
        <f>IF(ClientDB[[#This Row],[Start Date]]&gt;=$U$14,"New","")</f>
        <v/>
      </c>
      <c r="L335" s="15" t="str">
        <f>IF(AND(ClientDB[[#This Row],[Start Year]]&lt;2016,ClientDB[[#This Row],[Events]]&gt;=6),"Gift","")</f>
        <v/>
      </c>
      <c r="M33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35" s="15">
        <v>1</v>
      </c>
      <c r="O335" s="38">
        <f>ClientDB[[#This Row],[Days]]*(IF(ClientDB[[#This Row],[Days]]&gt;1,300,350))</f>
        <v>350</v>
      </c>
      <c r="P33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335" s="15" t="s">
        <v>901</v>
      </c>
      <c r="R335" s="15" t="str">
        <f>INDEX('Lookup Lists'!$H$7:$K$59,MATCH(ClientDB[[#This Row],[Country Code]],'Lookup Lists'!$G$7:$G$59,0),(MATCH(ClientDB[[#This Row],[Meal]],'Lookup Lists'!$H$6:$K$6,0)))</f>
        <v>F</v>
      </c>
    </row>
    <row r="336" spans="1:18" x14ac:dyDescent="0.2">
      <c r="A336" s="10">
        <v>37250</v>
      </c>
      <c r="B336" t="s">
        <v>470</v>
      </c>
      <c r="C336" t="s">
        <v>471</v>
      </c>
      <c r="D336" s="18">
        <v>42880</v>
      </c>
      <c r="E336" s="37">
        <f>YEAR(ClientDB[[#This Row],[Start Date]])</f>
        <v>2017</v>
      </c>
      <c r="F336" t="s">
        <v>819</v>
      </c>
      <c r="G336" t="str">
        <f>VLOOKUP(ClientDB[[#This Row],[Org Code]],'Lookup Lists'!$A$7:$B$52,2,0)</f>
        <v>NetaAssist</v>
      </c>
      <c r="H336" s="10" t="s">
        <v>26</v>
      </c>
      <c r="I336" s="10" t="str">
        <f>VLOOKUP(ClientDB[[#This Row],[Country Code]],'Lookup Lists'!$D$7:$E$59,2,0)</f>
        <v>Ukraine</v>
      </c>
      <c r="J336" s="15">
        <v>8</v>
      </c>
      <c r="K336" s="15" t="str">
        <f>IF(ClientDB[[#This Row],[Start Date]]&gt;=$U$14,"New","")</f>
        <v/>
      </c>
      <c r="L336" s="15" t="str">
        <f>IF(AND(ClientDB[[#This Row],[Start Year]]&lt;2016,ClientDB[[#This Row],[Events]]&gt;=6),"Gift","")</f>
        <v/>
      </c>
      <c r="M33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36" s="15">
        <v>3</v>
      </c>
      <c r="O336" s="38">
        <f>ClientDB[[#This Row],[Days]]*(IF(ClientDB[[#This Row],[Days]]&gt;1,300,350))</f>
        <v>900</v>
      </c>
      <c r="P33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336" s="15" t="s">
        <v>901</v>
      </c>
      <c r="R336" s="15" t="str">
        <f>INDEX('Lookup Lists'!$H$7:$K$59,MATCH(ClientDB[[#This Row],[Country Code]],'Lookup Lists'!$G$7:$G$59,0),(MATCH(ClientDB[[#This Row],[Meal]],'Lookup Lists'!$H$6:$K$6,0)))</f>
        <v>G</v>
      </c>
    </row>
    <row r="337" spans="1:18" x14ac:dyDescent="0.2">
      <c r="A337" s="10">
        <v>37373</v>
      </c>
      <c r="B337" t="s">
        <v>410</v>
      </c>
      <c r="C337" t="s">
        <v>411</v>
      </c>
      <c r="D337" s="18">
        <v>43184</v>
      </c>
      <c r="E337" s="37">
        <f>YEAR(ClientDB[[#This Row],[Start Date]])</f>
        <v>2018</v>
      </c>
      <c r="F337" t="s">
        <v>832</v>
      </c>
      <c r="G337" t="str">
        <f>VLOOKUP(ClientDB[[#This Row],[Org Code]],'Lookup Lists'!$A$7:$B$52,2,0)</f>
        <v>TQ Processes</v>
      </c>
      <c r="H337" s="10" t="s">
        <v>15</v>
      </c>
      <c r="I337" s="10" t="str">
        <f>VLOOKUP(ClientDB[[#This Row],[Country Code]],'Lookup Lists'!$D$7:$E$59,2,0)</f>
        <v>United Kingdom</v>
      </c>
      <c r="J337" s="15">
        <v>2</v>
      </c>
      <c r="K337" s="15" t="str">
        <f>IF(ClientDB[[#This Row],[Start Date]]&gt;=$U$14,"New","")</f>
        <v/>
      </c>
      <c r="L337" s="15" t="str">
        <f>IF(AND(ClientDB[[#This Row],[Start Year]]&lt;2016,ClientDB[[#This Row],[Events]]&gt;=6),"Gift","")</f>
        <v/>
      </c>
      <c r="M33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37" s="15">
        <v>3</v>
      </c>
      <c r="O337" s="38">
        <f>ClientDB[[#This Row],[Days]]*(IF(ClientDB[[#This Row],[Days]]&gt;1,300,350))</f>
        <v>900</v>
      </c>
      <c r="P33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337" s="15" t="s">
        <v>901</v>
      </c>
      <c r="R337" s="15" t="str">
        <f>INDEX('Lookup Lists'!$H$7:$K$59,MATCH(ClientDB[[#This Row],[Country Code]],'Lookup Lists'!$G$7:$G$59,0),(MATCH(ClientDB[[#This Row],[Meal]],'Lookup Lists'!$H$6:$K$6,0)))</f>
        <v>E</v>
      </c>
    </row>
    <row r="338" spans="1:18" x14ac:dyDescent="0.2">
      <c r="A338" s="10">
        <v>37393</v>
      </c>
      <c r="B338" t="s">
        <v>280</v>
      </c>
      <c r="C338" t="s">
        <v>281</v>
      </c>
      <c r="D338" s="18">
        <v>42384</v>
      </c>
      <c r="E338" s="37">
        <f>YEAR(ClientDB[[#This Row],[Start Date]])</f>
        <v>2016</v>
      </c>
      <c r="F338" t="s">
        <v>829</v>
      </c>
      <c r="G338" t="str">
        <f>VLOOKUP(ClientDB[[#This Row],[Org Code]],'Lookup Lists'!$A$7:$B$52,2,0)</f>
        <v>StepAhead</v>
      </c>
      <c r="H338" s="10" t="s">
        <v>282</v>
      </c>
      <c r="I338" s="10" t="str">
        <f>VLOOKUP(ClientDB[[#This Row],[Country Code]],'Lookup Lists'!$D$7:$E$59,2,0)</f>
        <v>Italy</v>
      </c>
      <c r="J338" s="15">
        <v>9</v>
      </c>
      <c r="K338" s="15" t="str">
        <f>IF(ClientDB[[#This Row],[Start Date]]&gt;=$U$14,"New","")</f>
        <v/>
      </c>
      <c r="L338" s="15" t="str">
        <f>IF(AND(ClientDB[[#This Row],[Start Year]]&lt;2016,ClientDB[[#This Row],[Events]]&gt;=6),"Gift","")</f>
        <v/>
      </c>
      <c r="M33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38" s="15">
        <v>2</v>
      </c>
      <c r="O338" s="38">
        <f>ClientDB[[#This Row],[Days]]*(IF(ClientDB[[#This Row],[Days]]&gt;1,300,350))</f>
        <v>600</v>
      </c>
      <c r="P33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338" s="15" t="s">
        <v>901</v>
      </c>
      <c r="R338" s="15" t="str">
        <f>INDEX('Lookup Lists'!$H$7:$K$59,MATCH(ClientDB[[#This Row],[Country Code]],'Lookup Lists'!$G$7:$G$59,0),(MATCH(ClientDB[[#This Row],[Meal]],'Lookup Lists'!$H$6:$K$6,0)))</f>
        <v>F</v>
      </c>
    </row>
    <row r="339" spans="1:18" x14ac:dyDescent="0.2">
      <c r="A339" s="10">
        <v>37460</v>
      </c>
      <c r="B339" t="s">
        <v>70</v>
      </c>
      <c r="C339" t="s">
        <v>467</v>
      </c>
      <c r="D339" s="18">
        <v>42324</v>
      </c>
      <c r="E339" s="37">
        <f>YEAR(ClientDB[[#This Row],[Start Date]])</f>
        <v>2015</v>
      </c>
      <c r="F339" t="s">
        <v>801</v>
      </c>
      <c r="G339" t="str">
        <f>VLOOKUP(ClientDB[[#This Row],[Org Code]],'Lookup Lists'!$A$7:$B$52,2,0)</f>
        <v>Collings University</v>
      </c>
      <c r="H339" s="10" t="s">
        <v>363</v>
      </c>
      <c r="I339" s="10" t="str">
        <f>VLOOKUP(ClientDB[[#This Row],[Country Code]],'Lookup Lists'!$D$7:$E$59,2,0)</f>
        <v>Hong Kong</v>
      </c>
      <c r="J339" s="15">
        <v>4</v>
      </c>
      <c r="K339" s="15" t="str">
        <f>IF(ClientDB[[#This Row],[Start Date]]&gt;=$U$14,"New","")</f>
        <v/>
      </c>
      <c r="L339" s="15" t="str">
        <f>IF(AND(ClientDB[[#This Row],[Start Year]]&lt;2016,ClientDB[[#This Row],[Events]]&gt;=6),"Gift","")</f>
        <v/>
      </c>
      <c r="M33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39" s="15">
        <v>2</v>
      </c>
      <c r="O339" s="38">
        <f>ClientDB[[#This Row],[Days]]*(IF(ClientDB[[#This Row],[Days]]&gt;1,300,350))</f>
        <v>600</v>
      </c>
      <c r="P33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339" s="15" t="s">
        <v>899</v>
      </c>
      <c r="R339" s="15" t="str">
        <f>INDEX('Lookup Lists'!$H$7:$K$59,MATCH(ClientDB[[#This Row],[Country Code]],'Lookup Lists'!$G$7:$G$59,0),(MATCH(ClientDB[[#This Row],[Meal]],'Lookup Lists'!$H$6:$K$6,0)))</f>
        <v>A</v>
      </c>
    </row>
    <row r="340" spans="1:18" x14ac:dyDescent="0.2">
      <c r="A340" s="10">
        <v>37498</v>
      </c>
      <c r="B340" t="s">
        <v>609</v>
      </c>
      <c r="C340" t="s">
        <v>610</v>
      </c>
      <c r="D340" s="18">
        <v>43689</v>
      </c>
      <c r="E340" s="37">
        <f>YEAR(ClientDB[[#This Row],[Start Date]])</f>
        <v>2019</v>
      </c>
      <c r="F340" t="s">
        <v>801</v>
      </c>
      <c r="G340" t="str">
        <f>VLOOKUP(ClientDB[[#This Row],[Org Code]],'Lookup Lists'!$A$7:$B$52,2,0)</f>
        <v>Collings University</v>
      </c>
      <c r="H340" s="10" t="s">
        <v>7</v>
      </c>
      <c r="I340" s="10" t="str">
        <f>VLOOKUP(ClientDB[[#This Row],[Country Code]],'Lookup Lists'!$D$7:$E$59,2,0)</f>
        <v>Iran</v>
      </c>
      <c r="J340" s="15">
        <v>3</v>
      </c>
      <c r="K340" s="15" t="str">
        <f>IF(ClientDB[[#This Row],[Start Date]]&gt;=$U$14,"New","")</f>
        <v/>
      </c>
      <c r="L340" s="15" t="str">
        <f>IF(AND(ClientDB[[#This Row],[Start Year]]&lt;2016,ClientDB[[#This Row],[Events]]&gt;=6),"Gift","")</f>
        <v/>
      </c>
      <c r="M34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40" s="15">
        <v>2</v>
      </c>
      <c r="O340" s="38">
        <f>ClientDB[[#This Row],[Days]]*(IF(ClientDB[[#This Row],[Days]]&gt;1,300,350))</f>
        <v>600</v>
      </c>
      <c r="P34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340" s="15" t="s">
        <v>901</v>
      </c>
      <c r="R340" s="15" t="str">
        <f>INDEX('Lookup Lists'!$H$7:$K$59,MATCH(ClientDB[[#This Row],[Country Code]],'Lookup Lists'!$G$7:$G$59,0),(MATCH(ClientDB[[#This Row],[Meal]],'Lookup Lists'!$H$6:$K$6,0)))</f>
        <v>F</v>
      </c>
    </row>
    <row r="341" spans="1:18" x14ac:dyDescent="0.2">
      <c r="A341" s="10">
        <v>37529</v>
      </c>
      <c r="B341" t="s">
        <v>491</v>
      </c>
      <c r="C341" t="s">
        <v>492</v>
      </c>
      <c r="D341" s="18">
        <v>42193</v>
      </c>
      <c r="E341" s="37">
        <f>YEAR(ClientDB[[#This Row],[Start Date]])</f>
        <v>2015</v>
      </c>
      <c r="F341" t="s">
        <v>825</v>
      </c>
      <c r="G341" t="str">
        <f>VLOOKUP(ClientDB[[#This Row],[Org Code]],'Lookup Lists'!$A$7:$B$52,2,0)</f>
        <v>Qinisar</v>
      </c>
      <c r="H341" s="10" t="s">
        <v>26</v>
      </c>
      <c r="I341" s="10" t="str">
        <f>VLOOKUP(ClientDB[[#This Row],[Country Code]],'Lookup Lists'!$D$7:$E$59,2,0)</f>
        <v>Ukraine</v>
      </c>
      <c r="J341" s="15">
        <v>21</v>
      </c>
      <c r="K341" s="15" t="str">
        <f>IF(ClientDB[[#This Row],[Start Date]]&gt;=$U$14,"New","")</f>
        <v/>
      </c>
      <c r="L341" s="15" t="str">
        <f>IF(AND(ClientDB[[#This Row],[Start Year]]&lt;2016,ClientDB[[#This Row],[Events]]&gt;=6),"Gift","")</f>
        <v>Gift</v>
      </c>
      <c r="M34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Gold</v>
      </c>
      <c r="N341" s="15">
        <v>2</v>
      </c>
      <c r="O341" s="38">
        <f>ClientDB[[#This Row],[Days]]*(IF(ClientDB[[#This Row],[Days]]&gt;1,300,350))</f>
        <v>600</v>
      </c>
      <c r="P34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341" s="15" t="s">
        <v>901</v>
      </c>
      <c r="R341" s="15" t="str">
        <f>INDEX('Lookup Lists'!$H$7:$K$59,MATCH(ClientDB[[#This Row],[Country Code]],'Lookup Lists'!$G$7:$G$59,0),(MATCH(ClientDB[[#This Row],[Meal]],'Lookup Lists'!$H$6:$K$6,0)))</f>
        <v>G</v>
      </c>
    </row>
    <row r="342" spans="1:18" x14ac:dyDescent="0.2">
      <c r="A342" s="10">
        <v>37563</v>
      </c>
      <c r="B342" t="s">
        <v>646</v>
      </c>
      <c r="C342" t="s">
        <v>647</v>
      </c>
      <c r="D342" s="18">
        <v>42784</v>
      </c>
      <c r="E342" s="37">
        <f>YEAR(ClientDB[[#This Row],[Start Date]])</f>
        <v>2017</v>
      </c>
      <c r="F342" t="s">
        <v>803</v>
      </c>
      <c r="G342" t="str">
        <f>VLOOKUP(ClientDB[[#This Row],[Org Code]],'Lookup Lists'!$A$7:$B$52,2,0)</f>
        <v>CTX</v>
      </c>
      <c r="H342" s="10" t="s">
        <v>648</v>
      </c>
      <c r="I342" s="10" t="str">
        <f>VLOOKUP(ClientDB[[#This Row],[Country Code]],'Lookup Lists'!$D$7:$E$59,2,0)</f>
        <v>Iraq</v>
      </c>
      <c r="J342" s="15">
        <v>7</v>
      </c>
      <c r="K342" s="15" t="str">
        <f>IF(ClientDB[[#This Row],[Start Date]]&gt;=$U$14,"New","")</f>
        <v/>
      </c>
      <c r="L342" s="15" t="str">
        <f>IF(AND(ClientDB[[#This Row],[Start Year]]&lt;2016,ClientDB[[#This Row],[Events]]&gt;=6),"Gift","")</f>
        <v/>
      </c>
      <c r="M34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42" s="15">
        <v>2</v>
      </c>
      <c r="O342" s="38">
        <f>ClientDB[[#This Row],[Days]]*(IF(ClientDB[[#This Row],[Days]]&gt;1,300,350))</f>
        <v>600</v>
      </c>
      <c r="P34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342" s="15" t="s">
        <v>900</v>
      </c>
      <c r="R342" s="15" t="str">
        <f>INDEX('Lookup Lists'!$H$7:$K$59,MATCH(ClientDB[[#This Row],[Country Code]],'Lookup Lists'!$G$7:$G$59,0),(MATCH(ClientDB[[#This Row],[Meal]],'Lookup Lists'!$H$6:$K$6,0)))</f>
        <v>A</v>
      </c>
    </row>
    <row r="343" spans="1:18" x14ac:dyDescent="0.2">
      <c r="A343" s="10">
        <v>37567</v>
      </c>
      <c r="B343" t="s">
        <v>602</v>
      </c>
      <c r="C343" t="s">
        <v>603</v>
      </c>
      <c r="D343" s="18">
        <v>43150</v>
      </c>
      <c r="E343" s="37">
        <f>YEAR(ClientDB[[#This Row],[Start Date]])</f>
        <v>2018</v>
      </c>
      <c r="F343" t="s">
        <v>816</v>
      </c>
      <c r="G343" t="str">
        <f>VLOOKUP(ClientDB[[#This Row],[Org Code]],'Lookup Lists'!$A$7:$B$52,2,0)</f>
        <v>IPI Bucharest</v>
      </c>
      <c r="H343" s="10" t="s">
        <v>54</v>
      </c>
      <c r="I343" s="10" t="str">
        <f>VLOOKUP(ClientDB[[#This Row],[Country Code]],'Lookup Lists'!$D$7:$E$59,2,0)</f>
        <v>Romania</v>
      </c>
      <c r="J343" s="15">
        <v>9</v>
      </c>
      <c r="K343" s="15" t="str">
        <f>IF(ClientDB[[#This Row],[Start Date]]&gt;=$U$14,"New","")</f>
        <v/>
      </c>
      <c r="L343" s="15" t="str">
        <f>IF(AND(ClientDB[[#This Row],[Start Year]]&lt;2016,ClientDB[[#This Row],[Events]]&gt;=6),"Gift","")</f>
        <v/>
      </c>
      <c r="M34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43" s="15">
        <v>3</v>
      </c>
      <c r="O343" s="38">
        <f>ClientDB[[#This Row],[Days]]*(IF(ClientDB[[#This Row],[Days]]&gt;1,300,350))</f>
        <v>900</v>
      </c>
      <c r="P34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343" s="15" t="s">
        <v>901</v>
      </c>
      <c r="R343" s="15" t="str">
        <f>INDEX('Lookup Lists'!$H$7:$K$59,MATCH(ClientDB[[#This Row],[Country Code]],'Lookup Lists'!$G$7:$G$59,0),(MATCH(ClientDB[[#This Row],[Meal]],'Lookup Lists'!$H$6:$K$6,0)))</f>
        <v>G</v>
      </c>
    </row>
    <row r="344" spans="1:18" x14ac:dyDescent="0.2">
      <c r="A344" s="10">
        <v>37571</v>
      </c>
      <c r="B344" t="s">
        <v>85</v>
      </c>
      <c r="C344" t="s">
        <v>86</v>
      </c>
      <c r="D344" s="18">
        <v>43273</v>
      </c>
      <c r="E344" s="37">
        <f>YEAR(ClientDB[[#This Row],[Start Date]])</f>
        <v>2018</v>
      </c>
      <c r="F344" t="s">
        <v>799</v>
      </c>
      <c r="G344" t="str">
        <f>VLOOKUP(ClientDB[[#This Row],[Org Code]],'Lookup Lists'!$A$7:$B$52,2,0)</f>
        <v>ByteSize</v>
      </c>
      <c r="H344" s="10" t="s">
        <v>7</v>
      </c>
      <c r="I344" s="10" t="str">
        <f>VLOOKUP(ClientDB[[#This Row],[Country Code]],'Lookup Lists'!$D$7:$E$59,2,0)</f>
        <v>Iran</v>
      </c>
      <c r="J344" s="15">
        <v>5</v>
      </c>
      <c r="K344" s="15" t="str">
        <f>IF(ClientDB[[#This Row],[Start Date]]&gt;=$U$14,"New","")</f>
        <v/>
      </c>
      <c r="L344" s="15" t="str">
        <f>IF(AND(ClientDB[[#This Row],[Start Year]]&lt;2016,ClientDB[[#This Row],[Events]]&gt;=6),"Gift","")</f>
        <v/>
      </c>
      <c r="M34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44" s="15">
        <v>3</v>
      </c>
      <c r="O344" s="38">
        <f>ClientDB[[#This Row],[Days]]*(IF(ClientDB[[#This Row],[Days]]&gt;1,300,350))</f>
        <v>900</v>
      </c>
      <c r="P34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344" s="15" t="s">
        <v>901</v>
      </c>
      <c r="R344" s="15" t="str">
        <f>INDEX('Lookup Lists'!$H$7:$K$59,MATCH(ClientDB[[#This Row],[Country Code]],'Lookup Lists'!$G$7:$G$59,0),(MATCH(ClientDB[[#This Row],[Meal]],'Lookup Lists'!$H$6:$K$6,0)))</f>
        <v>F</v>
      </c>
    </row>
    <row r="345" spans="1:18" x14ac:dyDescent="0.2">
      <c r="A345" s="10">
        <v>37598</v>
      </c>
      <c r="B345" t="s">
        <v>552</v>
      </c>
      <c r="C345" t="s">
        <v>553</v>
      </c>
      <c r="D345" s="18">
        <v>42313</v>
      </c>
      <c r="E345" s="37">
        <f>YEAR(ClientDB[[#This Row],[Start Date]])</f>
        <v>2015</v>
      </c>
      <c r="F345" t="s">
        <v>831</v>
      </c>
      <c r="G345" t="str">
        <f>VLOOKUP(ClientDB[[#This Row],[Org Code]],'Lookup Lists'!$A$7:$B$52,2,0)</f>
        <v>TatSan</v>
      </c>
      <c r="H345" s="10" t="s">
        <v>15</v>
      </c>
      <c r="I345" s="10" t="str">
        <f>VLOOKUP(ClientDB[[#This Row],[Country Code]],'Lookup Lists'!$D$7:$E$59,2,0)</f>
        <v>United Kingdom</v>
      </c>
      <c r="J345" s="15">
        <v>4</v>
      </c>
      <c r="K345" s="15" t="str">
        <f>IF(ClientDB[[#This Row],[Start Date]]&gt;=$U$14,"New","")</f>
        <v/>
      </c>
      <c r="L345" s="15" t="str">
        <f>IF(AND(ClientDB[[#This Row],[Start Year]]&lt;2016,ClientDB[[#This Row],[Events]]&gt;=6),"Gift","")</f>
        <v/>
      </c>
      <c r="M34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45" s="15">
        <v>3</v>
      </c>
      <c r="O345" s="38">
        <f>ClientDB[[#This Row],[Days]]*(IF(ClientDB[[#This Row],[Days]]&gt;1,300,350))</f>
        <v>900</v>
      </c>
      <c r="P34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345" s="15" t="s">
        <v>902</v>
      </c>
      <c r="R345" s="15" t="str">
        <f>INDEX('Lookup Lists'!$H$7:$K$59,MATCH(ClientDB[[#This Row],[Country Code]],'Lookup Lists'!$G$7:$G$59,0),(MATCH(ClientDB[[#This Row],[Meal]],'Lookup Lists'!$H$6:$K$6,0)))</f>
        <v>B</v>
      </c>
    </row>
    <row r="346" spans="1:18" x14ac:dyDescent="0.2">
      <c r="A346" s="10">
        <v>37603</v>
      </c>
      <c r="B346" t="s">
        <v>474</v>
      </c>
      <c r="C346" t="s">
        <v>475</v>
      </c>
      <c r="D346" s="18">
        <v>43876</v>
      </c>
      <c r="E346" s="37">
        <f>YEAR(ClientDB[[#This Row],[Start Date]])</f>
        <v>2020</v>
      </c>
      <c r="F346" t="s">
        <v>810</v>
      </c>
      <c r="G346" t="str">
        <f>VLOOKUP(ClientDB[[#This Row],[Org Code]],'Lookup Lists'!$A$7:$B$52,2,0)</f>
        <v>Euro-M</v>
      </c>
      <c r="H346" s="10" t="s">
        <v>7</v>
      </c>
      <c r="I346" s="10" t="str">
        <f>VLOOKUP(ClientDB[[#This Row],[Country Code]],'Lookup Lists'!$D$7:$E$59,2,0)</f>
        <v>Iran</v>
      </c>
      <c r="J346" s="15">
        <v>1</v>
      </c>
      <c r="K346" s="15" t="str">
        <f>IF(ClientDB[[#This Row],[Start Date]]&gt;=$U$14,"New","")</f>
        <v>New</v>
      </c>
      <c r="L346" s="15" t="str">
        <f>IF(AND(ClientDB[[#This Row],[Start Year]]&lt;2016,ClientDB[[#This Row],[Events]]&gt;=6),"Gift","")</f>
        <v/>
      </c>
      <c r="M34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46" s="15">
        <v>1</v>
      </c>
      <c r="O346" s="38">
        <f>ClientDB[[#This Row],[Days]]*(IF(ClientDB[[#This Row],[Days]]&gt;1,300,350))</f>
        <v>350</v>
      </c>
      <c r="P34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346" s="15" t="s">
        <v>901</v>
      </c>
      <c r="R346" s="15" t="str">
        <f>INDEX('Lookup Lists'!$H$7:$K$59,MATCH(ClientDB[[#This Row],[Country Code]],'Lookup Lists'!$G$7:$G$59,0),(MATCH(ClientDB[[#This Row],[Meal]],'Lookup Lists'!$H$6:$K$6,0)))</f>
        <v>F</v>
      </c>
    </row>
    <row r="347" spans="1:18" x14ac:dyDescent="0.2">
      <c r="A347" s="10">
        <v>37742</v>
      </c>
      <c r="B347" t="s">
        <v>255</v>
      </c>
      <c r="C347" t="s">
        <v>256</v>
      </c>
      <c r="D347" s="18">
        <v>43493</v>
      </c>
      <c r="E347" s="37">
        <f>YEAR(ClientDB[[#This Row],[Start Date]])</f>
        <v>2019</v>
      </c>
      <c r="F347" t="s">
        <v>834</v>
      </c>
      <c r="G347" t="str">
        <f>VLOOKUP(ClientDB[[#This Row],[Org Code]],'Lookup Lists'!$A$7:$B$52,2,0)</f>
        <v>Verisize</v>
      </c>
      <c r="H347" s="10" t="s">
        <v>34</v>
      </c>
      <c r="I347" s="10" t="str">
        <f>VLOOKUP(ClientDB[[#This Row],[Country Code]],'Lookup Lists'!$D$7:$E$59,2,0)</f>
        <v>United States</v>
      </c>
      <c r="J347" s="15">
        <v>2</v>
      </c>
      <c r="K347" s="15" t="str">
        <f>IF(ClientDB[[#This Row],[Start Date]]&gt;=$U$14,"New","")</f>
        <v/>
      </c>
      <c r="L347" s="15" t="str">
        <f>IF(AND(ClientDB[[#This Row],[Start Year]]&lt;2016,ClientDB[[#This Row],[Events]]&gt;=6),"Gift","")</f>
        <v/>
      </c>
      <c r="M34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47" s="15">
        <v>1</v>
      </c>
      <c r="O347" s="38">
        <f>ClientDB[[#This Row],[Days]]*(IF(ClientDB[[#This Row],[Days]]&gt;1,300,350))</f>
        <v>350</v>
      </c>
      <c r="P34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347" s="15" t="s">
        <v>901</v>
      </c>
      <c r="R347" s="15" t="str">
        <f>INDEX('Lookup Lists'!$H$7:$K$59,MATCH(ClientDB[[#This Row],[Country Code]],'Lookup Lists'!$G$7:$G$59,0),(MATCH(ClientDB[[#This Row],[Meal]],'Lookup Lists'!$H$6:$K$6,0)))</f>
        <v>G</v>
      </c>
    </row>
    <row r="348" spans="1:18" x14ac:dyDescent="0.2">
      <c r="A348" s="10">
        <v>37780</v>
      </c>
      <c r="B348" t="s">
        <v>487</v>
      </c>
      <c r="C348" t="s">
        <v>488</v>
      </c>
      <c r="D348" s="18">
        <v>43356</v>
      </c>
      <c r="E348" s="37">
        <f>YEAR(ClientDB[[#This Row],[Start Date]])</f>
        <v>2018</v>
      </c>
      <c r="F348" t="s">
        <v>821</v>
      </c>
      <c r="G348" t="str">
        <f>VLOOKUP(ClientDB[[#This Row],[Org Code]],'Lookup Lists'!$A$7:$B$52,2,0)</f>
        <v>Parmis Technologies</v>
      </c>
      <c r="H348" s="10" t="s">
        <v>63</v>
      </c>
      <c r="I348" s="10" t="str">
        <f>VLOOKUP(ClientDB[[#This Row],[Country Code]],'Lookup Lists'!$D$7:$E$59,2,0)</f>
        <v>Armenia</v>
      </c>
      <c r="J348" s="15">
        <v>4</v>
      </c>
      <c r="K348" s="15" t="str">
        <f>IF(ClientDB[[#This Row],[Start Date]]&gt;=$U$14,"New","")</f>
        <v/>
      </c>
      <c r="L348" s="15" t="str">
        <f>IF(AND(ClientDB[[#This Row],[Start Year]]&lt;2016,ClientDB[[#This Row],[Events]]&gt;=6),"Gift","")</f>
        <v/>
      </c>
      <c r="M34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48" s="15">
        <v>1</v>
      </c>
      <c r="O348" s="38">
        <f>ClientDB[[#This Row],[Days]]*(IF(ClientDB[[#This Row],[Days]]&gt;1,300,350))</f>
        <v>350</v>
      </c>
      <c r="P34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348" s="15" t="s">
        <v>901</v>
      </c>
      <c r="R348" s="15" t="str">
        <f>INDEX('Lookup Lists'!$H$7:$K$59,MATCH(ClientDB[[#This Row],[Country Code]],'Lookup Lists'!$G$7:$G$59,0),(MATCH(ClientDB[[#This Row],[Meal]],'Lookup Lists'!$H$6:$K$6,0)))</f>
        <v>D</v>
      </c>
    </row>
    <row r="349" spans="1:18" x14ac:dyDescent="0.2">
      <c r="A349" s="10">
        <v>37797</v>
      </c>
      <c r="B349" t="s">
        <v>75</v>
      </c>
      <c r="C349" t="s">
        <v>76</v>
      </c>
      <c r="D349" s="18">
        <v>43413</v>
      </c>
      <c r="E349" s="37">
        <f>YEAR(ClientDB[[#This Row],[Start Date]])</f>
        <v>2018</v>
      </c>
      <c r="F349" t="s">
        <v>798</v>
      </c>
      <c r="G349" t="str">
        <f>VLOOKUP(ClientDB[[#This Row],[Org Code]],'Lookup Lists'!$A$7:$B$52,2,0)</f>
        <v>Axell Group</v>
      </c>
      <c r="H349" s="10" t="s">
        <v>78</v>
      </c>
      <c r="I349" s="10" t="str">
        <f>VLOOKUP(ClientDB[[#This Row],[Country Code]],'Lookup Lists'!$D$7:$E$59,2,0)</f>
        <v>Sweden</v>
      </c>
      <c r="J349" s="15">
        <v>2</v>
      </c>
      <c r="K349" s="15" t="str">
        <f>IF(ClientDB[[#This Row],[Start Date]]&gt;=$U$14,"New","")</f>
        <v/>
      </c>
      <c r="L349" s="15" t="str">
        <f>IF(AND(ClientDB[[#This Row],[Start Year]]&lt;2016,ClientDB[[#This Row],[Events]]&gt;=6),"Gift","")</f>
        <v/>
      </c>
      <c r="M34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49" s="15">
        <v>3</v>
      </c>
      <c r="O349" s="38">
        <f>ClientDB[[#This Row],[Days]]*(IF(ClientDB[[#This Row],[Days]]&gt;1,300,350))</f>
        <v>900</v>
      </c>
      <c r="P34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349" s="15" t="s">
        <v>900</v>
      </c>
      <c r="R349" s="15" t="str">
        <f>INDEX('Lookup Lists'!$H$7:$K$59,MATCH(ClientDB[[#This Row],[Country Code]],'Lookup Lists'!$G$7:$G$59,0),(MATCH(ClientDB[[#This Row],[Meal]],'Lookup Lists'!$H$6:$K$6,0)))</f>
        <v>C</v>
      </c>
    </row>
    <row r="350" spans="1:18" x14ac:dyDescent="0.2">
      <c r="A350" s="10">
        <v>37895</v>
      </c>
      <c r="B350" t="s">
        <v>341</v>
      </c>
      <c r="C350" t="s">
        <v>342</v>
      </c>
      <c r="D350" s="18">
        <v>42261</v>
      </c>
      <c r="E350" s="37">
        <f>YEAR(ClientDB[[#This Row],[Start Date]])</f>
        <v>2015</v>
      </c>
      <c r="F350" t="s">
        <v>827</v>
      </c>
      <c r="G350" t="str">
        <f>VLOOKUP(ClientDB[[#This Row],[Org Code]],'Lookup Lists'!$A$7:$B$52,2,0)</f>
        <v>Ripple Com</v>
      </c>
      <c r="H350" s="10" t="s">
        <v>15</v>
      </c>
      <c r="I350" s="10" t="str">
        <f>VLOOKUP(ClientDB[[#This Row],[Country Code]],'Lookup Lists'!$D$7:$E$59,2,0)</f>
        <v>United Kingdom</v>
      </c>
      <c r="J350" s="15">
        <v>7</v>
      </c>
      <c r="K350" s="15" t="str">
        <f>IF(ClientDB[[#This Row],[Start Date]]&gt;=$U$14,"New","")</f>
        <v/>
      </c>
      <c r="L350" s="15" t="str">
        <f>IF(AND(ClientDB[[#This Row],[Start Year]]&lt;2016,ClientDB[[#This Row],[Events]]&gt;=6),"Gift","")</f>
        <v>Gift</v>
      </c>
      <c r="M35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50" s="15">
        <v>2</v>
      </c>
      <c r="O350" s="38">
        <f>ClientDB[[#This Row],[Days]]*(IF(ClientDB[[#This Row],[Days]]&gt;1,300,350))</f>
        <v>600</v>
      </c>
      <c r="P35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350" s="15" t="s">
        <v>901</v>
      </c>
      <c r="R350" s="15" t="str">
        <f>INDEX('Lookup Lists'!$H$7:$K$59,MATCH(ClientDB[[#This Row],[Country Code]],'Lookup Lists'!$G$7:$G$59,0),(MATCH(ClientDB[[#This Row],[Meal]],'Lookup Lists'!$H$6:$K$6,0)))</f>
        <v>E</v>
      </c>
    </row>
    <row r="351" spans="1:18" x14ac:dyDescent="0.2">
      <c r="A351" s="10">
        <v>37902</v>
      </c>
      <c r="B351" t="s">
        <v>296</v>
      </c>
      <c r="C351" t="s">
        <v>297</v>
      </c>
      <c r="D351" s="18">
        <v>42815</v>
      </c>
      <c r="E351" s="37">
        <f>YEAR(ClientDB[[#This Row],[Start Date]])</f>
        <v>2017</v>
      </c>
      <c r="F351" t="s">
        <v>796</v>
      </c>
      <c r="G351" t="str">
        <f>VLOOKUP(ClientDB[[#This Row],[Org Code]],'Lookup Lists'!$A$7:$B$52,2,0)</f>
        <v>Ares</v>
      </c>
      <c r="H351" s="10" t="s">
        <v>46</v>
      </c>
      <c r="I351" s="10" t="str">
        <f>VLOOKUP(ClientDB[[#This Row],[Country Code]],'Lookup Lists'!$D$7:$E$59,2,0)</f>
        <v>Germany</v>
      </c>
      <c r="J351" s="15">
        <v>9</v>
      </c>
      <c r="K351" s="15" t="str">
        <f>IF(ClientDB[[#This Row],[Start Date]]&gt;=$U$14,"New","")</f>
        <v/>
      </c>
      <c r="L351" s="15" t="str">
        <f>IF(AND(ClientDB[[#This Row],[Start Year]]&lt;2016,ClientDB[[#This Row],[Events]]&gt;=6),"Gift","")</f>
        <v/>
      </c>
      <c r="M35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51" s="15">
        <v>3</v>
      </c>
      <c r="O351" s="38">
        <f>ClientDB[[#This Row],[Days]]*(IF(ClientDB[[#This Row],[Days]]&gt;1,300,350))</f>
        <v>900</v>
      </c>
      <c r="P35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351" s="15" t="s">
        <v>901</v>
      </c>
      <c r="R351" s="15" t="str">
        <f>INDEX('Lookup Lists'!$H$7:$K$59,MATCH(ClientDB[[#This Row],[Country Code]],'Lookup Lists'!$G$7:$G$59,0),(MATCH(ClientDB[[#This Row],[Meal]],'Lookup Lists'!$H$6:$K$6,0)))</f>
        <v>D</v>
      </c>
    </row>
    <row r="352" spans="1:18" x14ac:dyDescent="0.2">
      <c r="A352" s="10">
        <v>37959</v>
      </c>
      <c r="B352" t="s">
        <v>221</v>
      </c>
      <c r="C352" t="s">
        <v>222</v>
      </c>
      <c r="D352" s="18">
        <v>43259</v>
      </c>
      <c r="E352" s="37">
        <f>YEAR(ClientDB[[#This Row],[Start Date]])</f>
        <v>2018</v>
      </c>
      <c r="F352" t="s">
        <v>821</v>
      </c>
      <c r="G352" t="str">
        <f>VLOOKUP(ClientDB[[#This Row],[Org Code]],'Lookup Lists'!$A$7:$B$52,2,0)</f>
        <v>Parmis Technologies</v>
      </c>
      <c r="H352" s="10" t="s">
        <v>34</v>
      </c>
      <c r="I352" s="10" t="str">
        <f>VLOOKUP(ClientDB[[#This Row],[Country Code]],'Lookup Lists'!$D$7:$E$59,2,0)</f>
        <v>United States</v>
      </c>
      <c r="J352" s="15">
        <v>6</v>
      </c>
      <c r="K352" s="15" t="str">
        <f>IF(ClientDB[[#This Row],[Start Date]]&gt;=$U$14,"New","")</f>
        <v/>
      </c>
      <c r="L352" s="15" t="str">
        <f>IF(AND(ClientDB[[#This Row],[Start Year]]&lt;2016,ClientDB[[#This Row],[Events]]&gt;=6),"Gift","")</f>
        <v/>
      </c>
      <c r="M35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52" s="15">
        <v>1</v>
      </c>
      <c r="O352" s="38">
        <f>ClientDB[[#This Row],[Days]]*(IF(ClientDB[[#This Row],[Days]]&gt;1,300,350))</f>
        <v>350</v>
      </c>
      <c r="P35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300</v>
      </c>
      <c r="Q352" s="15" t="s">
        <v>902</v>
      </c>
      <c r="R352" s="15" t="str">
        <f>INDEX('Lookup Lists'!$H$7:$K$59,MATCH(ClientDB[[#This Row],[Country Code]],'Lookup Lists'!$G$7:$G$59,0),(MATCH(ClientDB[[#This Row],[Meal]],'Lookup Lists'!$H$6:$K$6,0)))</f>
        <v>F</v>
      </c>
    </row>
    <row r="353" spans="1:18" x14ac:dyDescent="0.2">
      <c r="A353" s="10">
        <v>37974</v>
      </c>
      <c r="B353" t="s">
        <v>614</v>
      </c>
      <c r="C353" t="s">
        <v>615</v>
      </c>
      <c r="D353" s="18">
        <v>43951</v>
      </c>
      <c r="E353" s="37">
        <f>YEAR(ClientDB[[#This Row],[Start Date]])</f>
        <v>2020</v>
      </c>
      <c r="F353" t="s">
        <v>799</v>
      </c>
      <c r="G353" t="str">
        <f>VLOOKUP(ClientDB[[#This Row],[Org Code]],'Lookup Lists'!$A$7:$B$52,2,0)</f>
        <v>ByteSize</v>
      </c>
      <c r="H353" s="10" t="s">
        <v>38</v>
      </c>
      <c r="I353" s="10" t="str">
        <f>VLOOKUP(ClientDB[[#This Row],[Country Code]],'Lookup Lists'!$D$7:$E$59,2,0)</f>
        <v>Czech Republic</v>
      </c>
      <c r="J353" s="15">
        <v>2</v>
      </c>
      <c r="K353" s="15" t="str">
        <f>IF(ClientDB[[#This Row],[Start Date]]&gt;=$U$14,"New","")</f>
        <v>New</v>
      </c>
      <c r="L353" s="15" t="str">
        <f>IF(AND(ClientDB[[#This Row],[Start Year]]&lt;2016,ClientDB[[#This Row],[Events]]&gt;=6),"Gift","")</f>
        <v/>
      </c>
      <c r="M35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53" s="15">
        <v>3</v>
      </c>
      <c r="O353" s="38">
        <f>ClientDB[[#This Row],[Days]]*(IF(ClientDB[[#This Row],[Days]]&gt;1,300,350))</f>
        <v>900</v>
      </c>
      <c r="P35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353" s="15" t="s">
        <v>901</v>
      </c>
      <c r="R353" s="15" t="str">
        <f>INDEX('Lookup Lists'!$H$7:$K$59,MATCH(ClientDB[[#This Row],[Country Code]],'Lookup Lists'!$G$7:$G$59,0),(MATCH(ClientDB[[#This Row],[Meal]],'Lookup Lists'!$H$6:$K$6,0)))</f>
        <v>D</v>
      </c>
    </row>
    <row r="354" spans="1:18" x14ac:dyDescent="0.2">
      <c r="A354" s="10">
        <v>38307</v>
      </c>
      <c r="B354" t="s">
        <v>677</v>
      </c>
      <c r="C354" t="s">
        <v>678</v>
      </c>
      <c r="D354" s="18">
        <v>43579</v>
      </c>
      <c r="E354" s="37">
        <f>YEAR(ClientDB[[#This Row],[Start Date]])</f>
        <v>2019</v>
      </c>
      <c r="F354" t="s">
        <v>831</v>
      </c>
      <c r="G354" t="str">
        <f>VLOOKUP(ClientDB[[#This Row],[Org Code]],'Lookup Lists'!$A$7:$B$52,2,0)</f>
        <v>TatSan</v>
      </c>
      <c r="H354" s="10" t="s">
        <v>155</v>
      </c>
      <c r="I354" s="10" t="str">
        <f>VLOOKUP(ClientDB[[#This Row],[Country Code]],'Lookup Lists'!$D$7:$E$59,2,0)</f>
        <v>United Arab Emirates</v>
      </c>
      <c r="J354" s="15">
        <v>3</v>
      </c>
      <c r="K354" s="15" t="str">
        <f>IF(ClientDB[[#This Row],[Start Date]]&gt;=$U$14,"New","")</f>
        <v/>
      </c>
      <c r="L354" s="15" t="str">
        <f>IF(AND(ClientDB[[#This Row],[Start Year]]&lt;2016,ClientDB[[#This Row],[Events]]&gt;=6),"Gift","")</f>
        <v/>
      </c>
      <c r="M35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54" s="15">
        <v>1</v>
      </c>
      <c r="O354" s="38">
        <f>ClientDB[[#This Row],[Days]]*(IF(ClientDB[[#This Row],[Days]]&gt;1,300,350))</f>
        <v>350</v>
      </c>
      <c r="P35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354" s="15" t="s">
        <v>902</v>
      </c>
      <c r="R354" s="15" t="str">
        <f>INDEX('Lookup Lists'!$H$7:$K$59,MATCH(ClientDB[[#This Row],[Country Code]],'Lookup Lists'!$G$7:$G$59,0),(MATCH(ClientDB[[#This Row],[Meal]],'Lookup Lists'!$H$6:$K$6,0)))</f>
        <v>B</v>
      </c>
    </row>
    <row r="355" spans="1:18" x14ac:dyDescent="0.2">
      <c r="A355" s="10">
        <v>38372</v>
      </c>
      <c r="B355" t="s">
        <v>679</v>
      </c>
      <c r="C355" t="s">
        <v>680</v>
      </c>
      <c r="D355" s="18">
        <v>42668</v>
      </c>
      <c r="E355" s="37">
        <f>YEAR(ClientDB[[#This Row],[Start Date]])</f>
        <v>2016</v>
      </c>
      <c r="F355" t="s">
        <v>825</v>
      </c>
      <c r="G355" t="str">
        <f>VLOOKUP(ClientDB[[#This Row],[Org Code]],'Lookup Lists'!$A$7:$B$52,2,0)</f>
        <v>Qinisar</v>
      </c>
      <c r="H355" s="10" t="s">
        <v>54</v>
      </c>
      <c r="I355" s="10" t="str">
        <f>VLOOKUP(ClientDB[[#This Row],[Country Code]],'Lookup Lists'!$D$7:$E$59,2,0)</f>
        <v>Romania</v>
      </c>
      <c r="J355" s="15">
        <v>5</v>
      </c>
      <c r="K355" s="15" t="str">
        <f>IF(ClientDB[[#This Row],[Start Date]]&gt;=$U$14,"New","")</f>
        <v/>
      </c>
      <c r="L355" s="15" t="str">
        <f>IF(AND(ClientDB[[#This Row],[Start Year]]&lt;2016,ClientDB[[#This Row],[Events]]&gt;=6),"Gift","")</f>
        <v/>
      </c>
      <c r="M35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55" s="15">
        <v>2</v>
      </c>
      <c r="O355" s="38">
        <f>ClientDB[[#This Row],[Days]]*(IF(ClientDB[[#This Row],[Days]]&gt;1,300,350))</f>
        <v>600</v>
      </c>
      <c r="P35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550</v>
      </c>
      <c r="Q355" s="15" t="s">
        <v>902</v>
      </c>
      <c r="R355" s="15" t="str">
        <f>INDEX('Lookup Lists'!$H$7:$K$59,MATCH(ClientDB[[#This Row],[Country Code]],'Lookup Lists'!$G$7:$G$59,0),(MATCH(ClientDB[[#This Row],[Meal]],'Lookup Lists'!$H$6:$K$6,0)))</f>
        <v>C</v>
      </c>
    </row>
    <row r="356" spans="1:18" x14ac:dyDescent="0.2">
      <c r="A356" s="10">
        <v>38639</v>
      </c>
      <c r="B356" t="s">
        <v>206</v>
      </c>
      <c r="C356" t="s">
        <v>207</v>
      </c>
      <c r="D356" s="18">
        <v>43365</v>
      </c>
      <c r="E356" s="37">
        <f>YEAR(ClientDB[[#This Row],[Start Date]])</f>
        <v>2018</v>
      </c>
      <c r="F356" t="s">
        <v>817</v>
      </c>
      <c r="G356" t="str">
        <f>VLOOKUP(ClientDB[[#This Row],[Org Code]],'Lookup Lists'!$A$7:$B$52,2,0)</f>
        <v>LACNE</v>
      </c>
      <c r="H356" s="10" t="s">
        <v>15</v>
      </c>
      <c r="I356" s="10" t="str">
        <f>VLOOKUP(ClientDB[[#This Row],[Country Code]],'Lookup Lists'!$D$7:$E$59,2,0)</f>
        <v>United Kingdom</v>
      </c>
      <c r="J356" s="15">
        <v>12</v>
      </c>
      <c r="K356" s="15" t="str">
        <f>IF(ClientDB[[#This Row],[Start Date]]&gt;=$U$14,"New","")</f>
        <v/>
      </c>
      <c r="L356" s="15" t="str">
        <f>IF(AND(ClientDB[[#This Row],[Start Year]]&lt;2016,ClientDB[[#This Row],[Events]]&gt;=6),"Gift","")</f>
        <v/>
      </c>
      <c r="M35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356" s="15">
        <v>1</v>
      </c>
      <c r="O356" s="38">
        <f>ClientDB[[#This Row],[Days]]*(IF(ClientDB[[#This Row],[Days]]&gt;1,300,350))</f>
        <v>350</v>
      </c>
      <c r="P35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356" s="15" t="s">
        <v>901</v>
      </c>
      <c r="R356" s="15" t="str">
        <f>INDEX('Lookup Lists'!$H$7:$K$59,MATCH(ClientDB[[#This Row],[Country Code]],'Lookup Lists'!$G$7:$G$59,0),(MATCH(ClientDB[[#This Row],[Meal]],'Lookup Lists'!$H$6:$K$6,0)))</f>
        <v>E</v>
      </c>
    </row>
    <row r="357" spans="1:18" x14ac:dyDescent="0.2">
      <c r="A357" s="10">
        <v>38726</v>
      </c>
      <c r="B357" t="s">
        <v>350</v>
      </c>
      <c r="C357" t="s">
        <v>351</v>
      </c>
      <c r="D357" s="18">
        <v>43379</v>
      </c>
      <c r="E357" s="37">
        <f>YEAR(ClientDB[[#This Row],[Start Date]])</f>
        <v>2018</v>
      </c>
      <c r="F357" t="s">
        <v>796</v>
      </c>
      <c r="G357" t="str">
        <f>VLOOKUP(ClientDB[[#This Row],[Org Code]],'Lookup Lists'!$A$7:$B$52,2,0)</f>
        <v>Ares</v>
      </c>
      <c r="H357" s="10" t="s">
        <v>38</v>
      </c>
      <c r="I357" s="10" t="str">
        <f>VLOOKUP(ClientDB[[#This Row],[Country Code]],'Lookup Lists'!$D$7:$E$59,2,0)</f>
        <v>Czech Republic</v>
      </c>
      <c r="J357" s="15">
        <v>30</v>
      </c>
      <c r="K357" s="15" t="str">
        <f>IF(ClientDB[[#This Row],[Start Date]]&gt;=$U$14,"New","")</f>
        <v/>
      </c>
      <c r="L357" s="15" t="str">
        <f>IF(AND(ClientDB[[#This Row],[Start Year]]&lt;2016,ClientDB[[#This Row],[Events]]&gt;=6),"Gift","")</f>
        <v/>
      </c>
      <c r="M35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Platinum</v>
      </c>
      <c r="N357" s="15">
        <v>1</v>
      </c>
      <c r="O357" s="38">
        <f>ClientDB[[#This Row],[Days]]*(IF(ClientDB[[#This Row],[Days]]&gt;1,300,350))</f>
        <v>350</v>
      </c>
      <c r="P35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357" s="15" t="s">
        <v>901</v>
      </c>
      <c r="R357" s="15" t="str">
        <f>INDEX('Lookup Lists'!$H$7:$K$59,MATCH(ClientDB[[#This Row],[Country Code]],'Lookup Lists'!$G$7:$G$59,0),(MATCH(ClientDB[[#This Row],[Meal]],'Lookup Lists'!$H$6:$K$6,0)))</f>
        <v>D</v>
      </c>
    </row>
    <row r="358" spans="1:18" x14ac:dyDescent="0.2">
      <c r="A358" s="10">
        <v>38761</v>
      </c>
      <c r="B358" t="s">
        <v>263</v>
      </c>
      <c r="C358" t="s">
        <v>264</v>
      </c>
      <c r="D358" s="18">
        <v>42839</v>
      </c>
      <c r="E358" s="37">
        <f>YEAR(ClientDB[[#This Row],[Start Date]])</f>
        <v>2017</v>
      </c>
      <c r="F358" t="s">
        <v>805</v>
      </c>
      <c r="G358" t="str">
        <f>VLOOKUP(ClientDB[[#This Row],[Org Code]],'Lookup Lists'!$A$7:$B$52,2,0)</f>
        <v>Data Pro Sys</v>
      </c>
      <c r="H358" s="10" t="s">
        <v>46</v>
      </c>
      <c r="I358" s="10" t="str">
        <f>VLOOKUP(ClientDB[[#This Row],[Country Code]],'Lookup Lists'!$D$7:$E$59,2,0)</f>
        <v>Germany</v>
      </c>
      <c r="J358" s="15">
        <v>16</v>
      </c>
      <c r="K358" s="15" t="str">
        <f>IF(ClientDB[[#This Row],[Start Date]]&gt;=$U$14,"New","")</f>
        <v/>
      </c>
      <c r="L358" s="15" t="str">
        <f>IF(AND(ClientDB[[#This Row],[Start Year]]&lt;2016,ClientDB[[#This Row],[Events]]&gt;=6),"Gift","")</f>
        <v/>
      </c>
      <c r="M35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358" s="15">
        <v>1</v>
      </c>
      <c r="O358" s="38">
        <f>ClientDB[[#This Row],[Days]]*(IF(ClientDB[[#This Row],[Days]]&gt;1,300,350))</f>
        <v>350</v>
      </c>
      <c r="P35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358" s="15" t="s">
        <v>902</v>
      </c>
      <c r="R358" s="15" t="str">
        <f>INDEX('Lookup Lists'!$H$7:$K$59,MATCH(ClientDB[[#This Row],[Country Code]],'Lookup Lists'!$G$7:$G$59,0),(MATCH(ClientDB[[#This Row],[Meal]],'Lookup Lists'!$H$6:$K$6,0)))</f>
        <v>B</v>
      </c>
    </row>
    <row r="359" spans="1:18" x14ac:dyDescent="0.2">
      <c r="A359" s="10">
        <v>38839</v>
      </c>
      <c r="B359" t="s">
        <v>176</v>
      </c>
      <c r="C359" t="s">
        <v>177</v>
      </c>
      <c r="D359" s="18">
        <v>44050</v>
      </c>
      <c r="E359" s="37">
        <f>YEAR(ClientDB[[#This Row],[Start Date]])</f>
        <v>2020</v>
      </c>
      <c r="F359" t="s">
        <v>809</v>
      </c>
      <c r="G359" t="str">
        <f>VLOOKUP(ClientDB[[#This Row],[Org Code]],'Lookup Lists'!$A$7:$B$52,2,0)</f>
        <v>Epsilon Tech</v>
      </c>
      <c r="H359" s="10" t="s">
        <v>178</v>
      </c>
      <c r="I359" s="10" t="str">
        <f>VLOOKUP(ClientDB[[#This Row],[Country Code]],'Lookup Lists'!$D$7:$E$59,2,0)</f>
        <v>Mauritius</v>
      </c>
      <c r="J359" s="15">
        <v>1</v>
      </c>
      <c r="K359" s="15" t="str">
        <f>IF(ClientDB[[#This Row],[Start Date]]&gt;=$U$14,"New","")</f>
        <v>New</v>
      </c>
      <c r="L359" s="15" t="str">
        <f>IF(AND(ClientDB[[#This Row],[Start Year]]&lt;2016,ClientDB[[#This Row],[Events]]&gt;=6),"Gift","")</f>
        <v/>
      </c>
      <c r="M359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59" s="15">
        <v>3</v>
      </c>
      <c r="O359" s="38">
        <f>ClientDB[[#This Row],[Days]]*(IF(ClientDB[[#This Row],[Days]]&gt;1,300,350))</f>
        <v>900</v>
      </c>
      <c r="P359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359" s="15" t="s">
        <v>901</v>
      </c>
      <c r="R359" s="15" t="str">
        <f>INDEX('Lookup Lists'!$H$7:$K$59,MATCH(ClientDB[[#This Row],[Country Code]],'Lookup Lists'!$G$7:$G$59,0),(MATCH(ClientDB[[#This Row],[Meal]],'Lookup Lists'!$H$6:$K$6,0)))</f>
        <v>F</v>
      </c>
    </row>
    <row r="360" spans="1:18" x14ac:dyDescent="0.2">
      <c r="A360" s="10">
        <v>38892</v>
      </c>
      <c r="B360" t="s">
        <v>661</v>
      </c>
      <c r="C360" t="s">
        <v>662</v>
      </c>
      <c r="D360" s="18">
        <v>42402</v>
      </c>
      <c r="E360" s="37">
        <f>YEAR(ClientDB[[#This Row],[Start Date]])</f>
        <v>2016</v>
      </c>
      <c r="F360" t="s">
        <v>820</v>
      </c>
      <c r="G360" t="str">
        <f>VLOOKUP(ClientDB[[#This Row],[Org Code]],'Lookup Lists'!$A$7:$B$52,2,0)</f>
        <v>Oglev</v>
      </c>
      <c r="H360" s="10" t="s">
        <v>124</v>
      </c>
      <c r="I360" s="10" t="str">
        <f>VLOOKUP(ClientDB[[#This Row],[Country Code]],'Lookup Lists'!$D$7:$E$59,2,0)</f>
        <v>Lebanon</v>
      </c>
      <c r="J360" s="15">
        <v>18</v>
      </c>
      <c r="K360" s="15" t="str">
        <f>IF(ClientDB[[#This Row],[Start Date]]&gt;=$U$14,"New","")</f>
        <v/>
      </c>
      <c r="L360" s="15" t="str">
        <f>IF(AND(ClientDB[[#This Row],[Start Year]]&lt;2016,ClientDB[[#This Row],[Events]]&gt;=6),"Gift","")</f>
        <v/>
      </c>
      <c r="M360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Silver</v>
      </c>
      <c r="N360" s="15">
        <v>1</v>
      </c>
      <c r="O360" s="38">
        <f>ClientDB[[#This Row],[Days]]*(IF(ClientDB[[#This Row],[Days]]&gt;1,300,350))</f>
        <v>350</v>
      </c>
      <c r="P360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280</v>
      </c>
      <c r="Q360" s="15" t="s">
        <v>900</v>
      </c>
      <c r="R360" s="15" t="str">
        <f>INDEX('Lookup Lists'!$H$7:$K$59,MATCH(ClientDB[[#This Row],[Country Code]],'Lookup Lists'!$G$7:$G$59,0),(MATCH(ClientDB[[#This Row],[Meal]],'Lookup Lists'!$H$6:$K$6,0)))</f>
        <v>C</v>
      </c>
    </row>
    <row r="361" spans="1:18" x14ac:dyDescent="0.2">
      <c r="A361" s="10">
        <v>39126</v>
      </c>
      <c r="B361" t="s">
        <v>654</v>
      </c>
      <c r="C361" t="s">
        <v>655</v>
      </c>
      <c r="D361" s="18">
        <v>42272</v>
      </c>
      <c r="E361" s="37">
        <f>YEAR(ClientDB[[#This Row],[Start Date]])</f>
        <v>2015</v>
      </c>
      <c r="F361" t="s">
        <v>827</v>
      </c>
      <c r="G361" t="str">
        <f>VLOOKUP(ClientDB[[#This Row],[Org Code]],'Lookup Lists'!$A$7:$B$52,2,0)</f>
        <v>Ripple Com</v>
      </c>
      <c r="H361" s="10" t="s">
        <v>78</v>
      </c>
      <c r="I361" s="10" t="str">
        <f>VLOOKUP(ClientDB[[#This Row],[Country Code]],'Lookup Lists'!$D$7:$E$59,2,0)</f>
        <v>Sweden</v>
      </c>
      <c r="J361" s="15">
        <v>20</v>
      </c>
      <c r="K361" s="15" t="str">
        <f>IF(ClientDB[[#This Row],[Start Date]]&gt;=$U$14,"New","")</f>
        <v/>
      </c>
      <c r="L361" s="15" t="str">
        <f>IF(AND(ClientDB[[#This Row],[Start Year]]&lt;2016,ClientDB[[#This Row],[Events]]&gt;=6),"Gift","")</f>
        <v>Gift</v>
      </c>
      <c r="M361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Gold</v>
      </c>
      <c r="N361" s="15">
        <v>2</v>
      </c>
      <c r="O361" s="38">
        <f>ClientDB[[#This Row],[Days]]*(IF(ClientDB[[#This Row],[Days]]&gt;1,300,350))</f>
        <v>600</v>
      </c>
      <c r="P361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361" s="15" t="s">
        <v>902</v>
      </c>
      <c r="R361" s="15" t="str">
        <f>INDEX('Lookup Lists'!$H$7:$K$59,MATCH(ClientDB[[#This Row],[Country Code]],'Lookup Lists'!$G$7:$G$59,0),(MATCH(ClientDB[[#This Row],[Meal]],'Lookup Lists'!$H$6:$K$6,0)))</f>
        <v>C</v>
      </c>
    </row>
    <row r="362" spans="1:18" x14ac:dyDescent="0.2">
      <c r="A362" s="10">
        <v>39356</v>
      </c>
      <c r="B362" t="s">
        <v>291</v>
      </c>
      <c r="C362" t="s">
        <v>292</v>
      </c>
      <c r="D362" s="18">
        <v>42265</v>
      </c>
      <c r="E362" s="37">
        <f>YEAR(ClientDB[[#This Row],[Start Date]])</f>
        <v>2015</v>
      </c>
      <c r="F362" t="s">
        <v>814</v>
      </c>
      <c r="G362" t="str">
        <f>VLOOKUP(ClientDB[[#This Row],[Org Code]],'Lookup Lists'!$A$7:$B$52,2,0)</f>
        <v>ICANT</v>
      </c>
      <c r="H362" s="10" t="s">
        <v>15</v>
      </c>
      <c r="I362" s="10" t="str">
        <f>VLOOKUP(ClientDB[[#This Row],[Country Code]],'Lookup Lists'!$D$7:$E$59,2,0)</f>
        <v>United Kingdom</v>
      </c>
      <c r="J362" s="15">
        <v>36</v>
      </c>
      <c r="K362" s="15" t="str">
        <f>IF(ClientDB[[#This Row],[Start Date]]&gt;=$U$14,"New","")</f>
        <v/>
      </c>
      <c r="L362" s="15" t="str">
        <f>IF(AND(ClientDB[[#This Row],[Start Year]]&lt;2016,ClientDB[[#This Row],[Events]]&gt;=6),"Gift","")</f>
        <v>Gift</v>
      </c>
      <c r="M362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Platinum</v>
      </c>
      <c r="N362" s="15">
        <v>2</v>
      </c>
      <c r="O362" s="38">
        <f>ClientDB[[#This Row],[Days]]*(IF(ClientDB[[#This Row],[Days]]&gt;1,300,350))</f>
        <v>600</v>
      </c>
      <c r="P362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480</v>
      </c>
      <c r="Q362" s="15" t="s">
        <v>902</v>
      </c>
      <c r="R362" s="15" t="str">
        <f>INDEX('Lookup Lists'!$H$7:$K$59,MATCH(ClientDB[[#This Row],[Country Code]],'Lookup Lists'!$G$7:$G$59,0),(MATCH(ClientDB[[#This Row],[Meal]],'Lookup Lists'!$H$6:$K$6,0)))</f>
        <v>B</v>
      </c>
    </row>
    <row r="363" spans="1:18" x14ac:dyDescent="0.2">
      <c r="A363" s="10">
        <v>39376</v>
      </c>
      <c r="B363" t="s">
        <v>403</v>
      </c>
      <c r="C363" t="s">
        <v>404</v>
      </c>
      <c r="D363" s="18">
        <v>43976</v>
      </c>
      <c r="E363" s="37">
        <f>YEAR(ClientDB[[#This Row],[Start Date]])</f>
        <v>2020</v>
      </c>
      <c r="F363" t="s">
        <v>817</v>
      </c>
      <c r="G363" t="str">
        <f>VLOOKUP(ClientDB[[#This Row],[Org Code]],'Lookup Lists'!$A$7:$B$52,2,0)</f>
        <v>LACNE</v>
      </c>
      <c r="H363" s="10" t="s">
        <v>155</v>
      </c>
      <c r="I363" s="10" t="str">
        <f>VLOOKUP(ClientDB[[#This Row],[Country Code]],'Lookup Lists'!$D$7:$E$59,2,0)</f>
        <v>United Arab Emirates</v>
      </c>
      <c r="J363" s="15">
        <v>2</v>
      </c>
      <c r="K363" s="15" t="str">
        <f>IF(ClientDB[[#This Row],[Start Date]]&gt;=$U$14,"New","")</f>
        <v>New</v>
      </c>
      <c r="L363" s="15" t="str">
        <f>IF(AND(ClientDB[[#This Row],[Start Year]]&lt;2016,ClientDB[[#This Row],[Events]]&gt;=6),"Gift","")</f>
        <v/>
      </c>
      <c r="M363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63" s="15">
        <v>3</v>
      </c>
      <c r="O363" s="38">
        <f>ClientDB[[#This Row],[Days]]*(IF(ClientDB[[#This Row],[Days]]&gt;1,300,350))</f>
        <v>900</v>
      </c>
      <c r="P363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363" s="15" t="s">
        <v>901</v>
      </c>
      <c r="R363" s="15" t="str">
        <f>INDEX('Lookup Lists'!$H$7:$K$59,MATCH(ClientDB[[#This Row],[Country Code]],'Lookup Lists'!$G$7:$G$59,0),(MATCH(ClientDB[[#This Row],[Meal]],'Lookup Lists'!$H$6:$K$6,0)))</f>
        <v>D</v>
      </c>
    </row>
    <row r="364" spans="1:18" x14ac:dyDescent="0.2">
      <c r="A364" s="10">
        <v>39407</v>
      </c>
      <c r="B364" t="s">
        <v>197</v>
      </c>
      <c r="C364" t="s">
        <v>198</v>
      </c>
      <c r="D364" s="18">
        <v>42756</v>
      </c>
      <c r="E364" s="37">
        <f>YEAR(ClientDB[[#This Row],[Start Date]])</f>
        <v>2017</v>
      </c>
      <c r="F364" t="s">
        <v>795</v>
      </c>
      <c r="G364" t="str">
        <f>VLOOKUP(ClientDB[[#This Row],[Org Code]],'Lookup Lists'!$A$7:$B$52,2,0)</f>
        <v>AHA Networks</v>
      </c>
      <c r="H364" s="10" t="s">
        <v>59</v>
      </c>
      <c r="I364" s="10" t="str">
        <f>VLOOKUP(ClientDB[[#This Row],[Country Code]],'Lookup Lists'!$D$7:$E$59,2,0)</f>
        <v>Netherlands</v>
      </c>
      <c r="J364" s="15">
        <v>2</v>
      </c>
      <c r="K364" s="15" t="str">
        <f>IF(ClientDB[[#This Row],[Start Date]]&gt;=$U$14,"New","")</f>
        <v/>
      </c>
      <c r="L364" s="15" t="str">
        <f>IF(AND(ClientDB[[#This Row],[Start Year]]&lt;2016,ClientDB[[#This Row],[Events]]&gt;=6),"Gift","")</f>
        <v/>
      </c>
      <c r="M364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64" s="15">
        <v>1</v>
      </c>
      <c r="O364" s="38">
        <f>ClientDB[[#This Row],[Days]]*(IF(ClientDB[[#This Row],[Days]]&gt;1,300,350))</f>
        <v>350</v>
      </c>
      <c r="P364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350</v>
      </c>
      <c r="Q364" s="15" t="s">
        <v>899</v>
      </c>
      <c r="R364" s="15" t="str">
        <f>INDEX('Lookup Lists'!$H$7:$K$59,MATCH(ClientDB[[#This Row],[Country Code]],'Lookup Lists'!$G$7:$G$59,0),(MATCH(ClientDB[[#This Row],[Meal]],'Lookup Lists'!$H$6:$K$6,0)))</f>
        <v>B</v>
      </c>
    </row>
    <row r="365" spans="1:18" x14ac:dyDescent="0.2">
      <c r="A365" s="10">
        <v>39500</v>
      </c>
      <c r="B365" t="s">
        <v>600</v>
      </c>
      <c r="C365" t="s">
        <v>601</v>
      </c>
      <c r="D365" s="18">
        <v>43662</v>
      </c>
      <c r="E365" s="37">
        <f>YEAR(ClientDB[[#This Row],[Start Date]])</f>
        <v>2019</v>
      </c>
      <c r="F365" t="s">
        <v>805</v>
      </c>
      <c r="G365" t="str">
        <f>VLOOKUP(ClientDB[[#This Row],[Org Code]],'Lookup Lists'!$A$7:$B$52,2,0)</f>
        <v>Data Pro Sys</v>
      </c>
      <c r="H365" s="10" t="s">
        <v>15</v>
      </c>
      <c r="I365" s="10" t="str">
        <f>VLOOKUP(ClientDB[[#This Row],[Country Code]],'Lookup Lists'!$D$7:$E$59,2,0)</f>
        <v>United Kingdom</v>
      </c>
      <c r="J365" s="15">
        <v>3</v>
      </c>
      <c r="K365" s="15" t="str">
        <f>IF(ClientDB[[#This Row],[Start Date]]&gt;=$U$14,"New","")</f>
        <v/>
      </c>
      <c r="L365" s="15" t="str">
        <f>IF(AND(ClientDB[[#This Row],[Start Year]]&lt;2016,ClientDB[[#This Row],[Events]]&gt;=6),"Gift","")</f>
        <v/>
      </c>
      <c r="M365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65" s="15">
        <v>2</v>
      </c>
      <c r="O365" s="38">
        <f>ClientDB[[#This Row],[Days]]*(IF(ClientDB[[#This Row],[Days]]&gt;1,300,350))</f>
        <v>600</v>
      </c>
      <c r="P365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365" s="15" t="s">
        <v>901</v>
      </c>
      <c r="R365" s="15" t="str">
        <f>INDEX('Lookup Lists'!$H$7:$K$59,MATCH(ClientDB[[#This Row],[Country Code]],'Lookup Lists'!$G$7:$G$59,0),(MATCH(ClientDB[[#This Row],[Meal]],'Lookup Lists'!$H$6:$K$6,0)))</f>
        <v>E</v>
      </c>
    </row>
    <row r="366" spans="1:18" x14ac:dyDescent="0.2">
      <c r="A366" s="10">
        <v>39668</v>
      </c>
      <c r="B366" t="s">
        <v>189</v>
      </c>
      <c r="C366" t="s">
        <v>190</v>
      </c>
      <c r="D366" s="18">
        <v>42773</v>
      </c>
      <c r="E366" s="37">
        <f>YEAR(ClientDB[[#This Row],[Start Date]])</f>
        <v>2017</v>
      </c>
      <c r="F366" t="s">
        <v>835</v>
      </c>
      <c r="G366" t="str">
        <f>VLOOKUP(ClientDB[[#This Row],[Org Code]],'Lookup Lists'!$A$7:$B$52,2,0)</f>
        <v>West Telco</v>
      </c>
      <c r="H366" s="10" t="s">
        <v>192</v>
      </c>
      <c r="I366" s="10" t="str">
        <f>VLOOKUP(ClientDB[[#This Row],[Country Code]],'Lookup Lists'!$D$7:$E$59,2,0)</f>
        <v>Malaysia</v>
      </c>
      <c r="J366" s="15">
        <v>3</v>
      </c>
      <c r="K366" s="15" t="str">
        <f>IF(ClientDB[[#This Row],[Start Date]]&gt;=$U$14,"New","")</f>
        <v/>
      </c>
      <c r="L366" s="15" t="str">
        <f>IF(AND(ClientDB[[#This Row],[Start Year]]&lt;2016,ClientDB[[#This Row],[Events]]&gt;=6),"Gift","")</f>
        <v/>
      </c>
      <c r="M366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66" s="15">
        <v>3</v>
      </c>
      <c r="O366" s="38">
        <f>ClientDB[[#This Row],[Days]]*(IF(ClientDB[[#This Row],[Days]]&gt;1,300,350))</f>
        <v>900</v>
      </c>
      <c r="P366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900</v>
      </c>
      <c r="Q366" s="15" t="s">
        <v>899</v>
      </c>
      <c r="R366" s="15" t="str">
        <f>INDEX('Lookup Lists'!$H$7:$K$59,MATCH(ClientDB[[#This Row],[Country Code]],'Lookup Lists'!$G$7:$G$59,0),(MATCH(ClientDB[[#This Row],[Meal]],'Lookup Lists'!$H$6:$K$6,0)))</f>
        <v>B</v>
      </c>
    </row>
    <row r="367" spans="1:18" x14ac:dyDescent="0.2">
      <c r="A367" s="10">
        <v>39680</v>
      </c>
      <c r="B367" t="s">
        <v>585</v>
      </c>
      <c r="C367" t="s">
        <v>586</v>
      </c>
      <c r="D367" s="18">
        <v>43561</v>
      </c>
      <c r="E367" s="37">
        <f>YEAR(ClientDB[[#This Row],[Start Date]])</f>
        <v>2019</v>
      </c>
      <c r="F367" t="s">
        <v>800</v>
      </c>
      <c r="G367" t="str">
        <f>VLOOKUP(ClientDB[[#This Row],[Org Code]],'Lookup Lists'!$A$7:$B$52,2,0)</f>
        <v>Chirah Technologies</v>
      </c>
      <c r="H367" s="10" t="s">
        <v>15</v>
      </c>
      <c r="I367" s="10" t="str">
        <f>VLOOKUP(ClientDB[[#This Row],[Country Code]],'Lookup Lists'!$D$7:$E$59,2,0)</f>
        <v>United Kingdom</v>
      </c>
      <c r="J367" s="15">
        <v>4</v>
      </c>
      <c r="K367" s="15" t="str">
        <f>IF(ClientDB[[#This Row],[Start Date]]&gt;=$U$14,"New","")</f>
        <v/>
      </c>
      <c r="L367" s="15" t="str">
        <f>IF(AND(ClientDB[[#This Row],[Start Year]]&lt;2016,ClientDB[[#This Row],[Events]]&gt;=6),"Gift","")</f>
        <v/>
      </c>
      <c r="M367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67" s="15">
        <v>2</v>
      </c>
      <c r="O367" s="38">
        <f>ClientDB[[#This Row],[Days]]*(IF(ClientDB[[#This Row],[Days]]&gt;1,300,350))</f>
        <v>600</v>
      </c>
      <c r="P367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600</v>
      </c>
      <c r="Q367" s="15" t="s">
        <v>901</v>
      </c>
      <c r="R367" s="15" t="str">
        <f>INDEX('Lookup Lists'!$H$7:$K$59,MATCH(ClientDB[[#This Row],[Country Code]],'Lookup Lists'!$G$7:$G$59,0),(MATCH(ClientDB[[#This Row],[Meal]],'Lookup Lists'!$H$6:$K$6,0)))</f>
        <v>E</v>
      </c>
    </row>
    <row r="368" spans="1:18" x14ac:dyDescent="0.2">
      <c r="A368" s="10">
        <v>39830</v>
      </c>
      <c r="B368" t="s">
        <v>707</v>
      </c>
      <c r="C368" t="s">
        <v>708</v>
      </c>
      <c r="D368" s="18">
        <v>43771</v>
      </c>
      <c r="E368" s="37">
        <f>YEAR(ClientDB[[#This Row],[Start Date]])</f>
        <v>2019</v>
      </c>
      <c r="F368" t="s">
        <v>827</v>
      </c>
      <c r="G368" t="str">
        <f>VLOOKUP(ClientDB[[#This Row],[Org Code]],'Lookup Lists'!$A$7:$B$52,2,0)</f>
        <v>Ripple Com</v>
      </c>
      <c r="H368" s="10" t="s">
        <v>15</v>
      </c>
      <c r="I368" s="10" t="str">
        <f>VLOOKUP(ClientDB[[#This Row],[Country Code]],'Lookup Lists'!$D$7:$E$59,2,0)</f>
        <v>United Kingdom</v>
      </c>
      <c r="J368" s="15">
        <v>6</v>
      </c>
      <c r="K368" s="15" t="str">
        <f>IF(ClientDB[[#This Row],[Start Date]]&gt;=$U$14,"New","")</f>
        <v/>
      </c>
      <c r="L368" s="15" t="str">
        <f>IF(AND(ClientDB[[#This Row],[Start Year]]&lt;2016,ClientDB[[#This Row],[Events]]&gt;=6),"Gift","")</f>
        <v/>
      </c>
      <c r="M368" s="15" t="str">
        <f>IF(AND(ClientDB[[#This Row],[Events]]&gt;=1,ClientDB[[#This Row],[Events]]&lt;=9),"Bronze",IF(AND(ClientDB[[#This Row],[Events]]&gt;=10,ClientDB[[#This Row],[Events]]&lt;=19),"Silver",IF(AND(ClientDB[[#This Row],[Events]]&gt;=20,ClientDB[[#This Row],[Events]]&lt;=29),"Gold","Platinum")))</f>
        <v>Bronze</v>
      </c>
      <c r="N368" s="15">
        <v>3</v>
      </c>
      <c r="O368" s="38">
        <f>ClientDB[[#This Row],[Days]]*(IF(ClientDB[[#This Row],[Days]]&gt;1,300,350))</f>
        <v>900</v>
      </c>
      <c r="P368" s="38">
        <f>(IF(ClientDB[[#This Row],[Events]]&gt;=10,ClientDB[[#This Row],[Price]]-ClientDB[[#This Row],[Price]]*20%,IF(AND(ClientDB[[#This Row],[Events]]&gt;=5,ClientDB[[#This Row],[Events]]&lt;=9),ClientDB[[#This Row],[Price]]-50,ClientDB[[#This Row],[Price]])))</f>
        <v>850</v>
      </c>
      <c r="Q368" s="15" t="s">
        <v>900</v>
      </c>
      <c r="R368" s="15" t="str">
        <f>INDEX('Lookup Lists'!$H$7:$K$59,MATCH(ClientDB[[#This Row],[Country Code]],'Lookup Lists'!$G$7:$G$59,0),(MATCH(ClientDB[[#This Row],[Meal]],'Lookup Lists'!$H$6:$K$6,0)))</f>
        <v>A</v>
      </c>
    </row>
  </sheetData>
  <sortState xmlns:xlrd2="http://schemas.microsoft.com/office/spreadsheetml/2017/richdata2" ref="A7:R369">
    <sortCondition ref="A8"/>
  </sortState>
  <phoneticPr fontId="5" type="noConversion"/>
  <pageMargins left="0.7" right="0.7" top="0.75" bottom="0.75" header="0.3" footer="0.3"/>
  <pageSetup paperSize="9" orientation="portrait" horizontalDpi="75" verticalDpi="7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6A45-3A47-4B48-BC0B-478B05A52E0A}">
  <dimension ref="A1:M59"/>
  <sheetViews>
    <sheetView topLeftCell="A8" workbookViewId="0">
      <selection activeCell="H24" sqref="H24"/>
    </sheetView>
  </sheetViews>
  <sheetFormatPr defaultRowHeight="14.25" x14ac:dyDescent="0.2"/>
  <cols>
    <col min="1" max="1" width="18.75" customWidth="1"/>
    <col min="2" max="2" width="18.25" bestFit="1" customWidth="1"/>
    <col min="3" max="3" width="5.125" customWidth="1"/>
    <col min="4" max="4" width="17.25" customWidth="1"/>
    <col min="5" max="5" width="13.125" style="15" bestFit="1" customWidth="1"/>
    <col min="6" max="6" width="9" customWidth="1"/>
  </cols>
  <sheetData>
    <row r="1" spans="1:13" s="2" customFormat="1" x14ac:dyDescent="0.2">
      <c r="A1" s="6"/>
      <c r="E1" s="11"/>
      <c r="L1"/>
      <c r="M1"/>
    </row>
    <row r="2" spans="1:13" s="2" customFormat="1" ht="6" customHeight="1" x14ac:dyDescent="0.2">
      <c r="A2" s="7"/>
      <c r="B2" s="3"/>
      <c r="C2" s="3"/>
      <c r="D2" s="3"/>
      <c r="E2" s="12"/>
      <c r="F2" s="12"/>
      <c r="G2" s="12"/>
      <c r="H2" s="12"/>
      <c r="I2" s="12"/>
      <c r="J2" s="12"/>
      <c r="K2" s="12"/>
      <c r="L2"/>
      <c r="M2"/>
    </row>
    <row r="3" spans="1:13" s="2" customFormat="1" ht="53.25" customHeight="1" x14ac:dyDescent="0.2">
      <c r="A3" s="8" t="s">
        <v>771</v>
      </c>
      <c r="B3" s="4"/>
      <c r="C3" s="4"/>
      <c r="D3" s="4"/>
      <c r="E3" s="13"/>
      <c r="F3" s="13"/>
      <c r="G3" s="13"/>
      <c r="H3" s="13"/>
      <c r="I3" s="13"/>
      <c r="J3" s="13"/>
      <c r="K3" s="13"/>
      <c r="L3"/>
      <c r="M3"/>
    </row>
    <row r="4" spans="1:13" s="2" customFormat="1" ht="14.25" customHeight="1" x14ac:dyDescent="0.2">
      <c r="A4" s="7"/>
      <c r="B4" s="3"/>
      <c r="C4" s="3"/>
      <c r="D4" s="3"/>
      <c r="E4" s="12"/>
      <c r="F4" s="12"/>
      <c r="G4" s="12"/>
      <c r="H4" s="12"/>
      <c r="I4" s="12"/>
      <c r="J4" s="12"/>
      <c r="K4" s="12"/>
      <c r="L4"/>
      <c r="M4"/>
    </row>
    <row r="5" spans="1:13" x14ac:dyDescent="0.2">
      <c r="A5" s="10"/>
      <c r="C5" s="1"/>
      <c r="D5" s="1"/>
    </row>
    <row r="6" spans="1:13" ht="16.5" thickBot="1" x14ac:dyDescent="0.25">
      <c r="A6" s="5" t="s">
        <v>793</v>
      </c>
      <c r="B6" s="5" t="s">
        <v>794</v>
      </c>
      <c r="D6" s="9" t="s">
        <v>3</v>
      </c>
      <c r="E6" s="9" t="s">
        <v>772</v>
      </c>
      <c r="G6" s="14" t="s">
        <v>3</v>
      </c>
      <c r="H6" s="14" t="s">
        <v>901</v>
      </c>
      <c r="I6" s="14" t="s">
        <v>902</v>
      </c>
      <c r="J6" s="14" t="s">
        <v>899</v>
      </c>
      <c r="K6" s="14" t="s">
        <v>900</v>
      </c>
    </row>
    <row r="7" spans="1:13" x14ac:dyDescent="0.2">
      <c r="A7" t="s">
        <v>795</v>
      </c>
      <c r="B7" t="s">
        <v>33</v>
      </c>
      <c r="D7" s="15" t="s">
        <v>698</v>
      </c>
      <c r="E7" t="s">
        <v>844</v>
      </c>
      <c r="G7" s="48" t="s">
        <v>155</v>
      </c>
      <c r="H7" s="29" t="s">
        <v>787</v>
      </c>
      <c r="I7" s="29" t="s">
        <v>776</v>
      </c>
      <c r="J7" s="29" t="s">
        <v>775</v>
      </c>
      <c r="K7" s="22" t="s">
        <v>775</v>
      </c>
    </row>
    <row r="8" spans="1:13" x14ac:dyDescent="0.2">
      <c r="A8" t="s">
        <v>796</v>
      </c>
      <c r="B8" t="s">
        <v>158</v>
      </c>
      <c r="D8" s="15" t="s">
        <v>63</v>
      </c>
      <c r="E8" t="s">
        <v>843</v>
      </c>
      <c r="G8" s="49" t="s">
        <v>63</v>
      </c>
      <c r="H8" s="31" t="s">
        <v>787</v>
      </c>
      <c r="I8" s="31" t="s">
        <v>776</v>
      </c>
      <c r="J8" s="31" t="s">
        <v>775</v>
      </c>
      <c r="K8" s="24" t="s">
        <v>775</v>
      </c>
    </row>
    <row r="9" spans="1:13" x14ac:dyDescent="0.2">
      <c r="A9" t="s">
        <v>797</v>
      </c>
      <c r="B9" t="s">
        <v>62</v>
      </c>
      <c r="D9" s="15" t="s">
        <v>175</v>
      </c>
      <c r="E9" t="s">
        <v>846</v>
      </c>
      <c r="G9" s="49" t="s">
        <v>698</v>
      </c>
      <c r="H9" s="31" t="s">
        <v>787</v>
      </c>
      <c r="I9" s="31" t="s">
        <v>776</v>
      </c>
      <c r="J9" s="31" t="s">
        <v>775</v>
      </c>
      <c r="K9" s="24" t="s">
        <v>775</v>
      </c>
    </row>
    <row r="10" spans="1:13" x14ac:dyDescent="0.2">
      <c r="A10" t="s">
        <v>798</v>
      </c>
      <c r="B10" t="s">
        <v>77</v>
      </c>
      <c r="D10" s="15" t="s">
        <v>11</v>
      </c>
      <c r="E10" t="s">
        <v>845</v>
      </c>
      <c r="G10" s="49" t="s">
        <v>11</v>
      </c>
      <c r="H10" s="31" t="s">
        <v>787</v>
      </c>
      <c r="I10" s="31" t="s">
        <v>776</v>
      </c>
      <c r="J10" s="31" t="s">
        <v>775</v>
      </c>
      <c r="K10" s="24" t="s">
        <v>775</v>
      </c>
    </row>
    <row r="11" spans="1:13" x14ac:dyDescent="0.2">
      <c r="A11" t="s">
        <v>799</v>
      </c>
      <c r="B11" t="s">
        <v>69</v>
      </c>
      <c r="D11" s="15" t="s">
        <v>30</v>
      </c>
      <c r="E11" t="s">
        <v>849</v>
      </c>
      <c r="G11" s="49" t="s">
        <v>175</v>
      </c>
      <c r="H11" s="31" t="s">
        <v>787</v>
      </c>
      <c r="I11" s="31" t="s">
        <v>776</v>
      </c>
      <c r="J11" s="31" t="s">
        <v>775</v>
      </c>
      <c r="K11" s="24" t="s">
        <v>775</v>
      </c>
    </row>
    <row r="12" spans="1:13" x14ac:dyDescent="0.2">
      <c r="A12" t="s">
        <v>800</v>
      </c>
      <c r="B12" t="s">
        <v>154</v>
      </c>
      <c r="D12" s="15" t="s">
        <v>386</v>
      </c>
      <c r="E12" t="s">
        <v>847</v>
      </c>
      <c r="G12" s="49" t="s">
        <v>386</v>
      </c>
      <c r="H12" s="31" t="s">
        <v>787</v>
      </c>
      <c r="I12" s="31" t="s">
        <v>776</v>
      </c>
      <c r="J12" s="31" t="s">
        <v>775</v>
      </c>
      <c r="K12" s="24" t="s">
        <v>775</v>
      </c>
    </row>
    <row r="13" spans="1:13" x14ac:dyDescent="0.2">
      <c r="A13" t="s">
        <v>801</v>
      </c>
      <c r="B13" t="s">
        <v>14</v>
      </c>
      <c r="D13" s="15" t="s">
        <v>340</v>
      </c>
      <c r="E13" t="s">
        <v>848</v>
      </c>
      <c r="G13" s="49" t="s">
        <v>340</v>
      </c>
      <c r="H13" s="31" t="s">
        <v>787</v>
      </c>
      <c r="I13" s="31" t="s">
        <v>776</v>
      </c>
      <c r="J13" s="31" t="s">
        <v>775</v>
      </c>
      <c r="K13" s="24" t="s">
        <v>775</v>
      </c>
    </row>
    <row r="14" spans="1:13" x14ac:dyDescent="0.2">
      <c r="A14" t="s">
        <v>802</v>
      </c>
      <c r="B14" t="s">
        <v>108</v>
      </c>
      <c r="D14" s="15" t="s">
        <v>578</v>
      </c>
      <c r="E14" t="s">
        <v>850</v>
      </c>
      <c r="G14" s="49" t="s">
        <v>30</v>
      </c>
      <c r="H14" s="31" t="s">
        <v>787</v>
      </c>
      <c r="I14" s="31" t="s">
        <v>776</v>
      </c>
      <c r="J14" s="31" t="s">
        <v>775</v>
      </c>
      <c r="K14" s="24" t="s">
        <v>775</v>
      </c>
    </row>
    <row r="15" spans="1:13" x14ac:dyDescent="0.2">
      <c r="A15" t="s">
        <v>804</v>
      </c>
      <c r="B15" t="s">
        <v>305</v>
      </c>
      <c r="D15" s="15" t="s">
        <v>38</v>
      </c>
      <c r="E15" t="s">
        <v>852</v>
      </c>
      <c r="G15" s="49" t="s">
        <v>578</v>
      </c>
      <c r="H15" s="31" t="s">
        <v>787</v>
      </c>
      <c r="I15" s="31" t="s">
        <v>776</v>
      </c>
      <c r="J15" s="31" t="s">
        <v>775</v>
      </c>
      <c r="K15" s="24" t="s">
        <v>775</v>
      </c>
    </row>
    <row r="16" spans="1:13" x14ac:dyDescent="0.2">
      <c r="A16" t="s">
        <v>805</v>
      </c>
      <c r="B16" t="s">
        <v>265</v>
      </c>
      <c r="D16" s="15" t="s">
        <v>658</v>
      </c>
      <c r="E16" t="s">
        <v>854</v>
      </c>
      <c r="G16" s="49" t="s">
        <v>239</v>
      </c>
      <c r="H16" s="31" t="s">
        <v>787</v>
      </c>
      <c r="I16" s="31" t="s">
        <v>776</v>
      </c>
      <c r="J16" s="31" t="s">
        <v>775</v>
      </c>
      <c r="K16" s="24" t="s">
        <v>775</v>
      </c>
    </row>
    <row r="17" spans="1:11" x14ac:dyDescent="0.2">
      <c r="A17" t="s">
        <v>806</v>
      </c>
      <c r="B17" t="s">
        <v>10</v>
      </c>
      <c r="D17" s="15" t="s">
        <v>218</v>
      </c>
      <c r="E17" t="s">
        <v>855</v>
      </c>
      <c r="G17" s="49" t="s">
        <v>38</v>
      </c>
      <c r="H17" s="31" t="s">
        <v>787</v>
      </c>
      <c r="I17" s="31" t="s">
        <v>776</v>
      </c>
      <c r="J17" s="31" t="s">
        <v>775</v>
      </c>
      <c r="K17" s="24" t="s">
        <v>775</v>
      </c>
    </row>
    <row r="18" spans="1:11" x14ac:dyDescent="0.2">
      <c r="A18" t="s">
        <v>807</v>
      </c>
      <c r="B18" t="s">
        <v>29</v>
      </c>
      <c r="D18" s="15" t="s">
        <v>50</v>
      </c>
      <c r="E18" t="s">
        <v>857</v>
      </c>
      <c r="G18" s="49" t="s">
        <v>46</v>
      </c>
      <c r="H18" s="31" t="s">
        <v>787</v>
      </c>
      <c r="I18" s="31" t="s">
        <v>776</v>
      </c>
      <c r="J18" s="31" t="s">
        <v>775</v>
      </c>
      <c r="K18" s="24" t="s">
        <v>775</v>
      </c>
    </row>
    <row r="19" spans="1:11" x14ac:dyDescent="0.2">
      <c r="A19" t="s">
        <v>808</v>
      </c>
      <c r="B19" t="s">
        <v>120</v>
      </c>
      <c r="D19" s="15" t="s">
        <v>311</v>
      </c>
      <c r="E19" t="s">
        <v>858</v>
      </c>
      <c r="G19" s="49" t="s">
        <v>658</v>
      </c>
      <c r="H19" s="31" t="s">
        <v>787</v>
      </c>
      <c r="I19" s="31" t="s">
        <v>776</v>
      </c>
      <c r="J19" s="31" t="s">
        <v>775</v>
      </c>
      <c r="K19" s="24" t="s">
        <v>775</v>
      </c>
    </row>
    <row r="20" spans="1:11" x14ac:dyDescent="0.2">
      <c r="A20" t="s">
        <v>809</v>
      </c>
      <c r="B20" t="s">
        <v>66</v>
      </c>
      <c r="D20" s="15" t="s">
        <v>46</v>
      </c>
      <c r="E20" t="s">
        <v>853</v>
      </c>
      <c r="G20" s="49" t="s">
        <v>218</v>
      </c>
      <c r="H20" s="31" t="s">
        <v>787</v>
      </c>
      <c r="I20" s="31" t="s">
        <v>776</v>
      </c>
      <c r="J20" s="31" t="s">
        <v>775</v>
      </c>
      <c r="K20" s="24" t="s">
        <v>775</v>
      </c>
    </row>
    <row r="21" spans="1:11" x14ac:dyDescent="0.2">
      <c r="A21" t="s">
        <v>810</v>
      </c>
      <c r="B21" t="s">
        <v>117</v>
      </c>
      <c r="D21" s="15" t="s">
        <v>109</v>
      </c>
      <c r="E21" t="s">
        <v>860</v>
      </c>
      <c r="G21" s="49" t="s">
        <v>274</v>
      </c>
      <c r="H21" s="31" t="s">
        <v>787</v>
      </c>
      <c r="I21" s="31" t="s">
        <v>776</v>
      </c>
      <c r="J21" s="31" t="s">
        <v>775</v>
      </c>
      <c r="K21" s="24" t="s">
        <v>775</v>
      </c>
    </row>
    <row r="22" spans="1:11" x14ac:dyDescent="0.2">
      <c r="A22" t="s">
        <v>811</v>
      </c>
      <c r="B22" t="s">
        <v>421</v>
      </c>
      <c r="D22" s="15" t="s">
        <v>363</v>
      </c>
      <c r="E22" t="s">
        <v>861</v>
      </c>
      <c r="G22" s="49" t="s">
        <v>50</v>
      </c>
      <c r="H22" s="31" t="s">
        <v>787</v>
      </c>
      <c r="I22" s="31" t="s">
        <v>776</v>
      </c>
      <c r="J22" s="31" t="s">
        <v>775</v>
      </c>
      <c r="K22" s="24" t="s">
        <v>775</v>
      </c>
    </row>
    <row r="23" spans="1:11" x14ac:dyDescent="0.2">
      <c r="A23" t="s">
        <v>812</v>
      </c>
      <c r="B23" t="s">
        <v>429</v>
      </c>
      <c r="D23" s="15" t="s">
        <v>419</v>
      </c>
      <c r="E23" t="s">
        <v>862</v>
      </c>
      <c r="G23" s="49" t="s">
        <v>311</v>
      </c>
      <c r="H23" s="31" t="s">
        <v>787</v>
      </c>
      <c r="I23" s="31" t="s">
        <v>776</v>
      </c>
      <c r="J23" s="31" t="s">
        <v>775</v>
      </c>
      <c r="K23" s="24" t="s">
        <v>775</v>
      </c>
    </row>
    <row r="24" spans="1:11" x14ac:dyDescent="0.2">
      <c r="A24" t="s">
        <v>813</v>
      </c>
      <c r="B24" t="s">
        <v>96</v>
      </c>
      <c r="D24" s="15" t="s">
        <v>7</v>
      </c>
      <c r="E24" t="s">
        <v>865</v>
      </c>
      <c r="G24" s="49" t="s">
        <v>15</v>
      </c>
      <c r="H24" s="31" t="s">
        <v>788</v>
      </c>
      <c r="I24" s="31" t="s">
        <v>776</v>
      </c>
      <c r="J24" s="31" t="s">
        <v>775</v>
      </c>
      <c r="K24" s="24" t="s">
        <v>775</v>
      </c>
    </row>
    <row r="25" spans="1:11" x14ac:dyDescent="0.2">
      <c r="A25" t="s">
        <v>814</v>
      </c>
      <c r="B25" t="s">
        <v>18</v>
      </c>
      <c r="D25" s="15" t="s">
        <v>648</v>
      </c>
      <c r="E25" t="s">
        <v>864</v>
      </c>
      <c r="G25" s="49" t="s">
        <v>109</v>
      </c>
      <c r="H25" s="31" t="s">
        <v>788</v>
      </c>
      <c r="I25" s="31" t="s">
        <v>774</v>
      </c>
      <c r="J25" s="31" t="s">
        <v>775</v>
      </c>
      <c r="K25" s="24" t="s">
        <v>775</v>
      </c>
    </row>
    <row r="26" spans="1:11" x14ac:dyDescent="0.2">
      <c r="A26" t="s">
        <v>815</v>
      </c>
      <c r="B26" t="s">
        <v>129</v>
      </c>
      <c r="D26" s="15" t="s">
        <v>97</v>
      </c>
      <c r="E26" t="s">
        <v>863</v>
      </c>
      <c r="G26" s="49" t="s">
        <v>363</v>
      </c>
      <c r="H26" s="31" t="s">
        <v>788</v>
      </c>
      <c r="I26" s="31" t="s">
        <v>774</v>
      </c>
      <c r="J26" s="31" t="s">
        <v>775</v>
      </c>
      <c r="K26" s="24" t="s">
        <v>775</v>
      </c>
    </row>
    <row r="27" spans="1:11" x14ac:dyDescent="0.2">
      <c r="A27" t="s">
        <v>816</v>
      </c>
      <c r="B27" t="s">
        <v>233</v>
      </c>
      <c r="D27" s="15" t="s">
        <v>282</v>
      </c>
      <c r="E27" t="s">
        <v>866</v>
      </c>
      <c r="G27" s="49" t="s">
        <v>419</v>
      </c>
      <c r="H27" s="31" t="s">
        <v>788</v>
      </c>
      <c r="I27" s="31" t="s">
        <v>774</v>
      </c>
      <c r="J27" s="31" t="s">
        <v>775</v>
      </c>
      <c r="K27" s="24" t="s">
        <v>775</v>
      </c>
    </row>
    <row r="28" spans="1:11" x14ac:dyDescent="0.2">
      <c r="A28" t="s">
        <v>817</v>
      </c>
      <c r="B28" t="s">
        <v>100</v>
      </c>
      <c r="D28" s="15" t="s">
        <v>19</v>
      </c>
      <c r="E28" t="s">
        <v>868</v>
      </c>
      <c r="G28" s="49" t="s">
        <v>97</v>
      </c>
      <c r="H28" s="31" t="s">
        <v>789</v>
      </c>
      <c r="I28" s="31" t="s">
        <v>774</v>
      </c>
      <c r="J28" s="31" t="s">
        <v>775</v>
      </c>
      <c r="K28" s="24" t="s">
        <v>775</v>
      </c>
    </row>
    <row r="29" spans="1:11" x14ac:dyDescent="0.2">
      <c r="A29" t="s">
        <v>818</v>
      </c>
      <c r="B29" t="s">
        <v>295</v>
      </c>
      <c r="D29" s="15" t="s">
        <v>163</v>
      </c>
      <c r="E29" t="s">
        <v>867</v>
      </c>
      <c r="G29" s="49" t="s">
        <v>648</v>
      </c>
      <c r="H29" s="31" t="s">
        <v>789</v>
      </c>
      <c r="I29" s="31" t="s">
        <v>774</v>
      </c>
      <c r="J29" s="31" t="s">
        <v>775</v>
      </c>
      <c r="K29" s="24" t="s">
        <v>775</v>
      </c>
    </row>
    <row r="30" spans="1:11" x14ac:dyDescent="0.2">
      <c r="A30" t="s">
        <v>819</v>
      </c>
      <c r="B30" t="s">
        <v>137</v>
      </c>
      <c r="D30" s="15" t="s">
        <v>416</v>
      </c>
      <c r="E30" t="s">
        <v>869</v>
      </c>
      <c r="G30" s="49" t="s">
        <v>7</v>
      </c>
      <c r="H30" s="31" t="s">
        <v>789</v>
      </c>
      <c r="I30" s="31" t="s">
        <v>774</v>
      </c>
      <c r="J30" s="31" t="s">
        <v>775</v>
      </c>
      <c r="K30" s="24" t="s">
        <v>775</v>
      </c>
    </row>
    <row r="31" spans="1:11" x14ac:dyDescent="0.2">
      <c r="A31" t="s">
        <v>820</v>
      </c>
      <c r="B31" t="s">
        <v>41</v>
      </c>
      <c r="D31" s="15" t="s">
        <v>302</v>
      </c>
      <c r="E31" t="s">
        <v>870</v>
      </c>
      <c r="G31" s="49" t="s">
        <v>282</v>
      </c>
      <c r="H31" s="31" t="s">
        <v>789</v>
      </c>
      <c r="I31" s="31" t="s">
        <v>774</v>
      </c>
      <c r="J31" s="31" t="s">
        <v>775</v>
      </c>
      <c r="K31" s="24" t="s">
        <v>775</v>
      </c>
    </row>
    <row r="32" spans="1:11" x14ac:dyDescent="0.2">
      <c r="A32" t="s">
        <v>821</v>
      </c>
      <c r="B32" t="s">
        <v>74</v>
      </c>
      <c r="D32" s="15" t="s">
        <v>124</v>
      </c>
      <c r="E32" t="s">
        <v>871</v>
      </c>
      <c r="G32" s="49" t="s">
        <v>163</v>
      </c>
      <c r="H32" s="31" t="s">
        <v>789</v>
      </c>
      <c r="I32" s="31" t="s">
        <v>774</v>
      </c>
      <c r="J32" s="31" t="s">
        <v>775</v>
      </c>
      <c r="K32" s="24" t="s">
        <v>775</v>
      </c>
    </row>
    <row r="33" spans="1:11" x14ac:dyDescent="0.2">
      <c r="A33" t="s">
        <v>822</v>
      </c>
      <c r="B33" t="s">
        <v>114</v>
      </c>
      <c r="D33" s="15" t="s">
        <v>396</v>
      </c>
      <c r="E33" t="s">
        <v>872</v>
      </c>
      <c r="G33" s="49" t="s">
        <v>19</v>
      </c>
      <c r="H33" s="31" t="s">
        <v>789</v>
      </c>
      <c r="I33" s="31" t="s">
        <v>774</v>
      </c>
      <c r="J33" s="31" t="s">
        <v>776</v>
      </c>
      <c r="K33" s="24" t="s">
        <v>774</v>
      </c>
    </row>
    <row r="34" spans="1:11" x14ac:dyDescent="0.2">
      <c r="A34" t="s">
        <v>823</v>
      </c>
      <c r="B34" t="s">
        <v>105</v>
      </c>
      <c r="D34" s="15" t="s">
        <v>192</v>
      </c>
      <c r="E34" t="s">
        <v>874</v>
      </c>
      <c r="G34" s="49" t="s">
        <v>416</v>
      </c>
      <c r="H34" s="31" t="s">
        <v>789</v>
      </c>
      <c r="I34" s="31" t="s">
        <v>774</v>
      </c>
      <c r="J34" s="31" t="s">
        <v>776</v>
      </c>
      <c r="K34" s="24" t="s">
        <v>774</v>
      </c>
    </row>
    <row r="35" spans="1:11" x14ac:dyDescent="0.2">
      <c r="A35" t="s">
        <v>824</v>
      </c>
      <c r="B35" t="s">
        <v>37</v>
      </c>
      <c r="D35" s="15" t="s">
        <v>178</v>
      </c>
      <c r="E35" t="s">
        <v>873</v>
      </c>
      <c r="G35" s="49" t="s">
        <v>302</v>
      </c>
      <c r="H35" s="31" t="s">
        <v>789</v>
      </c>
      <c r="I35" s="31" t="s">
        <v>774</v>
      </c>
      <c r="J35" s="31" t="s">
        <v>776</v>
      </c>
      <c r="K35" s="24" t="s">
        <v>774</v>
      </c>
    </row>
    <row r="36" spans="1:11" x14ac:dyDescent="0.2">
      <c r="A36" t="s">
        <v>825</v>
      </c>
      <c r="B36" t="s">
        <v>308</v>
      </c>
      <c r="D36" s="15" t="s">
        <v>59</v>
      </c>
      <c r="E36" t="s">
        <v>875</v>
      </c>
      <c r="G36" s="49" t="s">
        <v>124</v>
      </c>
      <c r="H36" s="31" t="s">
        <v>789</v>
      </c>
      <c r="I36" s="31" t="s">
        <v>774</v>
      </c>
      <c r="J36" s="31" t="s">
        <v>776</v>
      </c>
      <c r="K36" s="24" t="s">
        <v>774</v>
      </c>
    </row>
    <row r="37" spans="1:11" x14ac:dyDescent="0.2">
      <c r="A37" t="s">
        <v>826</v>
      </c>
      <c r="B37" t="s">
        <v>6</v>
      </c>
      <c r="D37" s="15" t="s">
        <v>325</v>
      </c>
      <c r="E37" t="s">
        <v>877</v>
      </c>
      <c r="G37" s="49" t="s">
        <v>396</v>
      </c>
      <c r="H37" s="31" t="s">
        <v>789</v>
      </c>
      <c r="I37" s="31" t="s">
        <v>774</v>
      </c>
      <c r="J37" s="31" t="s">
        <v>776</v>
      </c>
      <c r="K37" s="24" t="s">
        <v>774</v>
      </c>
    </row>
    <row r="38" spans="1:11" x14ac:dyDescent="0.2">
      <c r="A38" t="s">
        <v>827</v>
      </c>
      <c r="B38" t="s">
        <v>22</v>
      </c>
      <c r="D38" s="15" t="s">
        <v>84</v>
      </c>
      <c r="E38" t="s">
        <v>876</v>
      </c>
      <c r="G38" s="49" t="s">
        <v>178</v>
      </c>
      <c r="H38" s="31" t="s">
        <v>789</v>
      </c>
      <c r="I38" s="31" t="s">
        <v>774</v>
      </c>
      <c r="J38" s="31" t="s">
        <v>776</v>
      </c>
      <c r="K38" s="24" t="s">
        <v>774</v>
      </c>
    </row>
    <row r="39" spans="1:11" x14ac:dyDescent="0.2">
      <c r="A39" t="s">
        <v>828</v>
      </c>
      <c r="B39" t="s">
        <v>83</v>
      </c>
      <c r="D39" s="15" t="s">
        <v>143</v>
      </c>
      <c r="E39" t="s">
        <v>878</v>
      </c>
      <c r="G39" s="49" t="s">
        <v>192</v>
      </c>
      <c r="H39" s="31" t="s">
        <v>789</v>
      </c>
      <c r="I39" s="31" t="s">
        <v>774</v>
      </c>
      <c r="J39" s="31" t="s">
        <v>776</v>
      </c>
      <c r="K39" s="24" t="s">
        <v>774</v>
      </c>
    </row>
    <row r="40" spans="1:11" x14ac:dyDescent="0.2">
      <c r="A40" t="s">
        <v>829</v>
      </c>
      <c r="B40" t="s">
        <v>181</v>
      </c>
      <c r="D40" s="15" t="s">
        <v>252</v>
      </c>
      <c r="E40" t="s">
        <v>880</v>
      </c>
      <c r="G40" s="49" t="s">
        <v>59</v>
      </c>
      <c r="H40" s="31" t="s">
        <v>789</v>
      </c>
      <c r="I40" s="31" t="s">
        <v>774</v>
      </c>
      <c r="J40" s="31" t="s">
        <v>776</v>
      </c>
      <c r="K40" s="24" t="s">
        <v>774</v>
      </c>
    </row>
    <row r="41" spans="1:11" x14ac:dyDescent="0.2">
      <c r="A41" t="s">
        <v>830</v>
      </c>
      <c r="B41" t="s">
        <v>259</v>
      </c>
      <c r="D41" s="15" t="s">
        <v>262</v>
      </c>
      <c r="E41" t="s">
        <v>879</v>
      </c>
      <c r="G41" s="49" t="s">
        <v>84</v>
      </c>
      <c r="H41" s="31" t="s">
        <v>789</v>
      </c>
      <c r="I41" s="31" t="s">
        <v>774</v>
      </c>
      <c r="J41" s="31" t="s">
        <v>776</v>
      </c>
      <c r="K41" s="24" t="s">
        <v>774</v>
      </c>
    </row>
    <row r="42" spans="1:11" x14ac:dyDescent="0.2">
      <c r="A42" t="s">
        <v>831</v>
      </c>
      <c r="B42" t="s">
        <v>93</v>
      </c>
      <c r="D42" s="15" t="s">
        <v>121</v>
      </c>
      <c r="E42" t="s">
        <v>881</v>
      </c>
      <c r="G42" s="49" t="s">
        <v>325</v>
      </c>
      <c r="H42" s="31" t="s">
        <v>789</v>
      </c>
      <c r="I42" s="31" t="s">
        <v>774</v>
      </c>
      <c r="J42" s="31" t="s">
        <v>776</v>
      </c>
      <c r="K42" s="24" t="s">
        <v>774</v>
      </c>
    </row>
    <row r="43" spans="1:11" x14ac:dyDescent="0.2">
      <c r="A43" t="s">
        <v>832</v>
      </c>
      <c r="B43" t="s">
        <v>236</v>
      </c>
      <c r="D43" s="15" t="s">
        <v>54</v>
      </c>
      <c r="E43" t="s">
        <v>882</v>
      </c>
      <c r="G43" s="49" t="s">
        <v>143</v>
      </c>
      <c r="H43" s="31" t="s">
        <v>789</v>
      </c>
      <c r="I43" s="31" t="s">
        <v>774</v>
      </c>
      <c r="J43" s="31" t="s">
        <v>776</v>
      </c>
      <c r="K43" s="24" t="s">
        <v>774</v>
      </c>
    </row>
    <row r="44" spans="1:11" x14ac:dyDescent="0.2">
      <c r="A44" t="s">
        <v>833</v>
      </c>
      <c r="B44" t="s">
        <v>142</v>
      </c>
      <c r="D44" s="15" t="s">
        <v>146</v>
      </c>
      <c r="E44" t="s">
        <v>883</v>
      </c>
      <c r="G44" s="49" t="s">
        <v>262</v>
      </c>
      <c r="H44" s="31" t="s">
        <v>789</v>
      </c>
      <c r="I44" s="31" t="s">
        <v>774</v>
      </c>
      <c r="J44" s="31" t="s">
        <v>776</v>
      </c>
      <c r="K44" s="24" t="s">
        <v>774</v>
      </c>
    </row>
    <row r="45" spans="1:11" x14ac:dyDescent="0.2">
      <c r="A45" t="s">
        <v>834</v>
      </c>
      <c r="B45" t="s">
        <v>166</v>
      </c>
      <c r="D45" s="15" t="s">
        <v>277</v>
      </c>
      <c r="E45" t="s">
        <v>884</v>
      </c>
      <c r="G45" s="49" t="s">
        <v>252</v>
      </c>
      <c r="H45" s="31" t="s">
        <v>790</v>
      </c>
      <c r="I45" s="31" t="s">
        <v>774</v>
      </c>
      <c r="J45" s="31" t="s">
        <v>776</v>
      </c>
      <c r="K45" s="24" t="s">
        <v>774</v>
      </c>
    </row>
    <row r="46" spans="1:11" x14ac:dyDescent="0.2">
      <c r="A46" t="s">
        <v>835</v>
      </c>
      <c r="B46" t="s">
        <v>191</v>
      </c>
      <c r="D46" s="15" t="s">
        <v>42</v>
      </c>
      <c r="E46" t="s">
        <v>888</v>
      </c>
      <c r="G46" s="49" t="s">
        <v>121</v>
      </c>
      <c r="H46" s="31" t="s">
        <v>790</v>
      </c>
      <c r="I46" s="31" t="s">
        <v>774</v>
      </c>
      <c r="J46" s="31" t="s">
        <v>776</v>
      </c>
      <c r="K46" s="24" t="s">
        <v>774</v>
      </c>
    </row>
    <row r="47" spans="1:11" x14ac:dyDescent="0.2">
      <c r="A47" t="s">
        <v>836</v>
      </c>
      <c r="B47" t="s">
        <v>53</v>
      </c>
      <c r="D47" s="15" t="s">
        <v>186</v>
      </c>
      <c r="E47" t="s">
        <v>887</v>
      </c>
      <c r="G47" s="49" t="s">
        <v>54</v>
      </c>
      <c r="H47" s="31" t="s">
        <v>790</v>
      </c>
      <c r="I47" s="31" t="s">
        <v>774</v>
      </c>
      <c r="J47" s="31" t="s">
        <v>776</v>
      </c>
      <c r="K47" s="24" t="s">
        <v>774</v>
      </c>
    </row>
    <row r="48" spans="1:11" x14ac:dyDescent="0.2">
      <c r="A48" t="s">
        <v>837</v>
      </c>
      <c r="B48" t="s">
        <v>25</v>
      </c>
      <c r="D48" s="15" t="s">
        <v>274</v>
      </c>
      <c r="E48" t="s">
        <v>856</v>
      </c>
      <c r="G48" s="49" t="s">
        <v>146</v>
      </c>
      <c r="H48" s="31" t="s">
        <v>790</v>
      </c>
      <c r="I48" s="31" t="s">
        <v>774</v>
      </c>
      <c r="J48" s="31" t="s">
        <v>776</v>
      </c>
      <c r="K48" s="24" t="s">
        <v>774</v>
      </c>
    </row>
    <row r="49" spans="1:11" x14ac:dyDescent="0.2">
      <c r="A49" t="s">
        <v>838</v>
      </c>
      <c r="B49" t="s">
        <v>45</v>
      </c>
      <c r="D49" s="15" t="s">
        <v>685</v>
      </c>
      <c r="E49" t="s">
        <v>885</v>
      </c>
      <c r="G49" s="49" t="s">
        <v>277</v>
      </c>
      <c r="H49" s="31" t="s">
        <v>790</v>
      </c>
      <c r="I49" s="31" t="s">
        <v>774</v>
      </c>
      <c r="J49" s="31" t="s">
        <v>776</v>
      </c>
      <c r="K49" s="24" t="s">
        <v>774</v>
      </c>
    </row>
    <row r="50" spans="1:11" x14ac:dyDescent="0.2">
      <c r="A50" t="s">
        <v>839</v>
      </c>
      <c r="B50" t="s">
        <v>134</v>
      </c>
      <c r="D50" s="15" t="s">
        <v>78</v>
      </c>
      <c r="E50" t="s">
        <v>886</v>
      </c>
      <c r="G50" s="49" t="s">
        <v>685</v>
      </c>
      <c r="H50" s="31" t="s">
        <v>790</v>
      </c>
      <c r="I50" s="31" t="s">
        <v>774</v>
      </c>
      <c r="J50" s="31" t="s">
        <v>776</v>
      </c>
      <c r="K50" s="24" t="s">
        <v>774</v>
      </c>
    </row>
    <row r="51" spans="1:11" x14ac:dyDescent="0.2">
      <c r="A51" t="s">
        <v>840</v>
      </c>
      <c r="B51" t="s">
        <v>49</v>
      </c>
      <c r="D51" s="15" t="s">
        <v>239</v>
      </c>
      <c r="E51" t="s">
        <v>851</v>
      </c>
      <c r="G51" s="49" t="s">
        <v>78</v>
      </c>
      <c r="H51" s="31" t="s">
        <v>790</v>
      </c>
      <c r="I51" s="31" t="s">
        <v>774</v>
      </c>
      <c r="J51" s="31" t="s">
        <v>776</v>
      </c>
      <c r="K51" s="24" t="s">
        <v>774</v>
      </c>
    </row>
    <row r="52" spans="1:11" x14ac:dyDescent="0.2">
      <c r="A52" t="s">
        <v>803</v>
      </c>
      <c r="B52" t="s">
        <v>149</v>
      </c>
      <c r="D52" s="15" t="s">
        <v>565</v>
      </c>
      <c r="E52" t="s">
        <v>889</v>
      </c>
      <c r="G52" s="49" t="s">
        <v>186</v>
      </c>
      <c r="H52" s="31" t="s">
        <v>790</v>
      </c>
      <c r="I52" s="31" t="s">
        <v>774</v>
      </c>
      <c r="J52" s="31" t="s">
        <v>776</v>
      </c>
      <c r="K52" s="24" t="s">
        <v>774</v>
      </c>
    </row>
    <row r="53" spans="1:11" x14ac:dyDescent="0.2">
      <c r="D53" s="15" t="s">
        <v>643</v>
      </c>
      <c r="E53" t="s">
        <v>890</v>
      </c>
      <c r="G53" s="49" t="s">
        <v>42</v>
      </c>
      <c r="H53" s="31" t="s">
        <v>790</v>
      </c>
      <c r="I53" s="31" t="s">
        <v>774</v>
      </c>
      <c r="J53" s="31" t="s">
        <v>776</v>
      </c>
      <c r="K53" s="24" t="s">
        <v>774</v>
      </c>
    </row>
    <row r="54" spans="1:11" x14ac:dyDescent="0.2">
      <c r="D54" s="15" t="s">
        <v>203</v>
      </c>
      <c r="E54" t="s">
        <v>892</v>
      </c>
      <c r="G54" s="49" t="s">
        <v>565</v>
      </c>
      <c r="H54" s="31" t="s">
        <v>790</v>
      </c>
      <c r="I54" s="31" t="s">
        <v>774</v>
      </c>
      <c r="J54" s="31" t="s">
        <v>776</v>
      </c>
      <c r="K54" s="24" t="s">
        <v>774</v>
      </c>
    </row>
    <row r="55" spans="1:11" x14ac:dyDescent="0.2">
      <c r="D55" s="15" t="s">
        <v>26</v>
      </c>
      <c r="E55" t="s">
        <v>891</v>
      </c>
      <c r="G55" s="49" t="s">
        <v>643</v>
      </c>
      <c r="H55" s="31" t="s">
        <v>790</v>
      </c>
      <c r="I55" s="31" t="s">
        <v>774</v>
      </c>
      <c r="J55" s="31" t="s">
        <v>776</v>
      </c>
      <c r="K55" s="24" t="s">
        <v>774</v>
      </c>
    </row>
    <row r="56" spans="1:11" x14ac:dyDescent="0.2">
      <c r="D56" s="15" t="s">
        <v>155</v>
      </c>
      <c r="E56" t="s">
        <v>842</v>
      </c>
      <c r="G56" s="49" t="s">
        <v>26</v>
      </c>
      <c r="H56" s="31" t="s">
        <v>790</v>
      </c>
      <c r="I56" s="31" t="s">
        <v>774</v>
      </c>
      <c r="J56" s="31" t="s">
        <v>776</v>
      </c>
      <c r="K56" s="24" t="s">
        <v>774</v>
      </c>
    </row>
    <row r="57" spans="1:11" x14ac:dyDescent="0.2">
      <c r="D57" s="15" t="s">
        <v>15</v>
      </c>
      <c r="E57" t="s">
        <v>859</v>
      </c>
      <c r="G57" s="49" t="s">
        <v>203</v>
      </c>
      <c r="H57" s="31" t="s">
        <v>790</v>
      </c>
      <c r="I57" s="31" t="s">
        <v>774</v>
      </c>
      <c r="J57" s="31" t="s">
        <v>776</v>
      </c>
      <c r="K57" s="24" t="s">
        <v>774</v>
      </c>
    </row>
    <row r="58" spans="1:11" x14ac:dyDescent="0.2">
      <c r="D58" s="15" t="s">
        <v>34</v>
      </c>
      <c r="E58" t="s">
        <v>893</v>
      </c>
      <c r="G58" s="49" t="s">
        <v>34</v>
      </c>
      <c r="H58" s="31" t="s">
        <v>790</v>
      </c>
      <c r="I58" s="31" t="s">
        <v>789</v>
      </c>
      <c r="J58" s="31" t="s">
        <v>789</v>
      </c>
      <c r="K58" s="24" t="s">
        <v>789</v>
      </c>
    </row>
    <row r="59" spans="1:11" ht="15" thickBot="1" x14ac:dyDescent="0.25">
      <c r="D59" s="15" t="s">
        <v>761</v>
      </c>
      <c r="E59" t="s">
        <v>894</v>
      </c>
      <c r="G59" s="50" t="s">
        <v>761</v>
      </c>
      <c r="H59" s="33" t="s">
        <v>790</v>
      </c>
      <c r="I59" s="33" t="s">
        <v>790</v>
      </c>
      <c r="J59" s="33" t="s">
        <v>790</v>
      </c>
      <c r="K59" s="26" t="s">
        <v>790</v>
      </c>
    </row>
  </sheetData>
  <sortState xmlns:xlrd2="http://schemas.microsoft.com/office/spreadsheetml/2017/richdata2" ref="D6:E56">
    <sortCondition ref="D6"/>
  </sortState>
  <conditionalFormatting sqref="A7:A51">
    <cfRule type="duplicateValues" dxfId="4" priority="5"/>
  </conditionalFormatting>
  <conditionalFormatting sqref="A52">
    <cfRule type="duplicateValues" dxfId="3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Attendees</vt:lpstr>
      <vt:lpstr>Lookup Lists</vt:lpstr>
      <vt:lpstr>Seating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sarah</cp:lastModifiedBy>
  <dcterms:created xsi:type="dcterms:W3CDTF">2017-08-25T00:55:05Z</dcterms:created>
  <dcterms:modified xsi:type="dcterms:W3CDTF">2022-01-13T15:18:03Z</dcterms:modified>
</cp:coreProperties>
</file>