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code_review\"/>
    </mc:Choice>
  </mc:AlternateContent>
  <xr:revisionPtr revIDLastSave="0" documentId="13_ncr:1_{7AF3534D-AC68-44F2-B5FC-8CE5FFFAD10C}" xr6:coauthVersionLast="47" xr6:coauthVersionMax="47" xr10:uidLastSave="{00000000-0000-0000-0000-000000000000}"/>
  <bookViews>
    <workbookView xWindow="-110" yWindow="-110" windowWidth="22780" windowHeight="14660" xr2:uid="{6AAC65E5-B1D4-4C62-84FA-0864A5EF02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4" i="2" l="1"/>
  <c r="L36" i="2"/>
  <c r="M37" i="2"/>
  <c r="E37" i="2" s="1"/>
  <c r="D37" i="2"/>
  <c r="H36" i="2"/>
  <c r="K35" i="2"/>
  <c r="C11" i="2"/>
  <c r="E11" i="2" s="1"/>
  <c r="G12" i="2" s="1"/>
  <c r="F11" i="2"/>
  <c r="D11" i="2" s="1"/>
  <c r="G11" i="2"/>
  <c r="J11" i="2"/>
  <c r="K11" i="2"/>
  <c r="M12" i="2" s="1"/>
  <c r="M11" i="2"/>
  <c r="L11" i="2" s="1"/>
  <c r="N12" i="2" s="1"/>
  <c r="N11" i="2"/>
  <c r="O11" i="2"/>
  <c r="O10" i="2"/>
  <c r="L10" i="2"/>
  <c r="K10" i="2"/>
  <c r="E10" i="2"/>
  <c r="H10" i="2" s="1"/>
  <c r="D10" i="2"/>
  <c r="G10" i="2"/>
  <c r="F10" i="2"/>
  <c r="J10" i="2"/>
  <c r="C10" i="2"/>
  <c r="T9" i="2"/>
  <c r="S10" i="2"/>
  <c r="S9" i="2"/>
  <c r="R9" i="2"/>
  <c r="M10" i="2"/>
  <c r="C29" i="1"/>
  <c r="D29" i="1"/>
  <c r="E29" i="1"/>
  <c r="G37" i="2"/>
  <c r="N10" i="2"/>
  <c r="F37" i="2"/>
  <c r="N36" i="2"/>
  <c r="C36" i="2"/>
  <c r="C9" i="2"/>
  <c r="H9" i="2"/>
  <c r="J9" i="2"/>
  <c r="O9" i="2"/>
  <c r="O37" i="2"/>
  <c r="F29" i="1"/>
  <c r="G29" i="1" s="1"/>
  <c r="G30" i="1"/>
  <c r="G28" i="1"/>
  <c r="H11" i="2" l="1"/>
  <c r="F12" i="2"/>
  <c r="C37" i="2" l="1"/>
  <c r="G38" i="2" l="1"/>
  <c r="H37" i="2"/>
  <c r="F38" i="2"/>
  <c r="R10" i="2"/>
  <c r="S11" i="2"/>
  <c r="T10" i="2" l="1"/>
  <c r="K43" i="2"/>
  <c r="R11" i="2"/>
  <c r="T11" i="2" s="1"/>
  <c r="C12" i="2" l="1"/>
  <c r="J12" i="2"/>
  <c r="S12" i="2" s="1"/>
  <c r="D38" i="2"/>
  <c r="C38" i="2"/>
  <c r="M45" i="2"/>
  <c r="E38" i="2" s="1"/>
  <c r="H38" i="2" l="1"/>
  <c r="L12" i="2"/>
  <c r="N13" i="2" s="1"/>
  <c r="K12" i="2"/>
  <c r="D12" i="2"/>
  <c r="E12" i="2"/>
  <c r="G13" i="2" s="1"/>
  <c r="R12" i="2"/>
  <c r="T12" i="2" s="1"/>
  <c r="J13" i="2" s="1"/>
  <c r="C13" i="2" l="1"/>
  <c r="M13" i="2"/>
  <c r="L13" i="2" s="1"/>
  <c r="N14" i="2" s="1"/>
  <c r="O12" i="2"/>
  <c r="H12" i="2"/>
  <c r="F13" i="2"/>
  <c r="S13" i="2"/>
  <c r="D13" i="2" l="1"/>
  <c r="E13" i="2"/>
  <c r="G14" i="2" s="1"/>
  <c r="K13" i="2"/>
  <c r="R13" i="2"/>
  <c r="M14" i="2" l="1"/>
  <c r="O13" i="2"/>
  <c r="H13" i="2"/>
  <c r="F14" i="2"/>
  <c r="T13" i="2"/>
  <c r="J14" i="2" l="1"/>
  <c r="C14" i="2"/>
  <c r="R14" i="2"/>
  <c r="D14" i="2" l="1"/>
  <c r="E14" i="2"/>
  <c r="G15" i="2" s="1"/>
  <c r="L14" i="2"/>
  <c r="N15" i="2" s="1"/>
  <c r="K14" i="2"/>
  <c r="S14" i="2"/>
  <c r="T14" i="2"/>
  <c r="C15" i="2" s="1"/>
  <c r="M15" i="2" l="1"/>
  <c r="O14" i="2"/>
  <c r="H14" i="2"/>
  <c r="F15" i="2"/>
  <c r="D15" i="2" s="1"/>
  <c r="J15" i="2"/>
  <c r="R15" i="2"/>
  <c r="F16" i="2" l="1"/>
  <c r="L15" i="2"/>
  <c r="N16" i="2" s="1"/>
  <c r="K15" i="2"/>
  <c r="E15" i="2"/>
  <c r="G16" i="2" s="1"/>
  <c r="S15" i="2"/>
  <c r="T15" i="2"/>
  <c r="C16" i="2" s="1"/>
  <c r="D16" i="2" l="1"/>
  <c r="E16" i="2"/>
  <c r="G17" i="2" s="1"/>
  <c r="J16" i="2"/>
  <c r="M16" i="2"/>
  <c r="O15" i="2"/>
  <c r="H15" i="2"/>
  <c r="R16" i="2"/>
  <c r="L16" i="2" l="1"/>
  <c r="N17" i="2" s="1"/>
  <c r="K16" i="2"/>
  <c r="H16" i="2"/>
  <c r="F17" i="2"/>
  <c r="S16" i="2"/>
  <c r="T16" i="2"/>
  <c r="C17" i="2" s="1"/>
  <c r="D17" i="2" l="1"/>
  <c r="E17" i="2"/>
  <c r="G18" i="2" s="1"/>
  <c r="M17" i="2"/>
  <c r="O16" i="2"/>
  <c r="J17" i="2"/>
  <c r="R17" i="2"/>
  <c r="L17" i="2" l="1"/>
  <c r="N18" i="2" s="1"/>
  <c r="K17" i="2"/>
  <c r="H17" i="2"/>
  <c r="F18" i="2"/>
  <c r="S17" i="2"/>
  <c r="T17" i="2" s="1"/>
  <c r="C18" i="2" s="1"/>
  <c r="D18" i="2" l="1"/>
  <c r="E18" i="2"/>
  <c r="G19" i="2" s="1"/>
  <c r="M18" i="2"/>
  <c r="O17" i="2"/>
  <c r="J18" i="2"/>
  <c r="R18" i="2"/>
  <c r="L18" i="2" l="1"/>
  <c r="N19" i="2" s="1"/>
  <c r="K18" i="2"/>
  <c r="H18" i="2"/>
  <c r="F19" i="2"/>
  <c r="S18" i="2"/>
  <c r="T18" i="2" s="1"/>
  <c r="C19" i="2" l="1"/>
  <c r="R19" i="2" s="1"/>
  <c r="J19" i="2"/>
  <c r="M19" i="2"/>
  <c r="O18" i="2"/>
  <c r="L19" i="2" l="1"/>
  <c r="N20" i="2" s="1"/>
  <c r="J20" i="2"/>
  <c r="K19" i="2"/>
  <c r="D19" i="2"/>
  <c r="E19" i="2"/>
  <c r="G20" i="2" s="1"/>
  <c r="S19" i="2"/>
  <c r="T19" i="2" s="1"/>
  <c r="C20" i="2" s="1"/>
  <c r="L20" i="2" l="1"/>
  <c r="N21" i="2" s="1"/>
  <c r="K20" i="2"/>
  <c r="H19" i="2"/>
  <c r="F20" i="2"/>
  <c r="D20" i="2" s="1"/>
  <c r="M20" i="2"/>
  <c r="O19" i="2"/>
  <c r="S20" i="2"/>
  <c r="R20" i="2"/>
  <c r="F21" i="2" l="1"/>
  <c r="E20" i="2"/>
  <c r="G21" i="2" s="1"/>
  <c r="T20" i="2"/>
  <c r="M21" i="2"/>
  <c r="O20" i="2"/>
  <c r="C21" i="2" l="1"/>
  <c r="J21" i="2"/>
  <c r="H20" i="2"/>
  <c r="L21" i="2" l="1"/>
  <c r="N22" i="2" s="1"/>
  <c r="K21" i="2"/>
  <c r="S21" i="2"/>
  <c r="D21" i="2"/>
  <c r="E21" i="2"/>
  <c r="G22" i="2" s="1"/>
  <c r="R21" i="2"/>
  <c r="T21" i="2" s="1"/>
  <c r="C22" i="2" s="1"/>
  <c r="R22" i="2" l="1"/>
  <c r="M22" i="2"/>
  <c r="O21" i="2"/>
  <c r="H21" i="2"/>
  <c r="F22" i="2"/>
  <c r="D22" i="2" s="1"/>
  <c r="J22" i="2"/>
  <c r="F23" i="2" l="1"/>
  <c r="E22" i="2"/>
  <c r="G23" i="2" s="1"/>
  <c r="L22" i="2"/>
  <c r="N23" i="2" s="1"/>
  <c r="K22" i="2"/>
  <c r="S22" i="2"/>
  <c r="T22" i="2" s="1"/>
  <c r="C23" i="2" l="1"/>
  <c r="J23" i="2"/>
  <c r="M23" i="2"/>
  <c r="O22" i="2"/>
  <c r="H22" i="2"/>
  <c r="S23" i="2"/>
  <c r="L23" i="2" l="1"/>
  <c r="N24" i="2" s="1"/>
  <c r="K23" i="2"/>
  <c r="D23" i="2"/>
  <c r="E23" i="2"/>
  <c r="G24" i="2" s="1"/>
  <c r="R23" i="2"/>
  <c r="T23" i="2" s="1"/>
  <c r="J24" i="2" l="1"/>
  <c r="C24" i="2"/>
  <c r="M24" i="2"/>
  <c r="O23" i="2"/>
  <c r="H23" i="2"/>
  <c r="F24" i="2"/>
  <c r="D24" i="2" l="1"/>
  <c r="E24" i="2"/>
  <c r="G25" i="2" s="1"/>
  <c r="L24" i="2"/>
  <c r="N25" i="2" s="1"/>
  <c r="K24" i="2"/>
  <c r="S24" i="2"/>
  <c r="R24" i="2"/>
  <c r="T24" i="2" s="1"/>
  <c r="C25" i="2" s="1"/>
  <c r="R25" i="2" l="1"/>
  <c r="M25" i="2"/>
  <c r="O24" i="2"/>
  <c r="H24" i="2"/>
  <c r="F25" i="2"/>
  <c r="D25" i="2" s="1"/>
  <c r="J25" i="2"/>
  <c r="F26" i="2" l="1"/>
  <c r="E25" i="2"/>
  <c r="G26" i="2" s="1"/>
  <c r="L25" i="2"/>
  <c r="N26" i="2" s="1"/>
  <c r="K25" i="2"/>
  <c r="S25" i="2"/>
  <c r="T25" i="2" s="1"/>
  <c r="C26" i="2" s="1"/>
  <c r="D26" i="2" l="1"/>
  <c r="E26" i="2"/>
  <c r="G27" i="2" s="1"/>
  <c r="R26" i="2"/>
  <c r="M26" i="2"/>
  <c r="O25" i="2"/>
  <c r="J26" i="2"/>
  <c r="H25" i="2"/>
  <c r="T26" i="2" l="1"/>
  <c r="C27" i="2" s="1"/>
  <c r="L26" i="2"/>
  <c r="N27" i="2" s="1"/>
  <c r="R27" i="2" s="1"/>
  <c r="J27" i="2"/>
  <c r="K26" i="2"/>
  <c r="S26" i="2"/>
  <c r="H26" i="2"/>
  <c r="F27" i="2"/>
  <c r="D27" i="2" l="1"/>
  <c r="E27" i="2"/>
  <c r="G28" i="2" s="1"/>
  <c r="S27" i="2"/>
  <c r="T27" i="2" s="1"/>
  <c r="C28" i="2" s="1"/>
  <c r="M27" i="2"/>
  <c r="K27" i="2" s="1"/>
  <c r="O26" i="2"/>
  <c r="M28" i="2" l="1"/>
  <c r="D28" i="2"/>
  <c r="L27" i="2"/>
  <c r="N28" i="2" s="1"/>
  <c r="R28" i="2" s="1"/>
  <c r="H27" i="2"/>
  <c r="F28" i="2"/>
  <c r="E28" i="2" s="1"/>
  <c r="G29" i="2" s="1"/>
  <c r="J28" i="2"/>
  <c r="H28" i="2" l="1"/>
  <c r="F29" i="2"/>
  <c r="L28" i="2"/>
  <c r="N29" i="2" s="1"/>
  <c r="K28" i="2"/>
  <c r="S28" i="2"/>
  <c r="T28" i="2" s="1"/>
  <c r="O27" i="2"/>
  <c r="C29" i="2" l="1"/>
  <c r="J29" i="2"/>
  <c r="M29" i="2"/>
  <c r="O28" i="2"/>
  <c r="L29" i="2" l="1"/>
  <c r="K29" i="2"/>
  <c r="O29" i="2" s="1"/>
  <c r="S29" i="2"/>
  <c r="T29" i="2" s="1"/>
  <c r="D29" i="2"/>
  <c r="H29" i="2" s="1"/>
  <c r="E29" i="2"/>
  <c r="Q9" i="2" a="1"/>
  <c r="Q9" i="2" s="1"/>
  <c r="R2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<sst xmlns="http://schemas.openxmlformats.org/spreadsheetml/2006/main" count="105" uniqueCount="63">
  <si>
    <t>In a markov model you are using a matrix of transition probabilities to predict the population in each state for every time step.</t>
  </si>
  <si>
    <t>Let's say we want to use a markov model to predict the number of IHD cases and deaths over time.</t>
  </si>
  <si>
    <t>Well</t>
  </si>
  <si>
    <t>Sick</t>
  </si>
  <si>
    <t>Dead</t>
  </si>
  <si>
    <t>Since we have 4 health states we have a 4x4 matrix of transition probablilities</t>
  </si>
  <si>
    <t>To keep it simple we will look at 4 health states: well, sick, dead from IHD, dead from other cause.</t>
  </si>
  <si>
    <t>On the column we have the state at time =t and on the row we have the state at time =t+1</t>
  </si>
  <si>
    <t>Dead other</t>
  </si>
  <si>
    <t>W</t>
  </si>
  <si>
    <t>S</t>
  </si>
  <si>
    <t>The values in red are constructs of the model - the other transition probabilities (TP's) must be calculated.</t>
  </si>
  <si>
    <t>IR</t>
  </si>
  <si>
    <t>CF</t>
  </si>
  <si>
    <t>BG</t>
  </si>
  <si>
    <t>time = t+1</t>
  </si>
  <si>
    <t>time = t</t>
  </si>
  <si>
    <t>Then, all we do to run the model is multiple this matrix by a 1x4 matrix of initial conditions:</t>
  </si>
  <si>
    <t xml:space="preserve">Now let's fill this with data. </t>
  </si>
  <si>
    <t>Note these are probabilities so they must be between 0 and 1 and also the sum of the rows must sum to 1.</t>
  </si>
  <si>
    <t>So maybe we only know IR, CF, and BG -- that's okay since we can then calculte W and S</t>
  </si>
  <si>
    <t>*</t>
  </si>
  <si>
    <t>*Note that the death states are absorbing (TP=1) so they are cumulative</t>
  </si>
  <si>
    <t>pop</t>
  </si>
  <si>
    <t>time = t+2</t>
  </si>
  <si>
    <t>age = a</t>
  </si>
  <si>
    <t>age = a+1</t>
  </si>
  <si>
    <t>age = a+2</t>
  </si>
  <si>
    <t>*Next we'll do this in R</t>
  </si>
  <si>
    <t>Some things to remember:</t>
  </si>
  <si>
    <t xml:space="preserve"> matrix structures are row x column so a 1x4 matrix is one row, four columns</t>
  </si>
  <si>
    <r>
      <t>the order in which you multiple matrices matters -- the inside dimensions must match so you have to do a 1X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times a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X4 -- not a 4X4 times a 1X4</t>
    </r>
  </si>
  <si>
    <t>Let's demonstrate how to do this 'by hand':</t>
  </si>
  <si>
    <t>IHD</t>
  </si>
  <si>
    <t>Stroke</t>
  </si>
  <si>
    <t>Pop</t>
  </si>
  <si>
    <t xml:space="preserve">Well </t>
  </si>
  <si>
    <t xml:space="preserve">Other (not stroke or IHD) mortality RATE = </t>
  </si>
  <si>
    <t>t, a</t>
  </si>
  <si>
    <t>t+1, a+1</t>
  </si>
  <si>
    <t>t+2, a+2</t>
  </si>
  <si>
    <t>*assume background deaths/ migration impacts</t>
  </si>
  <si>
    <t>well/sick proportionally</t>
  </si>
  <si>
    <t>From demographic model</t>
  </si>
  <si>
    <t>Incident</t>
  </si>
  <si>
    <t>check</t>
  </si>
  <si>
    <t>As a matrix?</t>
  </si>
  <si>
    <t>w</t>
  </si>
  <si>
    <t>s</t>
  </si>
  <si>
    <t>i</t>
  </si>
  <si>
    <t>d</t>
  </si>
  <si>
    <t>P2P</t>
  </si>
  <si>
    <t>All.mx</t>
  </si>
  <si>
    <t>p</t>
  </si>
  <si>
    <t>t,a</t>
  </si>
  <si>
    <t>Check</t>
  </si>
  <si>
    <t>t+3, a+3</t>
  </si>
  <si>
    <t>~vector of age-sex specific rates (time-variant)</t>
  </si>
  <si>
    <t>Migration</t>
  </si>
  <si>
    <t>Migration rate (also would be age and sex-specific):</t>
  </si>
  <si>
    <t>Remaining sick</t>
  </si>
  <si>
    <t>Incident cases</t>
  </si>
  <si>
    <t>Incident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</si>
</sst>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textRotation="90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3" borderId="0" xfId="0" applyFill="1"/>
    <xf numFmtId="1" fontId="0" fillId="0" borderId="0" xfId="0" applyNumberFormat="1"/>
    <xf numFmtId="0" fontId="1" fillId="0" borderId="0" xfId="0" applyFont="1"/>
    <xf numFmtId="0" fontId="2" fillId="6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2" fillId="5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1" fontId="0" fillId="5" borderId="0" xfId="0" applyNumberFormat="1" applyFill="1"/>
    <xf numFmtId="1" fontId="1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7</xdr:row>
      <xdr:rowOff>76200</xdr:rowOff>
    </xdr:from>
    <xdr:to>
      <xdr:col>4</xdr:col>
      <xdr:colOff>588645</xdr:colOff>
      <xdr:row>19</xdr:row>
      <xdr:rowOff>92075</xdr:rowOff>
    </xdr:to>
    <xdr:pic>
      <xdr:nvPicPr>
        <xdr:cNvPr id="2" name="Picture 1" descr="Diagram&#10;&#10;Description automatically generated">
          <a:extLst>
            <a:ext uri="{FF2B5EF4-FFF2-40B4-BE49-F238E27FC236}">
              <a16:creationId xmlns:a16="http://schemas.microsoft.com/office/drawing/2014/main" id="{B48CB1E7-87B7-4CFF-8010-5208EECA0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409700"/>
          <a:ext cx="2341245" cy="22987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13</xdr:col>
      <xdr:colOff>285735</xdr:colOff>
      <xdr:row>19</xdr:row>
      <xdr:rowOff>170940</xdr:rowOff>
    </xdr:from>
    <xdr:to>
      <xdr:col>15</xdr:col>
      <xdr:colOff>225965</xdr:colOff>
      <xdr:row>29</xdr:row>
      <xdr:rowOff>77460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5813EB6-F75A-49E6-899B-F21BA00D799C}"/>
                </a:ext>
              </a:extLst>
            </xdr14:cNvPr>
            <xdr14:cNvContentPartPr/>
          </xdr14:nvContentPartPr>
          <xdr14:nvPr macro=""/>
          <xdr14:xfrm>
            <a:off x="8334360" y="3790440"/>
            <a:ext cx="1153080" cy="18115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5813EB6-F75A-49E6-899B-F21BA00D799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325720" y="3781440"/>
              <a:ext cx="1170720" cy="1829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6T18:12:55.6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2804 0 24575,'3'2'0,"0"-1"0,0 1 0,0 0 0,0 0 0,-1 0 0,1 0 0,-1 1 0,1-1 0,-1 1 0,0-1 0,0 1 0,0 0 0,0 0 0,-1 0 0,3 6 0,-1-4 0,25 52 0,-3 1 0,-2 2 0,21 85 0,-12-38 0,-13-48 0,104 359 0,-103-333 0,-4 0 0,-4 1 0,2 88 0,-20 548 0,1-659 0,-2-1 0,-3 1 0,-3-2 0,-3 0 0,-2 0 0,-3-2 0,-2 0 0,-3-2 0,-2-1 0,-43 64 0,-405 506 0,335-471 0,-307 261 0,333-329 0,-3-6 0,-225 117 0,263-163 0,-1-2 0,-2-4 0,-118 24 0,51-13 0,42-15 0,-1-4 0,-1-5 0,-127 2 0,200-14-1365,5 1-5461</inkml:trace>
  <inkml:trace contextRef="#ctx0" brushRef="#br0" timeOffset="992.28">53 4683 24575,'-4'0'0,"-3"-9"0,2-7 0,9-6 0,5-3 0,1-2 0,2-10 0,5-3 0,7-9 0,1 0 0,0 0 0,-4 2 0,3 11 0,-2 6 0,-6 8-8191</inkml:trace>
  <inkml:trace contextRef="#ctx0" brushRef="#br0" timeOffset="2930.1">1 4631 24575,'4'4'0,"6"7"0,7 0 0,-1 4 0,6-1 0,0 2 0,1-3 0,0 12 0,-3 4 0,-1 7 0,-4 2 0,1-5 0,1 0 0,3-1 0,2-6 0,-2-2 0,4-2 0,-2-4-8191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3CC5-C5ED-4E9F-B671-9E61F184AD18}">
  <dimension ref="A2:Z39"/>
  <sheetViews>
    <sheetView tabSelected="1" topLeftCell="A10" workbookViewId="0">
      <selection activeCell="D38" sqref="D38"/>
    </sheetView>
  </sheetViews>
  <sheetFormatPr defaultRowHeight="15" x14ac:dyDescent="0.25"/>
  <cols>
    <col min="6" max="6" width="11" customWidth="1"/>
  </cols>
  <sheetData>
    <row r="2" spans="2:15" x14ac:dyDescent="0.25">
      <c r="B2" t="s">
        <v>0</v>
      </c>
    </row>
    <row r="3" spans="2:15" x14ac:dyDescent="0.25">
      <c r="B3" t="s">
        <v>1</v>
      </c>
    </row>
    <row r="6" spans="2:15" x14ac:dyDescent="0.25">
      <c r="B6" t="s">
        <v>6</v>
      </c>
    </row>
    <row r="9" spans="2:15" x14ac:dyDescent="0.25">
      <c r="G9" t="s">
        <v>5</v>
      </c>
    </row>
    <row r="10" spans="2:15" x14ac:dyDescent="0.25">
      <c r="G10" t="s">
        <v>7</v>
      </c>
    </row>
    <row r="11" spans="2:15" x14ac:dyDescent="0.25">
      <c r="G11" t="s">
        <v>11</v>
      </c>
    </row>
    <row r="14" spans="2:15" x14ac:dyDescent="0.25">
      <c r="I14" s="4" t="s">
        <v>15</v>
      </c>
      <c r="J14" s="4"/>
      <c r="K14" s="4"/>
      <c r="L14" s="4"/>
      <c r="O14" s="6" t="s">
        <v>22</v>
      </c>
    </row>
    <row r="15" spans="2:15" x14ac:dyDescent="0.25">
      <c r="I15" s="3" t="s">
        <v>2</v>
      </c>
      <c r="J15" s="3" t="s">
        <v>3</v>
      </c>
      <c r="K15" s="3" t="s">
        <v>4</v>
      </c>
      <c r="L15" s="3" t="s">
        <v>8</v>
      </c>
    </row>
    <row r="16" spans="2:15" x14ac:dyDescent="0.25">
      <c r="G16" s="5" t="s">
        <v>16</v>
      </c>
      <c r="H16" s="3" t="s">
        <v>2</v>
      </c>
      <c r="I16" s="1" t="s">
        <v>9</v>
      </c>
      <c r="J16" s="1" t="s">
        <v>12</v>
      </c>
      <c r="K16" s="2">
        <v>0</v>
      </c>
      <c r="L16" s="1" t="s">
        <v>14</v>
      </c>
    </row>
    <row r="17" spans="1:26" x14ac:dyDescent="0.25">
      <c r="G17" s="5"/>
      <c r="H17" s="3" t="s">
        <v>3</v>
      </c>
      <c r="I17" s="1">
        <v>0</v>
      </c>
      <c r="J17" s="1" t="s">
        <v>10</v>
      </c>
      <c r="K17" s="1" t="s">
        <v>13</v>
      </c>
      <c r="L17" s="1" t="s">
        <v>14</v>
      </c>
      <c r="O17" t="s">
        <v>18</v>
      </c>
    </row>
    <row r="18" spans="1:26" x14ac:dyDescent="0.25">
      <c r="G18" s="5"/>
      <c r="H18" s="3" t="s">
        <v>4</v>
      </c>
      <c r="I18" s="2">
        <v>0</v>
      </c>
      <c r="J18" s="2">
        <v>0</v>
      </c>
      <c r="K18" s="2">
        <v>1</v>
      </c>
      <c r="L18" s="2">
        <v>0</v>
      </c>
      <c r="O18" t="s">
        <v>19</v>
      </c>
    </row>
    <row r="19" spans="1:26" x14ac:dyDescent="0.25">
      <c r="G19" s="5"/>
      <c r="H19" s="3" t="s">
        <v>8</v>
      </c>
      <c r="I19" s="2">
        <v>0</v>
      </c>
      <c r="J19" s="2">
        <v>0</v>
      </c>
      <c r="K19" s="2">
        <v>0</v>
      </c>
      <c r="L19" s="2">
        <v>1</v>
      </c>
      <c r="O19" t="s">
        <v>20</v>
      </c>
    </row>
    <row r="24" spans="1:26" x14ac:dyDescent="0.25">
      <c r="B24" t="s">
        <v>17</v>
      </c>
    </row>
    <row r="25" spans="1:26" x14ac:dyDescent="0.25">
      <c r="B25" t="s">
        <v>32</v>
      </c>
    </row>
    <row r="27" spans="1:26" x14ac:dyDescent="0.25">
      <c r="C27" t="s">
        <v>2</v>
      </c>
      <c r="D27" t="s">
        <v>3</v>
      </c>
      <c r="E27" t="s">
        <v>4</v>
      </c>
      <c r="F27" t="s">
        <v>8</v>
      </c>
      <c r="G27" s="9" t="s">
        <v>23</v>
      </c>
      <c r="J27" s="3">
        <v>0.8</v>
      </c>
      <c r="K27" s="3">
        <v>0.15</v>
      </c>
      <c r="L27" s="3">
        <v>0</v>
      </c>
      <c r="M27" s="3">
        <v>0.05</v>
      </c>
      <c r="U27" s="9"/>
      <c r="W27" s="3"/>
      <c r="X27" s="3"/>
      <c r="Y27" s="3"/>
      <c r="Z27" s="3"/>
    </row>
    <row r="28" spans="1:26" x14ac:dyDescent="0.25">
      <c r="A28" t="s">
        <v>25</v>
      </c>
      <c r="B28" t="s">
        <v>16</v>
      </c>
      <c r="C28" s="3">
        <v>1000</v>
      </c>
      <c r="D28" s="3">
        <v>20</v>
      </c>
      <c r="E28" s="3">
        <v>5</v>
      </c>
      <c r="F28" s="3">
        <v>10</v>
      </c>
      <c r="G28" s="8">
        <f>SUM(C28:F28)</f>
        <v>1035</v>
      </c>
      <c r="I28" s="7" t="s">
        <v>21</v>
      </c>
      <c r="J28" s="3">
        <v>0</v>
      </c>
      <c r="K28" s="3">
        <v>0.85</v>
      </c>
      <c r="L28" s="3">
        <v>0.1</v>
      </c>
      <c r="M28" s="3">
        <v>0.05</v>
      </c>
      <c r="O28" s="3"/>
      <c r="V28" s="7"/>
      <c r="W28" s="3"/>
      <c r="X28" s="3"/>
      <c r="Y28" s="3"/>
      <c r="Z28" s="3"/>
    </row>
    <row r="29" spans="1:26" x14ac:dyDescent="0.25">
      <c r="A29" t="s">
        <v>26</v>
      </c>
      <c r="B29" t="s">
        <v>15</v>
      </c>
      <c r="C29" s="3">
        <f>C28*J27+D28*J28+E28*J29+F28*J30</f>
        <v>800</v>
      </c>
      <c r="D29" s="3">
        <f>C28*K27+D28*K28+E28*K29+F28*K30</f>
        <v>167</v>
      </c>
      <c r="E29" s="3">
        <f>C28*L27+D28*L28+E28*L29+F28*L30</f>
        <v>7</v>
      </c>
      <c r="F29" s="3">
        <f>C28*M27+D28*M28+E28*M29+F28*M30</f>
        <v>61</v>
      </c>
      <c r="G29" s="8">
        <f t="shared" ref="G29:G30" si="0">SUM(C29:F29)</f>
        <v>1035</v>
      </c>
      <c r="J29" s="3">
        <v>0</v>
      </c>
      <c r="K29" s="3">
        <v>0</v>
      </c>
      <c r="L29" s="3">
        <v>1</v>
      </c>
      <c r="M29" s="3">
        <v>0</v>
      </c>
      <c r="W29" s="3"/>
      <c r="X29" s="3"/>
      <c r="Y29" s="3"/>
      <c r="Z29" s="3"/>
    </row>
    <row r="30" spans="1:26" x14ac:dyDescent="0.25">
      <c r="A30" t="s">
        <v>27</v>
      </c>
      <c r="B30" t="s">
        <v>24</v>
      </c>
      <c r="G30" s="8">
        <f t="shared" si="0"/>
        <v>0</v>
      </c>
      <c r="J30" s="3">
        <v>0</v>
      </c>
      <c r="K30" s="3">
        <v>0</v>
      </c>
      <c r="L30" s="3">
        <v>0</v>
      </c>
      <c r="M30" s="3">
        <v>1</v>
      </c>
      <c r="W30" s="3"/>
      <c r="X30" s="3"/>
      <c r="Y30" s="3"/>
      <c r="Z30" s="3"/>
    </row>
    <row r="33" spans="3:4" x14ac:dyDescent="0.25">
      <c r="C33" t="s">
        <v>28</v>
      </c>
    </row>
    <row r="36" spans="3:4" x14ac:dyDescent="0.25">
      <c r="C36" s="3" t="s">
        <v>29</v>
      </c>
    </row>
    <row r="37" spans="3:4" x14ac:dyDescent="0.25">
      <c r="C37">
        <v>1</v>
      </c>
      <c r="D37" t="s">
        <v>30</v>
      </c>
    </row>
    <row r="38" spans="3:4" x14ac:dyDescent="0.25">
      <c r="C38">
        <v>2</v>
      </c>
      <c r="D38" t="s">
        <v>31</v>
      </c>
    </row>
    <row r="39" spans="3:4" x14ac:dyDescent="0.25">
      <c r="C39">
        <v>3</v>
      </c>
    </row>
  </sheetData>
  <mergeCells count="2">
    <mergeCell ref="G16:G19"/>
    <mergeCell ref="I14:L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3AC1-6530-4D54-809B-62978DED45B1}">
  <dimension ref="B2:U47"/>
  <sheetViews>
    <sheetView zoomScale="90" zoomScaleNormal="90" workbookViewId="0">
      <selection activeCell="O47" sqref="O47"/>
    </sheetView>
  </sheetViews>
  <sheetFormatPr defaultRowHeight="15" x14ac:dyDescent="0.25"/>
  <cols>
    <col min="3" max="3" width="14.140625" bestFit="1" customWidth="1"/>
    <col min="4" max="4" width="9.28515625" customWidth="1"/>
    <col min="5" max="6" width="10.42578125" customWidth="1"/>
    <col min="7" max="7" width="13.5703125" customWidth="1"/>
    <col min="8" max="8" width="9.28515625" customWidth="1"/>
    <col min="9" max="9" width="11" bestFit="1" customWidth="1"/>
    <col min="10" max="10" width="10.5703125" customWidth="1"/>
    <col min="11" max="11" width="8.85546875" customWidth="1"/>
    <col min="12" max="12" width="11.85546875" customWidth="1"/>
    <col min="13" max="13" width="8.5703125" customWidth="1"/>
    <col min="14" max="14" width="10.85546875" bestFit="1" customWidth="1"/>
    <col min="15" max="15" width="12.140625" customWidth="1"/>
    <col min="16" max="16" width="7.7109375" customWidth="1"/>
    <col min="17" max="17" width="8.140625" customWidth="1"/>
    <col min="19" max="19" width="10.7109375" customWidth="1"/>
  </cols>
  <sheetData>
    <row r="2" spans="2:21" x14ac:dyDescent="0.25">
      <c r="J2" s="3" t="s">
        <v>43</v>
      </c>
    </row>
    <row r="3" spans="2:21" x14ac:dyDescent="0.25">
      <c r="D3" s="3" t="s">
        <v>12</v>
      </c>
      <c r="E3" s="3" t="s">
        <v>13</v>
      </c>
      <c r="F3" s="3"/>
      <c r="G3" s="3"/>
      <c r="H3" s="3"/>
      <c r="J3" t="s">
        <v>37</v>
      </c>
      <c r="O3" s="8">
        <v>0.02</v>
      </c>
      <c r="P3" t="s">
        <v>57</v>
      </c>
    </row>
    <row r="4" spans="2:21" x14ac:dyDescent="0.25">
      <c r="C4" s="10" t="s">
        <v>33</v>
      </c>
      <c r="D4" s="10">
        <v>0.03</v>
      </c>
      <c r="E4" s="10">
        <v>0.1</v>
      </c>
    </row>
    <row r="5" spans="2:21" x14ac:dyDescent="0.25">
      <c r="C5" s="11" t="s">
        <v>34</v>
      </c>
      <c r="D5" s="11">
        <v>0.01</v>
      </c>
      <c r="E5" s="11">
        <v>0.2</v>
      </c>
      <c r="J5" t="s">
        <v>59</v>
      </c>
      <c r="O5" s="8">
        <v>-1E-3</v>
      </c>
      <c r="Q5" t="s">
        <v>41</v>
      </c>
    </row>
    <row r="6" spans="2:21" x14ac:dyDescent="0.25">
      <c r="Q6" t="s">
        <v>42</v>
      </c>
    </row>
    <row r="7" spans="2:21" x14ac:dyDescent="0.25">
      <c r="G7" t="s">
        <v>4</v>
      </c>
    </row>
    <row r="8" spans="2:21" s="18" customFormat="1" ht="30" x14ac:dyDescent="0.25">
      <c r="C8" s="19" t="s">
        <v>35</v>
      </c>
      <c r="D8" s="19" t="s">
        <v>2</v>
      </c>
      <c r="E8" s="19" t="s">
        <v>60</v>
      </c>
      <c r="F8" s="19" t="s">
        <v>61</v>
      </c>
      <c r="G8" s="19" t="s">
        <v>62</v>
      </c>
      <c r="H8" s="19" t="s">
        <v>45</v>
      </c>
      <c r="J8" s="20" t="s">
        <v>35</v>
      </c>
      <c r="K8" s="20" t="s">
        <v>36</v>
      </c>
      <c r="L8" s="20" t="s">
        <v>60</v>
      </c>
      <c r="M8" s="20" t="s">
        <v>61</v>
      </c>
      <c r="N8" s="20" t="s">
        <v>62</v>
      </c>
      <c r="O8" s="20" t="s">
        <v>45</v>
      </c>
      <c r="Q8" s="21" t="s">
        <v>35</v>
      </c>
      <c r="R8" s="21" t="s">
        <v>52</v>
      </c>
      <c r="S8" s="22" t="s">
        <v>58</v>
      </c>
      <c r="T8" s="21" t="s">
        <v>51</v>
      </c>
    </row>
    <row r="9" spans="2:21" x14ac:dyDescent="0.25">
      <c r="B9" t="s">
        <v>38</v>
      </c>
      <c r="C9" s="12">
        <f>SUM(D9:G9)</f>
        <v>1000</v>
      </c>
      <c r="D9" s="12">
        <v>915</v>
      </c>
      <c r="E9" s="12">
        <v>80</v>
      </c>
      <c r="F9" s="12">
        <v>0</v>
      </c>
      <c r="G9" s="12">
        <v>5</v>
      </c>
      <c r="H9" s="12">
        <f>SUM(D9:G9)</f>
        <v>1000</v>
      </c>
      <c r="I9" s="12"/>
      <c r="J9" s="12">
        <f>SUM(K9:N9)</f>
        <v>1000</v>
      </c>
      <c r="K9" s="12">
        <v>965</v>
      </c>
      <c r="L9" s="12">
        <v>30</v>
      </c>
      <c r="M9" s="12">
        <v>0</v>
      </c>
      <c r="N9" s="12">
        <v>5</v>
      </c>
      <c r="O9" s="12">
        <f>SUM(K9:N9)</f>
        <v>1000</v>
      </c>
      <c r="Q9" s="12" cm="1">
        <f t="array" ref="Q9:Q29">O9:O29</f>
        <v>1000</v>
      </c>
      <c r="R9" s="12">
        <f>G9+N9+(C9*$O$3)</f>
        <v>30</v>
      </c>
      <c r="S9">
        <f>$O$5*J9</f>
        <v>-1</v>
      </c>
      <c r="T9">
        <f>(1-(R9+S9)/C9)</f>
        <v>0.97099999999999997</v>
      </c>
      <c r="U9" s="12"/>
    </row>
    <row r="10" spans="2:21" x14ac:dyDescent="0.25">
      <c r="B10" t="s">
        <v>39</v>
      </c>
      <c r="C10" s="12">
        <f>C9*T9</f>
        <v>971</v>
      </c>
      <c r="D10" s="12">
        <f>(C10-G10-F10)*(D9/(E9+D9))</f>
        <v>860.32989949748742</v>
      </c>
      <c r="E10" s="12">
        <f>(C10-G10-F10)*(E9/(E9+D9))</f>
        <v>75.220100502512565</v>
      </c>
      <c r="F10" s="12">
        <f>D9*$D$4</f>
        <v>27.45</v>
      </c>
      <c r="G10" s="12">
        <f>(E9*$E$4)</f>
        <v>8</v>
      </c>
      <c r="H10" s="12">
        <f>D10+E10+G10+F10</f>
        <v>971</v>
      </c>
      <c r="I10" s="12"/>
      <c r="J10" s="12">
        <f>J9*T9</f>
        <v>971</v>
      </c>
      <c r="K10" s="12">
        <f>(J10-N10-M10)*(K9/(L9+K9))</f>
        <v>926.54547738693464</v>
      </c>
      <c r="L10" s="12">
        <f>(J10-N10-M10)*(L9/(L9+K9))</f>
        <v>28.804522613065327</v>
      </c>
      <c r="M10" s="12">
        <f>K9*$D$5</f>
        <v>9.65</v>
      </c>
      <c r="N10" s="12">
        <f>(L9*$E$5)</f>
        <v>6</v>
      </c>
      <c r="O10" s="12">
        <f>K10+L10+M10+N10</f>
        <v>970.99999999999989</v>
      </c>
      <c r="Q10" s="12">
        <v>970.99999999999989</v>
      </c>
      <c r="R10" s="12">
        <f>G10+N10+(C10*$O$3)</f>
        <v>33.42</v>
      </c>
      <c r="S10">
        <f t="shared" ref="S10:S29" si="0">$O$5*J10</f>
        <v>-0.97099999999999997</v>
      </c>
      <c r="T10">
        <f t="shared" ref="T10:T29" si="1">(1-(R10+S10)/C10)</f>
        <v>0.96658187435633369</v>
      </c>
    </row>
    <row r="11" spans="2:21" x14ac:dyDescent="0.25">
      <c r="B11" t="s">
        <v>40</v>
      </c>
      <c r="C11" s="12">
        <f t="shared" ref="C11:C29" si="2">C10*T10</f>
        <v>938.55100000000004</v>
      </c>
      <c r="D11" s="12">
        <f t="shared" ref="D11:D29" si="3">(C11-G11-F11)*(D10/(E10+D10))</f>
        <v>832.43765835458692</v>
      </c>
      <c r="E11" s="12">
        <f t="shared" ref="E11:E29" si="4">(C11-G11-F11)*(E10/(E10+D10))</f>
        <v>72.781434610237113</v>
      </c>
      <c r="F11" s="12">
        <f t="shared" ref="F11:F29" si="5">D10*$D$4</f>
        <v>25.80989698492462</v>
      </c>
      <c r="G11" s="12">
        <f t="shared" ref="G11:G29" si="6">(E10*$E$4)</f>
        <v>7.5220100502512572</v>
      </c>
      <c r="H11" s="12">
        <f t="shared" ref="H11:H29" si="7">D11+E11+G11+F11</f>
        <v>938.55100000000004</v>
      </c>
      <c r="I11" s="12"/>
      <c r="J11" s="12">
        <f t="shared" ref="J11:J29" si="8">J10*T10</f>
        <v>938.55100000000004</v>
      </c>
      <c r="K11" s="12">
        <f t="shared" ref="K11:K29" si="9">(J11-N11-M11)*(K10/(L10+K10))</f>
        <v>895.67967666220568</v>
      </c>
      <c r="L11" s="12">
        <f t="shared" ref="L11:L29" si="10">(J11-N11-M11)*(L10/(L10+K10))</f>
        <v>27.844964041312092</v>
      </c>
      <c r="M11" s="12">
        <f t="shared" ref="M11:M29" si="11">K10*$D$5</f>
        <v>9.2654547738693473</v>
      </c>
      <c r="N11" s="12">
        <f t="shared" ref="N11:N29" si="12">(L10*$E$5)</f>
        <v>5.7609045226130657</v>
      </c>
      <c r="O11" s="12">
        <f t="shared" ref="O11:O29" si="13">K11+L11+M11+N11</f>
        <v>938.55100000000016</v>
      </c>
      <c r="Q11" s="12">
        <v>938.55100000000016</v>
      </c>
      <c r="R11" s="12">
        <f>G11+N11+(C11*$O$3)</f>
        <v>32.053934572864321</v>
      </c>
      <c r="S11">
        <f t="shared" si="0"/>
        <v>-0.93855100000000002</v>
      </c>
      <c r="T11">
        <f t="shared" si="1"/>
        <v>0.96684742377040322</v>
      </c>
    </row>
    <row r="12" spans="2:21" x14ac:dyDescent="0.25">
      <c r="B12" t="s">
        <v>56</v>
      </c>
      <c r="C12" s="12">
        <f t="shared" si="2"/>
        <v>907.43561642713576</v>
      </c>
      <c r="D12" s="12">
        <f t="shared" si="3"/>
        <v>804.81776285644139</v>
      </c>
      <c r="E12" s="12">
        <f t="shared" si="4"/>
        <v>70.366580359033136</v>
      </c>
      <c r="F12" s="12">
        <f t="shared" si="5"/>
        <v>24.973129750637607</v>
      </c>
      <c r="G12" s="12">
        <f t="shared" si="6"/>
        <v>7.2781434610237117</v>
      </c>
      <c r="H12" s="12">
        <f t="shared" si="7"/>
        <v>907.43561642713576</v>
      </c>
      <c r="I12" s="12"/>
      <c r="J12" s="12">
        <f t="shared" si="8"/>
        <v>907.43561642713576</v>
      </c>
      <c r="K12" s="12">
        <f t="shared" si="9"/>
        <v>865.98792252504768</v>
      </c>
      <c r="L12" s="12">
        <f t="shared" si="10"/>
        <v>26.921904327203556</v>
      </c>
      <c r="M12" s="12">
        <f t="shared" si="11"/>
        <v>8.9567967666220571</v>
      </c>
      <c r="N12" s="12">
        <f t="shared" si="12"/>
        <v>5.5689928082624185</v>
      </c>
      <c r="O12" s="12">
        <f t="shared" si="13"/>
        <v>907.43561642713576</v>
      </c>
      <c r="Q12" s="12">
        <v>907.43561642713576</v>
      </c>
      <c r="R12" s="12">
        <f>G12+N12+(C12*$O$3)</f>
        <v>30.995848597828846</v>
      </c>
      <c r="S12">
        <f t="shared" si="0"/>
        <v>-0.90743561642713577</v>
      </c>
      <c r="T12">
        <f t="shared" si="1"/>
        <v>0.96684237158348552</v>
      </c>
    </row>
    <row r="13" spans="2:21" x14ac:dyDescent="0.25">
      <c r="C13" s="12">
        <f t="shared" si="2"/>
        <v>877.34720344573407</v>
      </c>
      <c r="D13" s="12">
        <f t="shared" si="3"/>
        <v>778.13256428099078</v>
      </c>
      <c r="E13" s="12">
        <f t="shared" si="4"/>
        <v>68.033448243146751</v>
      </c>
      <c r="F13" s="12">
        <f t="shared" si="5"/>
        <v>24.144532885693241</v>
      </c>
      <c r="G13" s="12">
        <f t="shared" si="6"/>
        <v>7.0366580359033142</v>
      </c>
      <c r="H13" s="12">
        <f t="shared" si="7"/>
        <v>877.34720344573407</v>
      </c>
      <c r="I13" s="12"/>
      <c r="J13" s="12">
        <f t="shared" si="8"/>
        <v>877.34720344573407</v>
      </c>
      <c r="K13" s="12">
        <f t="shared" si="9"/>
        <v>837.27370888202654</v>
      </c>
      <c r="L13" s="12">
        <f t="shared" si="10"/>
        <v>26.029234473016366</v>
      </c>
      <c r="M13" s="12">
        <f t="shared" si="11"/>
        <v>8.6598792252504762</v>
      </c>
      <c r="N13" s="12">
        <f t="shared" si="12"/>
        <v>5.3843808654407113</v>
      </c>
      <c r="O13" s="12">
        <f t="shared" si="13"/>
        <v>877.34720344573407</v>
      </c>
      <c r="Q13" s="12">
        <v>877.34720344573407</v>
      </c>
      <c r="R13" s="12">
        <f>G13+N13+(C13*$O$3)</f>
        <v>29.967982970258706</v>
      </c>
      <c r="S13">
        <f t="shared" si="0"/>
        <v>-0.87734720344573414</v>
      </c>
      <c r="T13">
        <f t="shared" si="1"/>
        <v>0.96684250470901256</v>
      </c>
    </row>
    <row r="14" spans="2:21" x14ac:dyDescent="0.25">
      <c r="C14" s="12">
        <f t="shared" si="2"/>
        <v>848.2565676789211</v>
      </c>
      <c r="D14" s="12">
        <f t="shared" si="3"/>
        <v>752.33161811301682</v>
      </c>
      <c r="E14" s="12">
        <f t="shared" si="4"/>
        <v>65.777627813159953</v>
      </c>
      <c r="F14" s="12">
        <f t="shared" si="5"/>
        <v>23.343976928429722</v>
      </c>
      <c r="G14" s="12">
        <f t="shared" si="6"/>
        <v>6.8033448243146752</v>
      </c>
      <c r="H14" s="12">
        <f t="shared" si="7"/>
        <v>848.2565676789211</v>
      </c>
      <c r="I14" s="12"/>
      <c r="J14" s="12">
        <f t="shared" si="8"/>
        <v>848.2565676789211</v>
      </c>
      <c r="K14" s="12">
        <f t="shared" si="9"/>
        <v>809.5118133328192</v>
      </c>
      <c r="L14" s="12">
        <f t="shared" si="10"/>
        <v>25.166170362678319</v>
      </c>
      <c r="M14" s="12">
        <f t="shared" si="11"/>
        <v>8.3727370888202657</v>
      </c>
      <c r="N14" s="12">
        <f t="shared" si="12"/>
        <v>5.2058468946032734</v>
      </c>
      <c r="O14" s="12">
        <f t="shared" si="13"/>
        <v>848.2565676789211</v>
      </c>
      <c r="Q14" s="12">
        <v>848.2565676789211</v>
      </c>
      <c r="R14" s="12">
        <f>G14+N14+(C14*$O$3)</f>
        <v>28.974323072496368</v>
      </c>
      <c r="S14">
        <f t="shared" si="0"/>
        <v>-0.8482565676789211</v>
      </c>
      <c r="T14">
        <f t="shared" si="1"/>
        <v>0.96684250075212663</v>
      </c>
    </row>
    <row r="15" spans="2:21" x14ac:dyDescent="0.25">
      <c r="C15" s="12">
        <f t="shared" si="2"/>
        <v>820.13050117410364</v>
      </c>
      <c r="D15" s="12">
        <f t="shared" si="3"/>
        <v>727.38618363035016</v>
      </c>
      <c r="E15" s="12">
        <f t="shared" si="4"/>
        <v>63.596606219047018</v>
      </c>
      <c r="F15" s="12">
        <f t="shared" si="5"/>
        <v>22.569948543390502</v>
      </c>
      <c r="G15" s="12">
        <f t="shared" si="6"/>
        <v>6.5777627813159958</v>
      </c>
      <c r="H15" s="12">
        <f t="shared" si="7"/>
        <v>820.13050117410364</v>
      </c>
      <c r="I15" s="12"/>
      <c r="J15" s="12">
        <f t="shared" si="8"/>
        <v>820.13050117410364</v>
      </c>
      <c r="K15" s="12">
        <f t="shared" si="9"/>
        <v>782.67042588377012</v>
      </c>
      <c r="L15" s="12">
        <f t="shared" si="10"/>
        <v>24.331723084469537</v>
      </c>
      <c r="M15" s="12">
        <f t="shared" si="11"/>
        <v>8.0951181333281923</v>
      </c>
      <c r="N15" s="12">
        <f t="shared" si="12"/>
        <v>5.0332340725356639</v>
      </c>
      <c r="O15" s="12">
        <f t="shared" si="13"/>
        <v>820.13050117410364</v>
      </c>
      <c r="Q15" s="12">
        <v>820.13050117410364</v>
      </c>
      <c r="R15" s="12">
        <f>G15+N15+(C15*$O$3)</f>
        <v>28.013606877333732</v>
      </c>
      <c r="S15">
        <f t="shared" si="0"/>
        <v>-0.82013050117410369</v>
      </c>
      <c r="T15">
        <f t="shared" si="1"/>
        <v>0.96684250087366674</v>
      </c>
    </row>
    <row r="16" spans="2:21" x14ac:dyDescent="0.25">
      <c r="C16" s="12">
        <f t="shared" si="2"/>
        <v>792.93702479794399</v>
      </c>
      <c r="D16" s="12">
        <f t="shared" si="3"/>
        <v>703.26787686474654</v>
      </c>
      <c r="E16" s="12">
        <f t="shared" si="4"/>
        <v>61.487901802382225</v>
      </c>
      <c r="F16" s="12">
        <f t="shared" si="5"/>
        <v>21.821585508910506</v>
      </c>
      <c r="G16" s="12">
        <f t="shared" si="6"/>
        <v>6.3596606219047018</v>
      </c>
      <c r="H16" s="12">
        <f t="shared" si="7"/>
        <v>792.93702479794399</v>
      </c>
      <c r="I16" s="12"/>
      <c r="J16" s="12">
        <f t="shared" si="8"/>
        <v>792.93702479794399</v>
      </c>
      <c r="K16" s="12">
        <f t="shared" si="9"/>
        <v>756.71903192455773</v>
      </c>
      <c r="L16" s="12">
        <f t="shared" si="10"/>
        <v>23.524943997654642</v>
      </c>
      <c r="M16" s="12">
        <f t="shared" si="11"/>
        <v>7.8267042588377018</v>
      </c>
      <c r="N16" s="12">
        <f t="shared" si="12"/>
        <v>4.8663446168939082</v>
      </c>
      <c r="O16" s="12">
        <f t="shared" si="13"/>
        <v>792.93702479794399</v>
      </c>
      <c r="Q16" s="12">
        <v>792.93702479794399</v>
      </c>
      <c r="R16" s="12">
        <f>G16+N16+(C16*$O$3)</f>
        <v>27.08474573475749</v>
      </c>
      <c r="S16">
        <f t="shared" si="0"/>
        <v>-0.79293702479794403</v>
      </c>
      <c r="T16">
        <f t="shared" si="1"/>
        <v>0.96684250086990298</v>
      </c>
    </row>
    <row r="17" spans="3:20" x14ac:dyDescent="0.25">
      <c r="C17" s="12">
        <f t="shared" si="2"/>
        <v>766.64521608798441</v>
      </c>
      <c r="D17" s="12">
        <f t="shared" si="3"/>
        <v>679.94927284990001</v>
      </c>
      <c r="E17" s="12">
        <f t="shared" si="4"/>
        <v>59.449116751903837</v>
      </c>
      <c r="F17" s="12">
        <f t="shared" si="5"/>
        <v>21.098036305942394</v>
      </c>
      <c r="G17" s="12">
        <f t="shared" si="6"/>
        <v>6.1487901802382225</v>
      </c>
      <c r="H17" s="12">
        <f t="shared" si="7"/>
        <v>766.64521608798452</v>
      </c>
      <c r="I17" s="12"/>
      <c r="J17" s="12">
        <f t="shared" si="8"/>
        <v>766.64521608798441</v>
      </c>
      <c r="K17" s="12">
        <f t="shared" si="9"/>
        <v>731.62812128169401</v>
      </c>
      <c r="L17" s="12">
        <f t="shared" si="10"/>
        <v>22.744915687513803</v>
      </c>
      <c r="M17" s="12">
        <f t="shared" si="11"/>
        <v>7.5671903192455776</v>
      </c>
      <c r="N17" s="12">
        <f t="shared" si="12"/>
        <v>4.7049887995309287</v>
      </c>
      <c r="O17" s="12">
        <f t="shared" si="13"/>
        <v>766.64521608798429</v>
      </c>
      <c r="Q17" s="12">
        <v>766.64521608798429</v>
      </c>
      <c r="R17" s="12">
        <f>G17+N17+(C17*$O$3)</f>
        <v>26.186683301528838</v>
      </c>
      <c r="S17">
        <f t="shared" si="0"/>
        <v>-0.76664521608798442</v>
      </c>
      <c r="T17">
        <f t="shared" si="1"/>
        <v>0.96684250087001977</v>
      </c>
    </row>
    <row r="18" spans="3:20" x14ac:dyDescent="0.25">
      <c r="C18" s="12">
        <f t="shared" si="2"/>
        <v>741.22517800254354</v>
      </c>
      <c r="D18" s="12">
        <f t="shared" si="3"/>
        <v>657.40385542693309</v>
      </c>
      <c r="E18" s="12">
        <f t="shared" si="4"/>
        <v>57.477932714923121</v>
      </c>
      <c r="F18" s="12">
        <f t="shared" si="5"/>
        <v>20.398478185496998</v>
      </c>
      <c r="G18" s="12">
        <f t="shared" si="6"/>
        <v>5.9449116751903839</v>
      </c>
      <c r="H18" s="12">
        <f t="shared" si="7"/>
        <v>741.22517800254354</v>
      </c>
      <c r="I18" s="12"/>
      <c r="J18" s="12">
        <f t="shared" si="8"/>
        <v>741.22517800254354</v>
      </c>
      <c r="K18" s="12">
        <f t="shared" si="9"/>
        <v>707.36916248683019</v>
      </c>
      <c r="L18" s="12">
        <f t="shared" si="10"/>
        <v>21.990751165393682</v>
      </c>
      <c r="M18" s="12">
        <f t="shared" si="11"/>
        <v>7.3162812128169401</v>
      </c>
      <c r="N18" s="12">
        <f t="shared" si="12"/>
        <v>4.548983137502761</v>
      </c>
      <c r="O18" s="12">
        <f t="shared" si="13"/>
        <v>741.22517800254366</v>
      </c>
      <c r="Q18" s="12">
        <v>741.22517800254366</v>
      </c>
      <c r="R18" s="12">
        <f>G18+N18+(C18*$O$3)</f>
        <v>25.318398372744017</v>
      </c>
      <c r="S18">
        <f t="shared" si="0"/>
        <v>-0.74122517800254351</v>
      </c>
      <c r="T18">
        <f t="shared" si="1"/>
        <v>0.96684250087001611</v>
      </c>
    </row>
    <row r="19" spans="3:20" x14ac:dyDescent="0.25">
      <c r="C19" s="12">
        <f t="shared" si="2"/>
        <v>716.64800480780207</v>
      </c>
      <c r="D19" s="12">
        <f t="shared" si="3"/>
        <v>635.60598766256692</v>
      </c>
      <c r="E19" s="12">
        <f t="shared" si="4"/>
        <v>55.572108210934829</v>
      </c>
      <c r="F19" s="12">
        <f t="shared" si="5"/>
        <v>19.72211566280799</v>
      </c>
      <c r="G19" s="12">
        <f t="shared" si="6"/>
        <v>5.7477932714923128</v>
      </c>
      <c r="H19" s="12">
        <f t="shared" si="7"/>
        <v>716.64800480780207</v>
      </c>
      <c r="I19" s="12"/>
      <c r="J19" s="12">
        <f t="shared" si="8"/>
        <v>716.64800480780207</v>
      </c>
      <c r="K19" s="12">
        <f t="shared" si="9"/>
        <v>683.91457009709563</v>
      </c>
      <c r="L19" s="12">
        <f t="shared" si="10"/>
        <v>21.261592852759446</v>
      </c>
      <c r="M19" s="12">
        <f t="shared" si="11"/>
        <v>7.0736916248683022</v>
      </c>
      <c r="N19" s="12">
        <f t="shared" si="12"/>
        <v>4.398150233078737</v>
      </c>
      <c r="O19" s="12">
        <f t="shared" si="13"/>
        <v>716.64800480780207</v>
      </c>
      <c r="Q19" s="12">
        <v>716.64800480780207</v>
      </c>
      <c r="R19" s="12">
        <f>G19+N19+(C19*$O$3)</f>
        <v>24.478903600727094</v>
      </c>
      <c r="S19">
        <f t="shared" si="0"/>
        <v>-0.71664800480780211</v>
      </c>
      <c r="T19">
        <f t="shared" si="1"/>
        <v>0.96684250087001622</v>
      </c>
    </row>
    <row r="20" spans="3:20" x14ac:dyDescent="0.25">
      <c r="C20" s="12">
        <f t="shared" si="2"/>
        <v>692.88574921188274</v>
      </c>
      <c r="D20" s="12">
        <f t="shared" si="3"/>
        <v>614.5308826796329</v>
      </c>
      <c r="E20" s="12">
        <f t="shared" si="4"/>
        <v>53.729476081279387</v>
      </c>
      <c r="F20" s="12">
        <f t="shared" si="5"/>
        <v>19.068179629877008</v>
      </c>
      <c r="G20" s="12">
        <f t="shared" si="6"/>
        <v>5.5572108210934834</v>
      </c>
      <c r="H20" s="12">
        <f t="shared" si="7"/>
        <v>692.88574921188274</v>
      </c>
      <c r="I20" s="12"/>
      <c r="J20" s="12">
        <f t="shared" si="8"/>
        <v>692.88574921188274</v>
      </c>
      <c r="K20" s="12">
        <f t="shared" si="9"/>
        <v>661.23767333411797</v>
      </c>
      <c r="L20" s="12">
        <f t="shared" si="10"/>
        <v>20.556611606242004</v>
      </c>
      <c r="M20" s="12">
        <f t="shared" si="11"/>
        <v>6.8391457009709562</v>
      </c>
      <c r="N20" s="12">
        <f t="shared" si="12"/>
        <v>4.2523185705518891</v>
      </c>
      <c r="O20" s="12">
        <f t="shared" si="13"/>
        <v>692.88574921188274</v>
      </c>
      <c r="Q20" s="12">
        <v>692.88574921188274</v>
      </c>
      <c r="R20" s="12">
        <f>G20+N20+(C20*$O$3)</f>
        <v>23.66724437588303</v>
      </c>
      <c r="S20">
        <f t="shared" si="0"/>
        <v>-0.69288574921188273</v>
      </c>
      <c r="T20">
        <f t="shared" si="1"/>
        <v>0.96684250087001622</v>
      </c>
    </row>
    <row r="21" spans="3:20" x14ac:dyDescent="0.25">
      <c r="C21" s="12">
        <f t="shared" si="2"/>
        <v>669.91139058521162</v>
      </c>
      <c r="D21" s="12">
        <f t="shared" si="3"/>
        <v>594.15457547183485</v>
      </c>
      <c r="E21" s="12">
        <f t="shared" si="4"/>
        <v>51.947941024859887</v>
      </c>
      <c r="F21" s="12">
        <f t="shared" si="5"/>
        <v>18.435926480388986</v>
      </c>
      <c r="G21" s="12">
        <f t="shared" si="6"/>
        <v>5.372947608127939</v>
      </c>
      <c r="H21" s="12">
        <f t="shared" si="7"/>
        <v>669.91139058521162</v>
      </c>
      <c r="I21" s="12"/>
      <c r="J21" s="12">
        <f t="shared" si="8"/>
        <v>669.91139058521162</v>
      </c>
      <c r="K21" s="12">
        <f t="shared" si="9"/>
        <v>639.31268575582942</v>
      </c>
      <c r="L21" s="12">
        <f t="shared" si="10"/>
        <v>19.875005774792619</v>
      </c>
      <c r="M21" s="12">
        <f t="shared" si="11"/>
        <v>6.61237673334118</v>
      </c>
      <c r="N21" s="12">
        <f t="shared" si="12"/>
        <v>4.1113223212484007</v>
      </c>
      <c r="O21" s="12">
        <f t="shared" si="13"/>
        <v>669.91139058521162</v>
      </c>
      <c r="Q21" s="12">
        <v>669.91139058521162</v>
      </c>
      <c r="R21" s="12">
        <f>G21+N21+(C21*$O$3)</f>
        <v>22.88249774108057</v>
      </c>
      <c r="S21">
        <f t="shared" si="0"/>
        <v>-0.66991139058521165</v>
      </c>
      <c r="T21">
        <f t="shared" si="1"/>
        <v>0.96684250087001622</v>
      </c>
    </row>
    <row r="22" spans="3:20" x14ac:dyDescent="0.25">
      <c r="C22" s="12">
        <f t="shared" si="2"/>
        <v>647.69880423471625</v>
      </c>
      <c r="D22" s="12">
        <f t="shared" si="3"/>
        <v>574.45389565255164</v>
      </c>
      <c r="E22" s="12">
        <f t="shared" si="4"/>
        <v>50.225477215523647</v>
      </c>
      <c r="F22" s="12">
        <f t="shared" si="5"/>
        <v>17.824637264155044</v>
      </c>
      <c r="G22" s="12">
        <f t="shared" si="6"/>
        <v>5.1947941024859894</v>
      </c>
      <c r="H22" s="12">
        <f t="shared" si="7"/>
        <v>647.69880423471625</v>
      </c>
      <c r="I22" s="12"/>
      <c r="J22" s="12">
        <f t="shared" si="8"/>
        <v>647.69880423471625</v>
      </c>
      <c r="K22" s="12">
        <f t="shared" si="9"/>
        <v>618.11467593409293</v>
      </c>
      <c r="L22" s="12">
        <f t="shared" si="10"/>
        <v>19.21600028810651</v>
      </c>
      <c r="M22" s="12">
        <f t="shared" si="11"/>
        <v>6.3931268575582942</v>
      </c>
      <c r="N22" s="12">
        <f t="shared" si="12"/>
        <v>3.975001154958524</v>
      </c>
      <c r="O22" s="12">
        <f t="shared" si="13"/>
        <v>647.69880423471625</v>
      </c>
      <c r="Q22" s="12">
        <v>647.69880423471625</v>
      </c>
      <c r="R22" s="12">
        <f>G22+N22+(C22*$O$3)</f>
        <v>22.123771342138838</v>
      </c>
      <c r="S22">
        <f t="shared" si="0"/>
        <v>-0.64769880423471626</v>
      </c>
      <c r="T22">
        <f t="shared" si="1"/>
        <v>0.96684250087001622</v>
      </c>
    </row>
    <row r="23" spans="3:20" x14ac:dyDescent="0.25">
      <c r="C23" s="12">
        <f t="shared" si="2"/>
        <v>626.22273169681216</v>
      </c>
      <c r="D23" s="12">
        <f t="shared" si="3"/>
        <v>555.40644110723645</v>
      </c>
      <c r="E23" s="12">
        <f t="shared" si="4"/>
        <v>48.560125998446914</v>
      </c>
      <c r="F23" s="12">
        <f t="shared" si="5"/>
        <v>17.233616869576547</v>
      </c>
      <c r="G23" s="12">
        <f t="shared" si="6"/>
        <v>5.0225477215523648</v>
      </c>
      <c r="H23" s="12">
        <f t="shared" si="7"/>
        <v>626.22273169681216</v>
      </c>
      <c r="I23" s="12"/>
      <c r="J23" s="12">
        <f t="shared" si="8"/>
        <v>626.22273169681216</v>
      </c>
      <c r="K23" s="12">
        <f t="shared" si="9"/>
        <v>597.61953910457817</v>
      </c>
      <c r="L23" s="12">
        <f t="shared" si="10"/>
        <v>18.578845775271851</v>
      </c>
      <c r="M23" s="12">
        <f t="shared" si="11"/>
        <v>6.1811467593409297</v>
      </c>
      <c r="N23" s="12">
        <f t="shared" si="12"/>
        <v>3.8432000576213023</v>
      </c>
      <c r="O23" s="12">
        <f t="shared" si="13"/>
        <v>626.22273169681216</v>
      </c>
      <c r="Q23" s="12">
        <v>626.22273169681216</v>
      </c>
      <c r="R23" s="12">
        <f>G23+N23+(C23*$O$3)</f>
        <v>21.390202413109911</v>
      </c>
      <c r="S23">
        <f t="shared" si="0"/>
        <v>-0.6262227316968122</v>
      </c>
      <c r="T23">
        <f t="shared" si="1"/>
        <v>0.96684250087001622</v>
      </c>
    </row>
    <row r="24" spans="3:20" x14ac:dyDescent="0.25">
      <c r="C24" s="12">
        <f t="shared" si="2"/>
        <v>605.458752015399</v>
      </c>
      <c r="D24" s="12">
        <f t="shared" si="3"/>
        <v>536.99055251943571</v>
      </c>
      <c r="E24" s="12">
        <f t="shared" si="4"/>
        <v>46.949993662901498</v>
      </c>
      <c r="F24" s="12">
        <f t="shared" si="5"/>
        <v>16.662193233217092</v>
      </c>
      <c r="G24" s="12">
        <f t="shared" si="6"/>
        <v>4.8560125998446919</v>
      </c>
      <c r="H24" s="12">
        <f t="shared" si="7"/>
        <v>605.458752015399</v>
      </c>
      <c r="I24" s="12"/>
      <c r="J24" s="12">
        <f t="shared" si="8"/>
        <v>605.458752015399</v>
      </c>
      <c r="K24" s="12">
        <f t="shared" si="9"/>
        <v>577.80396975665678</v>
      </c>
      <c r="L24" s="12">
        <f t="shared" si="10"/>
        <v>17.962817712642174</v>
      </c>
      <c r="M24" s="12">
        <f t="shared" si="11"/>
        <v>5.9761953910457821</v>
      </c>
      <c r="N24" s="12">
        <f t="shared" si="12"/>
        <v>3.7157691550543706</v>
      </c>
      <c r="O24" s="12">
        <f t="shared" si="13"/>
        <v>605.458752015399</v>
      </c>
      <c r="Q24" s="12">
        <v>605.458752015399</v>
      </c>
      <c r="R24" s="12">
        <f>G24+N24+(C24*$O$3)</f>
        <v>20.680956795207042</v>
      </c>
      <c r="S24">
        <f t="shared" si="0"/>
        <v>-0.605458752015399</v>
      </c>
      <c r="T24">
        <f t="shared" si="1"/>
        <v>0.96684250087001622</v>
      </c>
    </row>
    <row r="25" spans="3:20" x14ac:dyDescent="0.25">
      <c r="C25" s="12">
        <f t="shared" si="2"/>
        <v>585.38325397220729</v>
      </c>
      <c r="D25" s="12">
        <f t="shared" si="3"/>
        <v>519.18528874146284</v>
      </c>
      <c r="E25" s="12">
        <f t="shared" si="4"/>
        <v>45.393249288871083</v>
      </c>
      <c r="F25" s="12">
        <f t="shared" si="5"/>
        <v>16.109716575583072</v>
      </c>
      <c r="G25" s="12">
        <f t="shared" si="6"/>
        <v>4.6949993662901504</v>
      </c>
      <c r="H25" s="12">
        <f t="shared" si="7"/>
        <v>585.38325397220717</v>
      </c>
      <c r="I25" s="12"/>
      <c r="J25" s="12">
        <f t="shared" si="8"/>
        <v>585.38325397220729</v>
      </c>
      <c r="K25" s="12">
        <f t="shared" si="9"/>
        <v>558.64543513214915</v>
      </c>
      <c r="L25" s="12">
        <f t="shared" si="10"/>
        <v>17.367215599963181</v>
      </c>
      <c r="M25" s="12">
        <f t="shared" si="11"/>
        <v>5.7780396975665678</v>
      </c>
      <c r="N25" s="12">
        <f t="shared" si="12"/>
        <v>3.5925635425284348</v>
      </c>
      <c r="O25" s="12">
        <f t="shared" si="13"/>
        <v>585.38325397220729</v>
      </c>
      <c r="Q25" s="12">
        <v>585.38325397220729</v>
      </c>
      <c r="R25" s="12">
        <f>G25+N25+(C25*$O$3)</f>
        <v>19.995227988262734</v>
      </c>
      <c r="S25">
        <f t="shared" si="0"/>
        <v>-0.58538325397220725</v>
      </c>
      <c r="T25">
        <f t="shared" si="1"/>
        <v>0.96684250087001622</v>
      </c>
    </row>
    <row r="26" spans="3:20" x14ac:dyDescent="0.25">
      <c r="C26" s="12">
        <f t="shared" si="2"/>
        <v>565.97340923791671</v>
      </c>
      <c r="D26" s="12">
        <f t="shared" si="3"/>
        <v>501.97040298171748</v>
      </c>
      <c r="E26" s="12">
        <f t="shared" si="4"/>
        <v>43.888122665068209</v>
      </c>
      <c r="F26" s="12">
        <f t="shared" si="5"/>
        <v>15.575558662243886</v>
      </c>
      <c r="G26" s="12">
        <f t="shared" si="6"/>
        <v>4.5393249288871083</v>
      </c>
      <c r="H26" s="12">
        <f t="shared" si="7"/>
        <v>565.97340923791671</v>
      </c>
      <c r="I26" s="12"/>
      <c r="J26" s="12">
        <f t="shared" si="8"/>
        <v>565.97340923791671</v>
      </c>
      <c r="K26" s="12">
        <f t="shared" si="9"/>
        <v>540.12214960278538</v>
      </c>
      <c r="L26" s="12">
        <f t="shared" si="10"/>
        <v>16.791362163817158</v>
      </c>
      <c r="M26" s="12">
        <f t="shared" si="11"/>
        <v>5.5864543513214917</v>
      </c>
      <c r="N26" s="12">
        <f t="shared" si="12"/>
        <v>3.4734431199926363</v>
      </c>
      <c r="O26" s="12">
        <f t="shared" si="13"/>
        <v>565.97340923791671</v>
      </c>
      <c r="Q26" s="12">
        <v>565.97340923791671</v>
      </c>
      <c r="R26" s="12">
        <f>G26+N26+(C26*$O$3)</f>
        <v>19.332236233638078</v>
      </c>
      <c r="S26">
        <f t="shared" si="0"/>
        <v>-0.56597340923791672</v>
      </c>
      <c r="T26">
        <f t="shared" si="1"/>
        <v>0.96684250087001622</v>
      </c>
    </row>
    <row r="27" spans="3:20" x14ac:dyDescent="0.25">
      <c r="C27" s="12">
        <f t="shared" si="2"/>
        <v>547.20714641351651</v>
      </c>
      <c r="D27" s="12">
        <f t="shared" si="3"/>
        <v>485.32631978157349</v>
      </c>
      <c r="E27" s="12">
        <f t="shared" si="4"/>
        <v>42.432902275984581</v>
      </c>
      <c r="F27" s="12">
        <f t="shared" si="5"/>
        <v>15.059112089451524</v>
      </c>
      <c r="G27" s="12">
        <f t="shared" si="6"/>
        <v>4.3888122665068208</v>
      </c>
      <c r="H27" s="12">
        <f t="shared" si="7"/>
        <v>547.20714641351651</v>
      </c>
      <c r="I27" s="12"/>
      <c r="J27" s="12">
        <f t="shared" si="8"/>
        <v>547.20714641351651</v>
      </c>
      <c r="K27" s="12">
        <f t="shared" si="9"/>
        <v>522.21304989724604</v>
      </c>
      <c r="L27" s="12">
        <f t="shared" si="10"/>
        <v>16.234602587479149</v>
      </c>
      <c r="M27" s="12">
        <f t="shared" si="11"/>
        <v>5.401221496027854</v>
      </c>
      <c r="N27" s="12">
        <f t="shared" si="12"/>
        <v>3.3582724327634317</v>
      </c>
      <c r="O27" s="12">
        <f t="shared" si="13"/>
        <v>547.2071464135164</v>
      </c>
      <c r="Q27" s="12">
        <v>547.2071464135164</v>
      </c>
      <c r="R27" s="12">
        <f>G27+N27+(C27*$O$3)</f>
        <v>18.691227627540584</v>
      </c>
      <c r="S27">
        <f t="shared" si="0"/>
        <v>-0.54720714641351653</v>
      </c>
      <c r="T27">
        <f t="shared" si="1"/>
        <v>0.96684250087001622</v>
      </c>
    </row>
    <row r="28" spans="3:20" x14ac:dyDescent="0.25">
      <c r="C28" s="12">
        <f t="shared" si="2"/>
        <v>529.06312593238943</v>
      </c>
      <c r="D28" s="12">
        <f t="shared" si="3"/>
        <v>469.23411275565786</v>
      </c>
      <c r="E28" s="12">
        <f t="shared" si="4"/>
        <v>41.02593335568595</v>
      </c>
      <c r="F28" s="12">
        <f t="shared" si="5"/>
        <v>14.559789593447205</v>
      </c>
      <c r="G28" s="12">
        <f t="shared" si="6"/>
        <v>4.2432902275984583</v>
      </c>
      <c r="H28" s="12">
        <f t="shared" si="7"/>
        <v>529.06312593238954</v>
      </c>
      <c r="I28" s="12"/>
      <c r="J28" s="12">
        <f t="shared" si="8"/>
        <v>529.06312593238943</v>
      </c>
      <c r="K28" s="12">
        <f t="shared" si="9"/>
        <v>504.89777114961203</v>
      </c>
      <c r="L28" s="12">
        <f t="shared" si="10"/>
        <v>15.696303766309178</v>
      </c>
      <c r="M28" s="12">
        <f t="shared" si="11"/>
        <v>5.2221304989724606</v>
      </c>
      <c r="N28" s="12">
        <f t="shared" si="12"/>
        <v>3.24692051749583</v>
      </c>
      <c r="O28" s="12">
        <f t="shared" si="13"/>
        <v>529.06312593238943</v>
      </c>
      <c r="Q28" s="12">
        <v>529.06312593238943</v>
      </c>
      <c r="R28" s="12">
        <f>G28+N28+(C28*$O$3)</f>
        <v>18.071473263742078</v>
      </c>
      <c r="S28">
        <f t="shared" si="0"/>
        <v>-0.52906312593238947</v>
      </c>
      <c r="T28">
        <f t="shared" si="1"/>
        <v>0.96684250087001622</v>
      </c>
    </row>
    <row r="29" spans="3:20" x14ac:dyDescent="0.25">
      <c r="C29" s="12">
        <f t="shared" si="2"/>
        <v>511.5207157945797</v>
      </c>
      <c r="D29" s="12">
        <f t="shared" si="3"/>
        <v>453.67548307020337</v>
      </c>
      <c r="E29" s="12">
        <f t="shared" si="4"/>
        <v>39.665616006138016</v>
      </c>
      <c r="F29" s="12">
        <f t="shared" si="5"/>
        <v>14.077023382669735</v>
      </c>
      <c r="G29" s="12">
        <f t="shared" si="6"/>
        <v>4.1025933355685948</v>
      </c>
      <c r="H29" s="12">
        <f t="shared" si="7"/>
        <v>511.5207157945797</v>
      </c>
      <c r="I29" s="12"/>
      <c r="J29" s="12">
        <f t="shared" si="8"/>
        <v>511.5207157945797</v>
      </c>
      <c r="K29" s="12">
        <f t="shared" si="9"/>
        <v>488.15662374198797</v>
      </c>
      <c r="L29" s="12">
        <f t="shared" si="10"/>
        <v>15.175853587833819</v>
      </c>
      <c r="M29" s="12">
        <f t="shared" si="11"/>
        <v>5.0489777114961205</v>
      </c>
      <c r="N29" s="12">
        <f t="shared" si="12"/>
        <v>3.1392607532618357</v>
      </c>
      <c r="O29" s="12">
        <f t="shared" si="13"/>
        <v>511.52071579457976</v>
      </c>
      <c r="Q29" s="12">
        <v>511.52071579457976</v>
      </c>
      <c r="R29" s="12">
        <f>G29+N29+(C29*$O$3)</f>
        <v>17.472268404722023</v>
      </c>
      <c r="S29">
        <f t="shared" si="0"/>
        <v>-0.51152071579457969</v>
      </c>
      <c r="T29">
        <f t="shared" si="1"/>
        <v>0.96684250087001622</v>
      </c>
    </row>
    <row r="33" spans="2:15" x14ac:dyDescent="0.25">
      <c r="B33" t="s">
        <v>46</v>
      </c>
    </row>
    <row r="34" spans="2:15" x14ac:dyDescent="0.25">
      <c r="K34" s="3" t="s">
        <v>53</v>
      </c>
      <c r="L34" s="3" t="s">
        <v>47</v>
      </c>
      <c r="M34" s="3" t="s">
        <v>48</v>
      </c>
      <c r="N34" s="14" t="s">
        <v>49</v>
      </c>
      <c r="O34" s="3" t="s">
        <v>50</v>
      </c>
    </row>
    <row r="35" spans="2:15" x14ac:dyDescent="0.25">
      <c r="C35" s="23" t="s">
        <v>35</v>
      </c>
      <c r="D35" s="10" t="s">
        <v>2</v>
      </c>
      <c r="E35" s="23" t="s">
        <v>3</v>
      </c>
      <c r="F35" s="10" t="s">
        <v>44</v>
      </c>
      <c r="G35" s="10" t="s">
        <v>4</v>
      </c>
      <c r="H35" s="10" t="s">
        <v>55</v>
      </c>
      <c r="J35" s="3" t="s">
        <v>53</v>
      </c>
      <c r="K35" s="25">
        <f>T9</f>
        <v>0.97099999999999997</v>
      </c>
      <c r="L35" s="26">
        <v>0</v>
      </c>
      <c r="M35" s="26">
        <v>0</v>
      </c>
      <c r="N35" s="16">
        <v>0</v>
      </c>
      <c r="O35" s="9">
        <v>0</v>
      </c>
    </row>
    <row r="36" spans="2:15" x14ac:dyDescent="0.25">
      <c r="B36" t="s">
        <v>54</v>
      </c>
      <c r="C36" s="12">
        <f>SUM(D36:G36)</f>
        <v>1000</v>
      </c>
      <c r="D36" s="12">
        <v>915</v>
      </c>
      <c r="E36" s="12">
        <v>80</v>
      </c>
      <c r="F36" s="12">
        <v>0</v>
      </c>
      <c r="G36" s="12">
        <v>5</v>
      </c>
      <c r="H36" s="12">
        <f>D36+E36+F36+G36</f>
        <v>1000</v>
      </c>
      <c r="J36" s="3" t="s">
        <v>47</v>
      </c>
      <c r="K36" s="26">
        <v>0</v>
      </c>
      <c r="L36" s="26">
        <f>K35-M36</f>
        <v>0.94099999999999995</v>
      </c>
      <c r="M36" s="27">
        <v>0.03</v>
      </c>
      <c r="N36" s="16">
        <f>D4</f>
        <v>0.03</v>
      </c>
      <c r="O36">
        <v>0</v>
      </c>
    </row>
    <row r="37" spans="2:15" x14ac:dyDescent="0.25">
      <c r="B37" t="s">
        <v>39</v>
      </c>
      <c r="C37" s="12">
        <f>C36*K35</f>
        <v>971</v>
      </c>
      <c r="D37" s="12">
        <f>D36*L36</f>
        <v>861.01499999999999</v>
      </c>
      <c r="E37" s="12">
        <f>D36*M36+E36*M37</f>
        <v>97.13000000000001</v>
      </c>
      <c r="F37" s="12">
        <f>D36*N36</f>
        <v>27.45</v>
      </c>
      <c r="G37" s="12">
        <f>E36*O37+G36*O39</f>
        <v>8</v>
      </c>
      <c r="H37" s="24">
        <f>D37+E37+F37+G37</f>
        <v>993.59500000000003</v>
      </c>
      <c r="J37" s="3" t="s">
        <v>48</v>
      </c>
      <c r="K37" s="25">
        <v>0</v>
      </c>
      <c r="L37" s="26">
        <v>0</v>
      </c>
      <c r="M37" s="25">
        <f>K35-O37</f>
        <v>0.871</v>
      </c>
      <c r="N37" s="15">
        <v>0</v>
      </c>
      <c r="O37" s="9">
        <f>E4</f>
        <v>0.1</v>
      </c>
    </row>
    <row r="38" spans="2:15" x14ac:dyDescent="0.25">
      <c r="B38" t="s">
        <v>40</v>
      </c>
      <c r="C38" s="12">
        <f>C37*K43</f>
        <v>938.55100000000004</v>
      </c>
      <c r="D38" s="12">
        <f>D37*L44</f>
        <v>806.41104254891866</v>
      </c>
      <c r="E38" s="12">
        <f>D37*M44+E37*M45</f>
        <v>110.0015474562307</v>
      </c>
      <c r="F38" s="12">
        <f>D37*N44</f>
        <v>25.830449999999999</v>
      </c>
      <c r="G38" s="12">
        <f>E37*O45+G37*O47</f>
        <v>9.713000000000001</v>
      </c>
      <c r="H38" s="24">
        <f>D38+E38+F38+G38</f>
        <v>951.95604000514936</v>
      </c>
      <c r="J38" s="14" t="s">
        <v>49</v>
      </c>
      <c r="K38" s="15">
        <v>0</v>
      </c>
      <c r="L38" s="16">
        <v>0</v>
      </c>
      <c r="M38" s="15">
        <v>0</v>
      </c>
      <c r="N38" s="15">
        <v>0</v>
      </c>
      <c r="O38" s="15">
        <v>0</v>
      </c>
    </row>
    <row r="39" spans="2:15" x14ac:dyDescent="0.25">
      <c r="H39" s="12"/>
      <c r="J39" s="3" t="s">
        <v>50</v>
      </c>
      <c r="K39" s="9">
        <v>0</v>
      </c>
      <c r="L39">
        <v>0</v>
      </c>
      <c r="M39" s="9">
        <v>0</v>
      </c>
      <c r="N39" s="15">
        <v>0</v>
      </c>
      <c r="O39" s="9">
        <v>0</v>
      </c>
    </row>
    <row r="41" spans="2:15" x14ac:dyDescent="0.25">
      <c r="I41" s="3"/>
      <c r="J41" s="3"/>
      <c r="K41" s="3"/>
      <c r="L41" s="3"/>
    </row>
    <row r="42" spans="2:15" x14ac:dyDescent="0.25">
      <c r="I42" s="13"/>
      <c r="K42" t="s">
        <v>53</v>
      </c>
      <c r="L42" t="s">
        <v>47</v>
      </c>
      <c r="M42" t="s">
        <v>48</v>
      </c>
      <c r="N42" s="17" t="s">
        <v>49</v>
      </c>
      <c r="O42" t="s">
        <v>50</v>
      </c>
    </row>
    <row r="43" spans="2:15" x14ac:dyDescent="0.25">
      <c r="J43" t="s">
        <v>53</v>
      </c>
      <c r="K43">
        <f>T10</f>
        <v>0.96658187435633369</v>
      </c>
      <c r="L43">
        <v>0</v>
      </c>
      <c r="M43">
        <v>0</v>
      </c>
      <c r="N43" s="17">
        <v>0</v>
      </c>
      <c r="O43">
        <v>0</v>
      </c>
    </row>
    <row r="44" spans="2:15" x14ac:dyDescent="0.25">
      <c r="J44" t="s">
        <v>47</v>
      </c>
      <c r="K44">
        <v>0</v>
      </c>
      <c r="L44">
        <f>K43-M44</f>
        <v>0.93658187435633367</v>
      </c>
      <c r="M44">
        <v>0.03</v>
      </c>
      <c r="N44" s="17">
        <v>0.03</v>
      </c>
      <c r="O44">
        <v>0</v>
      </c>
    </row>
    <row r="45" spans="2:15" x14ac:dyDescent="0.25">
      <c r="J45" t="s">
        <v>48</v>
      </c>
      <c r="K45">
        <v>0</v>
      </c>
      <c r="L45">
        <v>0</v>
      </c>
      <c r="M45">
        <f>K43-O45</f>
        <v>0.86658187435633371</v>
      </c>
      <c r="N45" s="17">
        <v>0</v>
      </c>
      <c r="O45">
        <v>0.1</v>
      </c>
    </row>
    <row r="46" spans="2:15" x14ac:dyDescent="0.25">
      <c r="J46" s="17" t="s">
        <v>49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 spans="2:15" x14ac:dyDescent="0.25">
      <c r="J47" t="s">
        <v>50</v>
      </c>
      <c r="K47">
        <v>0</v>
      </c>
      <c r="L47">
        <v>0</v>
      </c>
      <c r="M47">
        <v>0</v>
      </c>
      <c r="N47" s="17">
        <v>0</v>
      </c>
      <c r="O4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2022-01-26T17:53:31Z</dcterms:created>
  <dcterms:modified xsi:type="dcterms:W3CDTF">2022-01-31T15:13:17Z</dcterms:modified>
</cp:coreProperties>
</file>