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01426234406\Desktop\TECH_MétodosQuantitativos_20252\"/>
    </mc:Choice>
  </mc:AlternateContent>
  <xr:revisionPtr revIDLastSave="0" documentId="13_ncr:1_{86B2CB4B-5632-4FFA-B52A-F7B4DF506170}" xr6:coauthVersionLast="36" xr6:coauthVersionMax="36" xr10:uidLastSave="{00000000-0000-0000-0000-000000000000}"/>
  <bookViews>
    <workbookView xWindow="0" yWindow="0" windowWidth="21600" windowHeight="9405" xr2:uid="{46BF8057-75AB-4718-BB3F-456D49FDA0B4}"/>
  </bookViews>
  <sheets>
    <sheet name="Dados" sheetId="3" r:id="rId1"/>
    <sheet name="Planilha1" sheetId="4" r:id="rId2"/>
  </sheets>
  <definedNames>
    <definedName name="_xlnm._FilterDatabase" localSheetId="0" hidden="1">Dados!$A$1:$I$152</definedName>
    <definedName name="_xlchart.v1.0" hidden="1">Dados!$BA$12:$BA$19</definedName>
    <definedName name="_xlchart.v1.1" hidden="1">Dados!$BB$12:$BB$19</definedName>
    <definedName name="_xlchart.v1.2" hidden="1">Dados!$I$1</definedName>
    <definedName name="_xlchart.v1.3" hidden="1">Dados!$I$2:$I$152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23" i="3" l="1"/>
  <c r="BD13" i="3"/>
  <c r="BD12" i="3"/>
  <c r="BB12" i="3"/>
  <c r="BB13" i="3"/>
  <c r="BA12" i="3"/>
  <c r="BB14" i="3"/>
  <c r="BA13" i="3"/>
  <c r="BA14" i="3"/>
  <c r="AY14" i="3"/>
  <c r="AY6" i="3"/>
  <c r="AY12" i="3" s="1"/>
  <c r="AY7" i="3"/>
  <c r="AY8" i="3" s="1"/>
  <c r="AY4" i="3"/>
  <c r="AY5" i="3" s="1"/>
  <c r="AG7" i="3"/>
  <c r="AG6" i="3"/>
  <c r="AG4" i="3"/>
  <c r="AP12" i="3"/>
  <c r="AP5" i="3"/>
  <c r="AP8" i="3" s="1"/>
  <c r="AG5" i="3"/>
  <c r="N10" i="3"/>
  <c r="O10" i="3"/>
  <c r="P10" i="3"/>
  <c r="Q10" i="3"/>
  <c r="AA9" i="3"/>
  <c r="AA5" i="3"/>
  <c r="AA6" i="3"/>
  <c r="AA7" i="3"/>
  <c r="AA8" i="3"/>
  <c r="AA4" i="3"/>
  <c r="BD14" i="3" l="1"/>
  <c r="AZ14" i="3"/>
  <c r="AY15" i="3" s="1"/>
  <c r="AZ15" i="3" s="1"/>
  <c r="AZ12" i="3"/>
  <c r="AY13" i="3" s="1"/>
  <c r="AZ13" i="3" s="1"/>
  <c r="AG8" i="3"/>
  <c r="AG12" i="3"/>
  <c r="AH12" i="3" s="1"/>
  <c r="AJ12" i="3" s="1"/>
  <c r="AC7" i="3"/>
  <c r="AC4" i="3"/>
  <c r="AC6" i="3"/>
  <c r="AC9" i="3"/>
  <c r="AC5" i="3"/>
  <c r="AC8" i="3"/>
  <c r="T19" i="3"/>
  <c r="T20" i="3"/>
  <c r="T21" i="3"/>
  <c r="T22" i="3"/>
  <c r="T23" i="3"/>
  <c r="T12" i="3"/>
  <c r="T13" i="3"/>
  <c r="T14" i="3"/>
  <c r="T11" i="3"/>
  <c r="V11" i="3" s="1"/>
  <c r="T6" i="3"/>
  <c r="T5" i="3"/>
  <c r="T4" i="3"/>
  <c r="N17" i="3"/>
  <c r="N28" i="3"/>
  <c r="P28" i="3"/>
  <c r="Q12" i="3"/>
  <c r="N11" i="3"/>
  <c r="O7" i="3"/>
  <c r="Q7" i="3"/>
  <c r="O6" i="3"/>
  <c r="N6" i="3"/>
  <c r="N4" i="3"/>
  <c r="AY16" i="3" l="1"/>
  <c r="BB15" i="3"/>
  <c r="BA15" i="3"/>
  <c r="AL12" i="3"/>
  <c r="AQ12" i="3"/>
  <c r="AS12" i="3" s="1"/>
  <c r="AG13" i="3"/>
  <c r="AI12" i="3"/>
  <c r="V21" i="3"/>
  <c r="V12" i="3"/>
  <c r="V13" i="3" s="1"/>
  <c r="V14" i="3" s="1"/>
  <c r="V23" i="3"/>
  <c r="T7" i="3"/>
  <c r="U5" i="3" s="1"/>
  <c r="V22" i="3"/>
  <c r="T15" i="3"/>
  <c r="W12" i="3" s="1"/>
  <c r="T24" i="3"/>
  <c r="U22" i="3" s="1"/>
  <c r="V19" i="3"/>
  <c r="V20" i="3"/>
  <c r="N13" i="3"/>
  <c r="N15" i="3"/>
  <c r="N1" i="3"/>
  <c r="O1" i="3"/>
  <c r="P1" i="3"/>
  <c r="Q1" i="3"/>
  <c r="N29" i="3"/>
  <c r="O29" i="3"/>
  <c r="P29" i="3"/>
  <c r="Q29" i="3"/>
  <c r="N30" i="3"/>
  <c r="O30" i="3"/>
  <c r="P30" i="3"/>
  <c r="Q30" i="3"/>
  <c r="N31" i="3"/>
  <c r="O31" i="3"/>
  <c r="P31" i="3"/>
  <c r="Q31" i="3"/>
  <c r="O28" i="3"/>
  <c r="Q28" i="3"/>
  <c r="N23" i="3"/>
  <c r="O23" i="3"/>
  <c r="P23" i="3"/>
  <c r="Q23" i="3"/>
  <c r="N24" i="3"/>
  <c r="O24" i="3"/>
  <c r="P24" i="3"/>
  <c r="Q24" i="3"/>
  <c r="O22" i="3"/>
  <c r="P22" i="3"/>
  <c r="Q22" i="3"/>
  <c r="N22" i="3"/>
  <c r="O17" i="3"/>
  <c r="P17" i="3"/>
  <c r="Q17" i="3"/>
  <c r="O18" i="3"/>
  <c r="P18" i="3"/>
  <c r="Q18" i="3"/>
  <c r="O19" i="3"/>
  <c r="P19" i="3"/>
  <c r="Q19" i="3"/>
  <c r="N19" i="3"/>
  <c r="N18" i="3"/>
  <c r="O12" i="3"/>
  <c r="P12" i="3"/>
  <c r="N12" i="3"/>
  <c r="O11" i="3"/>
  <c r="O15" i="3" s="1"/>
  <c r="P11" i="3"/>
  <c r="P15" i="3" s="1"/>
  <c r="Q11" i="3"/>
  <c r="Q15" i="3" s="1"/>
  <c r="N7" i="3"/>
  <c r="P7" i="3" a="1"/>
  <c r="P8" i="3" s="1"/>
  <c r="G4" i="4" a="1"/>
  <c r="G5" i="4" s="1"/>
  <c r="P6" i="3"/>
  <c r="Q6" i="3"/>
  <c r="O5" i="3"/>
  <c r="P5" i="3"/>
  <c r="Q5" i="3"/>
  <c r="N5" i="3"/>
  <c r="Q4" i="3"/>
  <c r="P4" i="3"/>
  <c r="O4" i="3"/>
  <c r="BD15" i="3" l="1"/>
  <c r="AZ16" i="3"/>
  <c r="AY17" i="3" s="1"/>
  <c r="AP13" i="3"/>
  <c r="AR12" i="3"/>
  <c r="AH13" i="3"/>
  <c r="AG14" i="3" s="1"/>
  <c r="W20" i="3"/>
  <c r="W19" i="3"/>
  <c r="W22" i="3"/>
  <c r="W23" i="3"/>
  <c r="U21" i="3"/>
  <c r="W21" i="3"/>
  <c r="U6" i="3"/>
  <c r="W11" i="3"/>
  <c r="U23" i="3"/>
  <c r="U11" i="3"/>
  <c r="U20" i="3"/>
  <c r="U19" i="3"/>
  <c r="U13" i="3"/>
  <c r="W14" i="3"/>
  <c r="W13" i="3"/>
  <c r="U12" i="3"/>
  <c r="U14" i="3"/>
  <c r="U4" i="3"/>
  <c r="Q34" i="3"/>
  <c r="Q35" i="3" s="1"/>
  <c r="Q37" i="3" s="1"/>
  <c r="O13" i="3"/>
  <c r="P34" i="3"/>
  <c r="P36" i="3" s="1"/>
  <c r="P38" i="3" s="1"/>
  <c r="O34" i="3"/>
  <c r="O36" i="3" s="1"/>
  <c r="O38" i="3" s="1"/>
  <c r="Q13" i="3"/>
  <c r="P13" i="3"/>
  <c r="N34" i="3"/>
  <c r="N36" i="3" s="1"/>
  <c r="N38" i="3" s="1"/>
  <c r="P7" i="3"/>
  <c r="P9" i="3"/>
  <c r="G4" i="4"/>
  <c r="AZ17" i="3" l="1"/>
  <c r="AY18" i="3" s="1"/>
  <c r="BB17" i="3"/>
  <c r="BA17" i="3"/>
  <c r="BB16" i="3"/>
  <c r="BA16" i="3"/>
  <c r="AS13" i="3"/>
  <c r="AU12" i="3"/>
  <c r="AJ13" i="3"/>
  <c r="AQ13" i="3"/>
  <c r="AP14" i="3" s="1"/>
  <c r="AI13" i="3"/>
  <c r="AH14" i="3"/>
  <c r="AG15" i="3" s="1"/>
  <c r="U7" i="3"/>
  <c r="U15" i="3"/>
  <c r="U24" i="3"/>
  <c r="Q36" i="3"/>
  <c r="Q38" i="3" s="1"/>
  <c r="O35" i="3"/>
  <c r="O37" i="3" s="1"/>
  <c r="P35" i="3"/>
  <c r="P37" i="3" s="1"/>
  <c r="N35" i="3"/>
  <c r="N37" i="3" s="1"/>
  <c r="AA10" i="3"/>
  <c r="AB7" i="3" s="1"/>
  <c r="BD16" i="3" l="1"/>
  <c r="BD17" i="3"/>
  <c r="AZ18" i="3"/>
  <c r="AY19" i="3" s="1"/>
  <c r="BA18" i="3"/>
  <c r="BB18" i="3"/>
  <c r="AQ14" i="3"/>
  <c r="AP15" i="3" s="1"/>
  <c r="AJ14" i="3"/>
  <c r="AR13" i="3"/>
  <c r="AL13" i="3"/>
  <c r="AI14" i="3"/>
  <c r="AH15" i="3"/>
  <c r="AG16" i="3" s="1"/>
  <c r="AB4" i="3"/>
  <c r="AB6" i="3"/>
  <c r="AB8" i="3"/>
  <c r="AB9" i="3"/>
  <c r="AD4" i="3"/>
  <c r="AB5" i="3"/>
  <c r="AD7" i="3" s="1"/>
  <c r="AZ19" i="3" l="1"/>
  <c r="BA19" i="3"/>
  <c r="BB19" i="3"/>
  <c r="BD18" i="3"/>
  <c r="AR14" i="3"/>
  <c r="AD6" i="3"/>
  <c r="AI15" i="3"/>
  <c r="AS14" i="3"/>
  <c r="AU14" i="3" s="1"/>
  <c r="AJ15" i="3"/>
  <c r="AL15" i="3" s="1"/>
  <c r="AL14" i="3"/>
  <c r="AQ15" i="3"/>
  <c r="AP16" i="3" s="1"/>
  <c r="AU13" i="3"/>
  <c r="AH16" i="3"/>
  <c r="AG17" i="3" s="1"/>
  <c r="AB10" i="3"/>
  <c r="AD5" i="3"/>
  <c r="AD8" i="3"/>
  <c r="AD9" i="3"/>
  <c r="BB20" i="3" l="1"/>
  <c r="BD19" i="3"/>
  <c r="AS15" i="3"/>
  <c r="AU15" i="3" s="1"/>
  <c r="AR15" i="3"/>
  <c r="AI16" i="3"/>
  <c r="AQ16" i="3"/>
  <c r="AP17" i="3" s="1"/>
  <c r="AJ16" i="3"/>
  <c r="AH17" i="3"/>
  <c r="AG18" i="3" s="1"/>
  <c r="BF12" i="3" l="1"/>
  <c r="BC12" i="3"/>
  <c r="BC13" i="3"/>
  <c r="BC14" i="3"/>
  <c r="BC15" i="3"/>
  <c r="BC17" i="3"/>
  <c r="BC16" i="3"/>
  <c r="BC18" i="3"/>
  <c r="BC19" i="3"/>
  <c r="AS16" i="3"/>
  <c r="AU16" i="3" s="1"/>
  <c r="AL16" i="3"/>
  <c r="AQ17" i="3"/>
  <c r="AP18" i="3" s="1"/>
  <c r="AI17" i="3"/>
  <c r="AR16" i="3"/>
  <c r="AJ17" i="3"/>
  <c r="AH18" i="3"/>
  <c r="AG19" i="3" s="1"/>
  <c r="BE16" i="3" l="1"/>
  <c r="BE12" i="3"/>
  <c r="BE13" i="3"/>
  <c r="BE17" i="3"/>
  <c r="BE14" i="3"/>
  <c r="BE18" i="3"/>
  <c r="BE15" i="3"/>
  <c r="BE19" i="3"/>
  <c r="BC20" i="3"/>
  <c r="AI18" i="3"/>
  <c r="AR17" i="3"/>
  <c r="AS17" i="3"/>
  <c r="AU17" i="3" s="1"/>
  <c r="AQ18" i="3"/>
  <c r="AP19" i="3" s="1"/>
  <c r="AL17" i="3"/>
  <c r="AJ18" i="3"/>
  <c r="AH19" i="3"/>
  <c r="AG20" i="3" s="1"/>
  <c r="AI19" i="3" l="1"/>
  <c r="AS18" i="3"/>
  <c r="AU18" i="3" s="1"/>
  <c r="AJ19" i="3"/>
  <c r="AQ19" i="3"/>
  <c r="AP20" i="3" s="1"/>
  <c r="AR18" i="3"/>
  <c r="AJ20" i="3"/>
  <c r="AL18" i="3"/>
  <c r="AH20" i="3"/>
  <c r="AG21" i="3" s="1"/>
  <c r="AI20" i="3" l="1"/>
  <c r="AL19" i="3"/>
  <c r="AQ20" i="3"/>
  <c r="AP21" i="3" s="1"/>
  <c r="AS19" i="3"/>
  <c r="AR19" i="3"/>
  <c r="AL20" i="3"/>
  <c r="AH21" i="3"/>
  <c r="AG22" i="3" s="1"/>
  <c r="AJ22" i="3" l="1"/>
  <c r="AU19" i="3"/>
  <c r="AQ21" i="3"/>
  <c r="AP22" i="3" s="1"/>
  <c r="AR20" i="3"/>
  <c r="AI21" i="3"/>
  <c r="AJ21" i="3"/>
  <c r="AS20" i="3"/>
  <c r="AH22" i="3"/>
  <c r="AG23" i="3" s="1"/>
  <c r="AI22" i="3" l="1"/>
  <c r="AS21" i="3"/>
  <c r="AU21" i="3" s="1"/>
  <c r="AL22" i="3"/>
  <c r="AU20" i="3"/>
  <c r="AR21" i="3"/>
  <c r="AL21" i="3"/>
  <c r="AQ22" i="3"/>
  <c r="AP23" i="3" s="1"/>
  <c r="AH23" i="3"/>
  <c r="AJ23" i="3" s="1"/>
  <c r="AS22" i="3" l="1"/>
  <c r="AU22" i="3" s="1"/>
  <c r="AJ24" i="3"/>
  <c r="AM21" i="3" s="1"/>
  <c r="AL23" i="3"/>
  <c r="AR22" i="3"/>
  <c r="AV20" i="3"/>
  <c r="AI23" i="3"/>
  <c r="AQ23" i="3"/>
  <c r="AS23" i="3" s="1"/>
  <c r="AK23" i="3" l="1"/>
  <c r="AM22" i="3"/>
  <c r="AT22" i="3"/>
  <c r="AU23" i="3"/>
  <c r="AV23" i="3" s="1"/>
  <c r="AT23" i="3"/>
  <c r="AS24" i="3"/>
  <c r="AM23" i="3"/>
  <c r="AK12" i="3"/>
  <c r="AM12" i="3"/>
  <c r="AT12" i="3"/>
  <c r="AK13" i="3"/>
  <c r="AV12" i="3"/>
  <c r="AT13" i="3"/>
  <c r="AM13" i="3"/>
  <c r="AM15" i="3"/>
  <c r="AT14" i="3"/>
  <c r="AK14" i="3"/>
  <c r="AK15" i="3"/>
  <c r="AT15" i="3"/>
  <c r="AV14" i="3"/>
  <c r="AV13" i="3"/>
  <c r="AM14" i="3"/>
  <c r="AT16" i="3"/>
  <c r="AV15" i="3"/>
  <c r="AK16" i="3"/>
  <c r="AM16" i="3"/>
  <c r="AV16" i="3"/>
  <c r="AK17" i="3"/>
  <c r="AT17" i="3"/>
  <c r="AT18" i="3"/>
  <c r="AM17" i="3"/>
  <c r="AK18" i="3"/>
  <c r="AV17" i="3"/>
  <c r="AK20" i="3"/>
  <c r="AK19" i="3"/>
  <c r="AV18" i="3"/>
  <c r="AM18" i="3"/>
  <c r="AT19" i="3"/>
  <c r="AM19" i="3"/>
  <c r="AM20" i="3"/>
  <c r="AV19" i="3"/>
  <c r="AK21" i="3"/>
  <c r="AT21" i="3"/>
  <c r="AT20" i="3"/>
  <c r="AK22" i="3"/>
  <c r="AV21" i="3"/>
  <c r="AV22" i="3"/>
  <c r="AK24" i="3" l="1"/>
  <c r="AT24" i="3"/>
</calcChain>
</file>

<file path=xl/sharedStrings.xml><?xml version="1.0" encoding="utf-8"?>
<sst xmlns="http://schemas.openxmlformats.org/spreadsheetml/2006/main" count="705" uniqueCount="70">
  <si>
    <t>Entrevistado</t>
  </si>
  <si>
    <t>Gênero</t>
  </si>
  <si>
    <t>Estado Civil</t>
  </si>
  <si>
    <t>Número de Filhos</t>
  </si>
  <si>
    <t>Altura</t>
  </si>
  <si>
    <t>Peso</t>
  </si>
  <si>
    <t>Casado(a)</t>
  </si>
  <si>
    <t>Divorciado(a)</t>
  </si>
  <si>
    <t>Viúvo(a)</t>
  </si>
  <si>
    <t>Solteiro(a)</t>
  </si>
  <si>
    <t>Feminino</t>
  </si>
  <si>
    <t>Masculino</t>
  </si>
  <si>
    <t>Não informado</t>
  </si>
  <si>
    <t>Discordo completamente</t>
  </si>
  <si>
    <t>Discordo parcialmente</t>
  </si>
  <si>
    <t>Indiferente</t>
  </si>
  <si>
    <t>Concordo parcialmente</t>
  </si>
  <si>
    <t>Concordo completamente</t>
  </si>
  <si>
    <t>Satisfeito com aparência</t>
  </si>
  <si>
    <t>Ganho médio mensal</t>
  </si>
  <si>
    <t>Escolaridade</t>
  </si>
  <si>
    <t>Ensino Fundamental</t>
  </si>
  <si>
    <t>Ensino Médio</t>
  </si>
  <si>
    <t>Ensino Superior</t>
  </si>
  <si>
    <t>Pós-graduação</t>
  </si>
  <si>
    <t>Média</t>
  </si>
  <si>
    <t>Número de filhos</t>
  </si>
  <si>
    <t>Média (2)</t>
  </si>
  <si>
    <t>Mediana</t>
  </si>
  <si>
    <t>Moda</t>
  </si>
  <si>
    <t>Desvio-padrão</t>
  </si>
  <si>
    <t>Variânvia</t>
  </si>
  <si>
    <t>Coeficiente de variação</t>
  </si>
  <si>
    <t>Quartil</t>
  </si>
  <si>
    <t>Percentil</t>
  </si>
  <si>
    <t>IIQ (Intercvalo inter-quartil)</t>
  </si>
  <si>
    <t>LI (Limite inferior)</t>
  </si>
  <si>
    <t>LS (Limite superior)</t>
  </si>
  <si>
    <t>n (tamanho da amostra)</t>
  </si>
  <si>
    <t>Classes</t>
  </si>
  <si>
    <t>Tabela de Frequências: Sexo</t>
  </si>
  <si>
    <t>f</t>
  </si>
  <si>
    <t>fr</t>
  </si>
  <si>
    <t>Total</t>
  </si>
  <si>
    <t>Tabela de Frequêcias: Estado Civil</t>
  </si>
  <si>
    <t>Tabela de Frequêcias: Satisação</t>
  </si>
  <si>
    <t>F</t>
  </si>
  <si>
    <t>FR</t>
  </si>
  <si>
    <t>Classe</t>
  </si>
  <si>
    <t>&gt;=5</t>
  </si>
  <si>
    <t>Amplitude (A)</t>
  </si>
  <si>
    <t>Tabela de Frequêcias: N° filhos</t>
  </si>
  <si>
    <t>K</t>
  </si>
  <si>
    <t>LIC</t>
  </si>
  <si>
    <t>LSC</t>
  </si>
  <si>
    <t>H</t>
  </si>
  <si>
    <t>Mín</t>
  </si>
  <si>
    <t>Máx</t>
  </si>
  <si>
    <t>n</t>
  </si>
  <si>
    <t>Tabela de frequências: peso</t>
  </si>
  <si>
    <t>Regra da raiz
Intervalo fechado no limite inferior</t>
  </si>
  <si>
    <t>Regra da raiz
Intervalo fechado no limite superior</t>
  </si>
  <si>
    <t>Regra de Sturges
Intervalo fechado no limite superior</t>
  </si>
  <si>
    <t>Tabela de frequências: ganho médio mensal</t>
  </si>
  <si>
    <t>0 filhos</t>
  </si>
  <si>
    <t>2 filhos</t>
  </si>
  <si>
    <t>3 filhos</t>
  </si>
  <si>
    <t>4 filhos</t>
  </si>
  <si>
    <t>1 filho</t>
  </si>
  <si>
    <t>5 filhos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</si>
</sst>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8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9" fontId="0" fillId="0" borderId="0" xfId="0" applyNumberFormat="1"/>
    <xf numFmtId="164" fontId="0" fillId="0" borderId="0" xfId="1" applyNumberFormat="1" applyFont="1"/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64" fontId="0" fillId="0" borderId="0" xfId="0" applyNumberFormat="1"/>
    <xf numFmtId="168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pizza: Sexo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dPt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Dados!$S$4:$S$6</c:f>
              <c:strCache>
                <c:ptCount val="3"/>
                <c:pt idx="0">
                  <c:v>Feminino</c:v>
                </c:pt>
                <c:pt idx="1">
                  <c:v>Masculino</c:v>
                </c:pt>
                <c:pt idx="2">
                  <c:v>Não informado</c:v>
                </c:pt>
              </c:strCache>
            </c:strRef>
          </c:cat>
          <c:val>
            <c:numRef>
              <c:f>Dados!$T$4:$T$6</c:f>
              <c:numCache>
                <c:formatCode>General</c:formatCode>
                <c:ptCount val="3"/>
                <c:pt idx="0">
                  <c:v>87</c:v>
                </c:pt>
                <c:pt idx="1">
                  <c:v>41</c:v>
                </c:pt>
                <c:pt idx="2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CB-4128-A452-8EFE9B73EF2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pizza: n° filhos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dPt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Dados!$Y$4:$Y$9</c:f>
              <c:strCache>
                <c:ptCount val="6"/>
                <c:pt idx="0">
                  <c:v>0 filhos</c:v>
                </c:pt>
                <c:pt idx="1">
                  <c:v>1 filho</c:v>
                </c:pt>
                <c:pt idx="2">
                  <c:v>2 filhos</c:v>
                </c:pt>
                <c:pt idx="3">
                  <c:v>3 filhos</c:v>
                </c:pt>
                <c:pt idx="4">
                  <c:v>4 filhos</c:v>
                </c:pt>
                <c:pt idx="5">
                  <c:v>5 filhos ou mais</c:v>
                </c:pt>
              </c:strCache>
            </c:strRef>
          </c:cat>
          <c:val>
            <c:numRef>
              <c:f>Dados!$AA$4:$AA$9</c:f>
              <c:numCache>
                <c:formatCode>General</c:formatCode>
                <c:ptCount val="6"/>
                <c:pt idx="0">
                  <c:v>51</c:v>
                </c:pt>
                <c:pt idx="1">
                  <c:v>42</c:v>
                </c:pt>
                <c:pt idx="2">
                  <c:v>20</c:v>
                </c:pt>
                <c:pt idx="3">
                  <c:v>11</c:v>
                </c:pt>
                <c:pt idx="4">
                  <c:v>19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4B-4662-BFE2-AD560535094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barras: satisfação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Dados!$S$19:$S$23</c:f>
              <c:strCache>
                <c:ptCount val="5"/>
                <c:pt idx="0">
                  <c:v>Discordo completamente</c:v>
                </c:pt>
                <c:pt idx="1">
                  <c:v>Discordo parcialmente</c:v>
                </c:pt>
                <c:pt idx="2">
                  <c:v>Indiferente</c:v>
                </c:pt>
                <c:pt idx="3">
                  <c:v>Concordo parcialmente</c:v>
                </c:pt>
                <c:pt idx="4">
                  <c:v>Concordo completamente</c:v>
                </c:pt>
              </c:strCache>
            </c:strRef>
          </c:cat>
          <c:val>
            <c:numRef>
              <c:f>Dados!$T$19:$T$23</c:f>
              <c:numCache>
                <c:formatCode>General</c:formatCode>
                <c:ptCount val="5"/>
                <c:pt idx="0">
                  <c:v>16</c:v>
                </c:pt>
                <c:pt idx="1">
                  <c:v>32</c:v>
                </c:pt>
                <c:pt idx="2">
                  <c:v>18</c:v>
                </c:pt>
                <c:pt idx="3">
                  <c:v>47</c:v>
                </c:pt>
                <c:pt idx="4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31-43A9-85B3-E05F022BEB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59559439"/>
        <c:axId val="702837311"/>
      </c:barChart>
      <c:catAx>
        <c:axId val="4595594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2837311"/>
        <c:crosses val="autoZero"/>
        <c:auto val="1"/>
        <c:lblAlgn val="ctr"/>
        <c:lblOffset val="100"/>
        <c:noMultiLvlLbl val="0"/>
      </c:catAx>
      <c:valAx>
        <c:axId val="702837311"/>
        <c:scaling>
          <c:orientation val="minMax"/>
          <c:max val="4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Frequência Absoluta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9559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 (gráfico de colunas): ganho médio mensal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Dados!$BA$12:$BA$19</c:f>
              <c:strCache>
                <c:ptCount val="8"/>
                <c:pt idx="0">
                  <c:v>[ 2367,76 ; 5801,76 ]</c:v>
                </c:pt>
                <c:pt idx="1">
                  <c:v>( 5801,76 ; 9235,76 ]</c:v>
                </c:pt>
                <c:pt idx="2">
                  <c:v>( 9235,76 ; 12669,76 ]</c:v>
                </c:pt>
                <c:pt idx="3">
                  <c:v>( 12669,76 ; 16103,77 ]</c:v>
                </c:pt>
                <c:pt idx="4">
                  <c:v>( 16103,77 ; 19537,77 ]</c:v>
                </c:pt>
                <c:pt idx="5">
                  <c:v>( 19537,77 ; 22971,77 ]</c:v>
                </c:pt>
                <c:pt idx="6">
                  <c:v>( 22971,77 ; 26405,77 ]</c:v>
                </c:pt>
                <c:pt idx="7">
                  <c:v>( 26405,77 ; 29839,77 ]</c:v>
                </c:pt>
              </c:strCache>
            </c:strRef>
          </c:cat>
          <c:val>
            <c:numRef>
              <c:f>Dados!$BB$12:$BB$19</c:f>
              <c:numCache>
                <c:formatCode>General</c:formatCode>
                <c:ptCount val="8"/>
                <c:pt idx="0">
                  <c:v>21</c:v>
                </c:pt>
                <c:pt idx="1">
                  <c:v>15</c:v>
                </c:pt>
                <c:pt idx="2">
                  <c:v>24</c:v>
                </c:pt>
                <c:pt idx="3">
                  <c:v>16</c:v>
                </c:pt>
                <c:pt idx="4">
                  <c:v>23</c:v>
                </c:pt>
                <c:pt idx="5">
                  <c:v>24</c:v>
                </c:pt>
                <c:pt idx="6">
                  <c:v>16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D4-48BB-936E-68FCDE6CC8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-27"/>
        <c:axId val="599106687"/>
        <c:axId val="509219087"/>
      </c:barChart>
      <c:catAx>
        <c:axId val="5991066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9219087"/>
        <c:crosses val="autoZero"/>
        <c:auto val="1"/>
        <c:lblAlgn val="ctr"/>
        <c:lblOffset val="100"/>
        <c:noMultiLvlLbl val="0"/>
      </c:catAx>
      <c:valAx>
        <c:axId val="50921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Frequência Absoluta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9106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Histograma: peso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Dados!$AR$12:$AR$23</c:f>
              <c:strCache>
                <c:ptCount val="12"/>
                <c:pt idx="0">
                  <c:v>] 51 ; 56,4]</c:v>
                </c:pt>
                <c:pt idx="1">
                  <c:v>] 56,4 ; 61,8]</c:v>
                </c:pt>
                <c:pt idx="2">
                  <c:v>] 61,8 ; 67,3]</c:v>
                </c:pt>
                <c:pt idx="3">
                  <c:v>] 67,3 ; 72,7]</c:v>
                </c:pt>
                <c:pt idx="4">
                  <c:v>] 72,7 ; 78,1]</c:v>
                </c:pt>
                <c:pt idx="5">
                  <c:v>] 78,1 ; 83,5]</c:v>
                </c:pt>
                <c:pt idx="6">
                  <c:v>] 83,5 ; 88,9]</c:v>
                </c:pt>
                <c:pt idx="7">
                  <c:v>] 88,9 ; 94,3]</c:v>
                </c:pt>
                <c:pt idx="8">
                  <c:v>] 94,3 ; 99,8]</c:v>
                </c:pt>
                <c:pt idx="9">
                  <c:v>] 99,8 ; 105,2]</c:v>
                </c:pt>
                <c:pt idx="10">
                  <c:v>] 105,2 ; 110,6]</c:v>
                </c:pt>
                <c:pt idx="11">
                  <c:v>[ 110,6 ; 116]</c:v>
                </c:pt>
              </c:strCache>
            </c:strRef>
          </c:cat>
          <c:val>
            <c:numRef>
              <c:f>Dados!$AS$12:$AS$23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21</c:v>
                </c:pt>
                <c:pt idx="5">
                  <c:v>17</c:v>
                </c:pt>
                <c:pt idx="6">
                  <c:v>23</c:v>
                </c:pt>
                <c:pt idx="7">
                  <c:v>16</c:v>
                </c:pt>
                <c:pt idx="8">
                  <c:v>16</c:v>
                </c:pt>
                <c:pt idx="9">
                  <c:v>13</c:v>
                </c:pt>
                <c:pt idx="10">
                  <c:v>9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47-47D9-BF07-4E4C22EDA0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-27"/>
        <c:axId val="501495871"/>
        <c:axId val="452291967"/>
      </c:barChart>
      <c:catAx>
        <c:axId val="501495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2291967"/>
        <c:crosses val="autoZero"/>
        <c:auto val="1"/>
        <c:lblAlgn val="ctr"/>
        <c:lblOffset val="100"/>
        <c:noMultiLvlLbl val="0"/>
      </c:catAx>
      <c:valAx>
        <c:axId val="45229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Frequência absoluta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1495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Histograma: ganho médio mensal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Histograma: ganho médio mensal</a:t>
          </a:r>
        </a:p>
      </cx:txPr>
    </cx:title>
    <cx:plotArea>
      <cx:plotAreaRegion>
        <cx:series layoutId="clusteredColumn" uniqueId="{1C5D8CBA-ED59-4288-8613-2B2B74735284}">
          <cx:tx>
            <cx:txData>
              <cx:f>_xlchart.v1.2</cx:f>
              <cx:v>Ganho médio mensal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Intervalos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B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Intervalos</a:t>
              </a:r>
            </a:p>
          </cx:txPr>
        </cx:title>
        <cx:tickLabels/>
      </cx:axis>
      <cx:axis id="1">
        <cx:valScaling/>
        <cx:title>
          <cx:tx>
            <cx:txData>
              <cx:v>Freq. Absoluta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B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Freq. Absoluta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157162</xdr:colOff>
      <xdr:row>25</xdr:row>
      <xdr:rowOff>95250</xdr:rowOff>
    </xdr:from>
    <xdr:to>
      <xdr:col>22</xdr:col>
      <xdr:colOff>376237</xdr:colOff>
      <xdr:row>40</xdr:row>
      <xdr:rowOff>123825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69C7038-B2FC-4F4B-96A9-7823DBD5D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180975</xdr:colOff>
      <xdr:row>25</xdr:row>
      <xdr:rowOff>123825</xdr:rowOff>
    </xdr:from>
    <xdr:to>
      <xdr:col>29</xdr:col>
      <xdr:colOff>276225</xdr:colOff>
      <xdr:row>40</xdr:row>
      <xdr:rowOff>152400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F5ECFA2-B850-4348-800E-F03239DA40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209550</xdr:colOff>
      <xdr:row>42</xdr:row>
      <xdr:rowOff>85725</xdr:rowOff>
    </xdr:from>
    <xdr:to>
      <xdr:col>21</xdr:col>
      <xdr:colOff>428625</xdr:colOff>
      <xdr:row>57</xdr:row>
      <xdr:rowOff>114300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627B0A9-2319-4328-9101-69A24123E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104774</xdr:colOff>
      <xdr:row>25</xdr:row>
      <xdr:rowOff>152400</xdr:rowOff>
    </xdr:from>
    <xdr:to>
      <xdr:col>38</xdr:col>
      <xdr:colOff>190499</xdr:colOff>
      <xdr:row>41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>
              <a:extLst>
                <a:ext uri="{FF2B5EF4-FFF2-40B4-BE49-F238E27FC236}">
                  <a16:creationId xmlns:a16="http://schemas.microsoft.com/office/drawing/2014/main" id="{3C2DDE7F-DAA5-422A-922E-062DD353CE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35649" y="4676775"/>
              <a:ext cx="60102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48</xdr:col>
      <xdr:colOff>628650</xdr:colOff>
      <xdr:row>8</xdr:row>
      <xdr:rowOff>47625</xdr:rowOff>
    </xdr:from>
    <xdr:to>
      <xdr:col>54</xdr:col>
      <xdr:colOff>209550</xdr:colOff>
      <xdr:row>28</xdr:row>
      <xdr:rowOff>28575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7280B50-09D0-4B1E-9C9A-66E1DDF02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652462</xdr:colOff>
      <xdr:row>24</xdr:row>
      <xdr:rowOff>152400</xdr:rowOff>
    </xdr:from>
    <xdr:to>
      <xdr:col>48</xdr:col>
      <xdr:colOff>119062</xdr:colOff>
      <xdr:row>40</xdr:row>
      <xdr:rowOff>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891B6878-06BC-4304-ADB7-7D505A8AC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44B6-2B2F-4CED-B606-95BA55C72D78}">
  <dimension ref="A1:BF152"/>
  <sheetViews>
    <sheetView tabSelected="1" topLeftCell="AI2" zoomScale="70" zoomScaleNormal="70" workbookViewId="0">
      <selection activeCell="AX32" sqref="AX32"/>
    </sheetView>
  </sheetViews>
  <sheetFormatPr defaultRowHeight="14.25" x14ac:dyDescent="0.2"/>
  <cols>
    <col min="11" max="11" width="9" customWidth="1"/>
    <col min="12" max="12" width="9" hidden="1" customWidth="1"/>
    <col min="13" max="13" width="22.5" hidden="1" customWidth="1"/>
    <col min="14" max="15" width="10.5" hidden="1" customWidth="1"/>
    <col min="16" max="16" width="11.5" hidden="1" customWidth="1"/>
    <col min="17" max="17" width="15.5" hidden="1" customWidth="1"/>
    <col min="18" max="18" width="9" customWidth="1"/>
    <col min="19" max="19" width="22.375" customWidth="1"/>
    <col min="20" max="21" width="12.875" customWidth="1"/>
    <col min="22" max="24" width="9" customWidth="1"/>
    <col min="25" max="25" width="13.75" bestFit="1" customWidth="1"/>
    <col min="26" max="34" width="9" customWidth="1"/>
    <col min="35" max="35" width="14.75" customWidth="1"/>
    <col min="36" max="43" width="9" customWidth="1"/>
    <col min="44" max="44" width="13" bestFit="1" customWidth="1"/>
    <col min="45" max="49" width="9" customWidth="1"/>
    <col min="51" max="52" width="9.375" bestFit="1" customWidth="1"/>
    <col min="53" max="53" width="19.7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18</v>
      </c>
      <c r="E1" t="s">
        <v>20</v>
      </c>
      <c r="F1" t="s">
        <v>3</v>
      </c>
      <c r="G1" t="s">
        <v>4</v>
      </c>
      <c r="H1" t="s">
        <v>5</v>
      </c>
      <c r="I1" t="s">
        <v>19</v>
      </c>
      <c r="M1" t="s">
        <v>38</v>
      </c>
      <c r="N1">
        <f>COUNT(F:F)</f>
        <v>151</v>
      </c>
      <c r="O1">
        <f t="shared" ref="O1:Q1" si="0">COUNT(G:G)</f>
        <v>151</v>
      </c>
      <c r="P1">
        <f t="shared" si="0"/>
        <v>151</v>
      </c>
      <c r="Q1">
        <f t="shared" si="0"/>
        <v>151</v>
      </c>
    </row>
    <row r="2" spans="1:58" x14ac:dyDescent="0.2">
      <c r="A2">
        <v>1</v>
      </c>
      <c r="B2" t="s">
        <v>10</v>
      </c>
      <c r="C2" t="s">
        <v>6</v>
      </c>
      <c r="D2" t="s">
        <v>17</v>
      </c>
      <c r="E2" t="s">
        <v>22</v>
      </c>
      <c r="F2">
        <v>6</v>
      </c>
      <c r="G2">
        <v>1.57</v>
      </c>
      <c r="H2">
        <v>81</v>
      </c>
      <c r="I2">
        <v>22693.42</v>
      </c>
      <c r="S2" s="5" t="s">
        <v>40</v>
      </c>
      <c r="T2" s="5"/>
      <c r="U2" s="5"/>
      <c r="Z2" s="6" t="s">
        <v>51</v>
      </c>
      <c r="AA2" s="6"/>
      <c r="AB2" s="6"/>
      <c r="AC2" s="6"/>
      <c r="AD2" s="6"/>
    </row>
    <row r="3" spans="1:58" x14ac:dyDescent="0.2">
      <c r="A3">
        <v>2</v>
      </c>
      <c r="B3" t="s">
        <v>11</v>
      </c>
      <c r="C3" t="s">
        <v>8</v>
      </c>
      <c r="D3" t="s">
        <v>13</v>
      </c>
      <c r="E3" t="s">
        <v>24</v>
      </c>
      <c r="F3">
        <v>0</v>
      </c>
      <c r="G3">
        <v>1.65</v>
      </c>
      <c r="H3">
        <v>87</v>
      </c>
      <c r="I3">
        <v>22813.32</v>
      </c>
      <c r="N3" t="s">
        <v>26</v>
      </c>
      <c r="O3" t="s">
        <v>4</v>
      </c>
      <c r="P3" t="s">
        <v>5</v>
      </c>
      <c r="Q3" t="s">
        <v>19</v>
      </c>
      <c r="S3" t="s">
        <v>39</v>
      </c>
      <c r="T3" t="s">
        <v>41</v>
      </c>
      <c r="U3" t="s">
        <v>42</v>
      </c>
      <c r="Z3" t="s">
        <v>48</v>
      </c>
      <c r="AA3" t="s">
        <v>41</v>
      </c>
      <c r="AB3" t="s">
        <v>42</v>
      </c>
      <c r="AC3" t="s">
        <v>46</v>
      </c>
      <c r="AD3" t="s">
        <v>47</v>
      </c>
    </row>
    <row r="4" spans="1:58" x14ac:dyDescent="0.2">
      <c r="A4">
        <v>3</v>
      </c>
      <c r="B4" t="s">
        <v>11</v>
      </c>
      <c r="C4" t="s">
        <v>9</v>
      </c>
      <c r="D4" t="s">
        <v>15</v>
      </c>
      <c r="E4" t="s">
        <v>23</v>
      </c>
      <c r="F4">
        <v>1</v>
      </c>
      <c r="G4">
        <v>1.65</v>
      </c>
      <c r="H4">
        <v>77</v>
      </c>
      <c r="I4">
        <v>5181.47</v>
      </c>
      <c r="M4" t="s">
        <v>25</v>
      </c>
      <c r="N4" s="1">
        <f>AVERAGE(F2:F152)</f>
        <v>1.5364238410596027</v>
      </c>
      <c r="O4" s="1">
        <f>AVERAGE(G2:G152)</f>
        <v>1.7066887417218537</v>
      </c>
      <c r="P4" s="1">
        <f>AVERAGE(H2:H152)</f>
        <v>84.973509933774835</v>
      </c>
      <c r="Q4" s="1">
        <f>AVERAGE(I2:I152)</f>
        <v>15555.465629139077</v>
      </c>
      <c r="S4" t="s">
        <v>10</v>
      </c>
      <c r="T4">
        <f>COUNTIF(B:B,S4)</f>
        <v>87</v>
      </c>
      <c r="U4" s="3">
        <f>T4/$T$7</f>
        <v>0.57615894039735094</v>
      </c>
      <c r="Y4" t="s">
        <v>64</v>
      </c>
      <c r="Z4">
        <v>0</v>
      </c>
      <c r="AA4">
        <f>COUNTIF(F:F,Z4)</f>
        <v>51</v>
      </c>
      <c r="AB4" s="3">
        <f>AA4/$AA$10</f>
        <v>0.33774834437086093</v>
      </c>
      <c r="AC4">
        <f>SUM($AA$4:AA4)</f>
        <v>51</v>
      </c>
      <c r="AD4" s="7">
        <f>SUM($AB$4:AB4)</f>
        <v>0.33774834437086093</v>
      </c>
      <c r="AE4" s="3"/>
      <c r="AF4" t="s">
        <v>58</v>
      </c>
      <c r="AG4">
        <f>COUNT(H:H)</f>
        <v>151</v>
      </c>
      <c r="AI4" s="9" t="s">
        <v>60</v>
      </c>
      <c r="AJ4" s="10"/>
      <c r="AK4" s="10"/>
      <c r="AL4" s="10"/>
      <c r="AM4" s="10"/>
      <c r="AO4" t="s">
        <v>58</v>
      </c>
      <c r="AP4">
        <v>151</v>
      </c>
      <c r="AR4" s="9" t="s">
        <v>61</v>
      </c>
      <c r="AS4" s="10"/>
      <c r="AT4" s="10"/>
      <c r="AU4" s="10"/>
      <c r="AV4" s="10"/>
      <c r="AX4" t="s">
        <v>58</v>
      </c>
      <c r="AY4">
        <f>COUNT(I:I)</f>
        <v>151</v>
      </c>
      <c r="BA4" s="9" t="s">
        <v>62</v>
      </c>
      <c r="BB4" s="10"/>
      <c r="BC4" s="10"/>
      <c r="BD4" s="10"/>
      <c r="BE4" s="10"/>
    </row>
    <row r="5" spans="1:58" x14ac:dyDescent="0.2">
      <c r="A5">
        <v>4</v>
      </c>
      <c r="B5" t="s">
        <v>11</v>
      </c>
      <c r="C5" t="s">
        <v>9</v>
      </c>
      <c r="D5" t="s">
        <v>17</v>
      </c>
      <c r="E5" t="s">
        <v>22</v>
      </c>
      <c r="F5">
        <v>0</v>
      </c>
      <c r="G5">
        <v>1.96</v>
      </c>
      <c r="H5">
        <v>104</v>
      </c>
      <c r="I5">
        <v>21481.08</v>
      </c>
      <c r="M5" t="s">
        <v>27</v>
      </c>
      <c r="N5" s="1">
        <f>AVERAGE(F:F)</f>
        <v>1.5364238410596027</v>
      </c>
      <c r="O5" s="1">
        <f t="shared" ref="O5:Q5" si="1">AVERAGE(G:G)</f>
        <v>1.7066887417218537</v>
      </c>
      <c r="P5" s="1">
        <f t="shared" si="1"/>
        <v>84.973509933774835</v>
      </c>
      <c r="Q5" s="1">
        <f t="shared" si="1"/>
        <v>15555.465629139077</v>
      </c>
      <c r="S5" t="s">
        <v>11</v>
      </c>
      <c r="T5">
        <f>COUNTIF(B:B,S5)</f>
        <v>41</v>
      </c>
      <c r="U5" s="3">
        <f t="shared" ref="U5:U6" si="2">T5/$T$7</f>
        <v>0.27152317880794702</v>
      </c>
      <c r="Y5" t="s">
        <v>68</v>
      </c>
      <c r="Z5">
        <v>1</v>
      </c>
      <c r="AA5">
        <f t="shared" ref="AA5:AA8" si="3">COUNTIF(F:F,Z5)</f>
        <v>42</v>
      </c>
      <c r="AB5" s="3">
        <f>AA5/$AA$10</f>
        <v>0.27814569536423839</v>
      </c>
      <c r="AC5">
        <f>SUM($AA$4:AA5)</f>
        <v>93</v>
      </c>
      <c r="AD5" s="7">
        <f>SUM($AB$4:AB5)</f>
        <v>0.61589403973509937</v>
      </c>
      <c r="AE5" s="3"/>
      <c r="AF5" t="s">
        <v>52</v>
      </c>
      <c r="AG5">
        <f>TRUNC(SQRT(151))</f>
        <v>12</v>
      </c>
      <c r="AI5" s="10"/>
      <c r="AJ5" s="10"/>
      <c r="AK5" s="10"/>
      <c r="AL5" s="10"/>
      <c r="AM5" s="10"/>
      <c r="AO5" t="s">
        <v>52</v>
      </c>
      <c r="AP5">
        <f>TRUNC(SQRT(151))</f>
        <v>12</v>
      </c>
      <c r="AR5" s="10"/>
      <c r="AS5" s="10"/>
      <c r="AT5" s="10"/>
      <c r="AU5" s="10"/>
      <c r="AV5" s="10"/>
      <c r="AX5" t="s">
        <v>52</v>
      </c>
      <c r="AY5">
        <f>TRUNC(1+3.3*LOG10(AY4))</f>
        <v>8</v>
      </c>
      <c r="BA5" s="10"/>
      <c r="BB5" s="10"/>
      <c r="BC5" s="10"/>
      <c r="BD5" s="10"/>
      <c r="BE5" s="10"/>
    </row>
    <row r="6" spans="1:58" x14ac:dyDescent="0.2">
      <c r="A6">
        <v>5</v>
      </c>
      <c r="B6" t="s">
        <v>11</v>
      </c>
      <c r="C6" t="s">
        <v>6</v>
      </c>
      <c r="D6" t="s">
        <v>14</v>
      </c>
      <c r="E6" t="s">
        <v>22</v>
      </c>
      <c r="F6">
        <v>1</v>
      </c>
      <c r="G6">
        <v>1.65</v>
      </c>
      <c r="H6">
        <v>114</v>
      </c>
      <c r="I6">
        <v>28604.21</v>
      </c>
      <c r="M6" t="s">
        <v>28</v>
      </c>
      <c r="N6" s="1">
        <f>MEDIAN(F:F)</f>
        <v>1</v>
      </c>
      <c r="O6" s="1">
        <f>MEDIAN(G:G)</f>
        <v>1.68</v>
      </c>
      <c r="P6" s="1">
        <f t="shared" ref="P6:Q6" si="4">MEDIAN(H:H)</f>
        <v>85</v>
      </c>
      <c r="Q6" s="1">
        <f t="shared" si="4"/>
        <v>16010.72</v>
      </c>
      <c r="S6" t="s">
        <v>12</v>
      </c>
      <c r="T6">
        <f>COUNTIF(B:B,S6)</f>
        <v>23</v>
      </c>
      <c r="U6" s="3">
        <f t="shared" si="2"/>
        <v>0.15231788079470199</v>
      </c>
      <c r="Y6" t="s">
        <v>65</v>
      </c>
      <c r="Z6">
        <v>2</v>
      </c>
      <c r="AA6">
        <f t="shared" si="3"/>
        <v>20</v>
      </c>
      <c r="AB6" s="3">
        <f>AA6/$AA$10</f>
        <v>0.13245033112582782</v>
      </c>
      <c r="AC6">
        <f>SUM($AA$4:AA6)</f>
        <v>113</v>
      </c>
      <c r="AD6" s="7">
        <f>SUM($AB$4:AB6)</f>
        <v>0.7483443708609272</v>
      </c>
      <c r="AE6" s="3"/>
      <c r="AF6" t="s">
        <v>56</v>
      </c>
      <c r="AG6">
        <f>MIN(H:H)</f>
        <v>51</v>
      </c>
      <c r="AI6" s="10"/>
      <c r="AJ6" s="10"/>
      <c r="AK6" s="10"/>
      <c r="AL6" s="10"/>
      <c r="AM6" s="10"/>
      <c r="AO6" t="s">
        <v>56</v>
      </c>
      <c r="AP6">
        <v>51</v>
      </c>
      <c r="AR6" s="10"/>
      <c r="AS6" s="10"/>
      <c r="AT6" s="10"/>
      <c r="AU6" s="10"/>
      <c r="AV6" s="10"/>
      <c r="AX6" t="s">
        <v>56</v>
      </c>
      <c r="AY6">
        <f>MIN(I:I)</f>
        <v>2367.7600000000002</v>
      </c>
      <c r="BA6" s="10"/>
      <c r="BB6" s="10"/>
      <c r="BC6" s="10"/>
      <c r="BD6" s="10"/>
      <c r="BE6" s="10"/>
    </row>
    <row r="7" spans="1:58" x14ac:dyDescent="0.2">
      <c r="A7">
        <v>6</v>
      </c>
      <c r="B7" t="s">
        <v>11</v>
      </c>
      <c r="C7" t="s">
        <v>9</v>
      </c>
      <c r="D7" t="s">
        <v>14</v>
      </c>
      <c r="E7" t="s">
        <v>23</v>
      </c>
      <c r="F7">
        <v>5</v>
      </c>
      <c r="G7">
        <v>1.65</v>
      </c>
      <c r="H7">
        <v>97</v>
      </c>
      <c r="I7">
        <v>8591.91</v>
      </c>
      <c r="M7" t="s">
        <v>29</v>
      </c>
      <c r="N7">
        <f>_xlfn.MODE.MULT(F:F)</f>
        <v>0</v>
      </c>
      <c r="O7">
        <f>_xlfn.MODE.MULT(G:G)</f>
        <v>1.65</v>
      </c>
      <c r="P7">
        <f t="array" ref="P7:P9">_xlfn.MODE.MULT(H:H)</f>
        <v>78</v>
      </c>
      <c r="Q7" t="e">
        <f>_xlfn.MODE.MULT(I:I)</f>
        <v>#N/A</v>
      </c>
      <c r="S7" t="s">
        <v>43</v>
      </c>
      <c r="T7">
        <f>SUM(T4:T6)</f>
        <v>151</v>
      </c>
      <c r="U7" s="3">
        <f>SUM(U4:U6)</f>
        <v>0.99999999999999989</v>
      </c>
      <c r="Y7" t="s">
        <v>66</v>
      </c>
      <c r="Z7">
        <v>3</v>
      </c>
      <c r="AA7">
        <f t="shared" si="3"/>
        <v>11</v>
      </c>
      <c r="AB7" s="3">
        <f>AA7/$AA$10</f>
        <v>7.2847682119205295E-2</v>
      </c>
      <c r="AC7">
        <f>SUM($AA$4:AA7)</f>
        <v>124</v>
      </c>
      <c r="AD7" s="7">
        <f>SUM($AB$4:AB7)</f>
        <v>0.82119205298013254</v>
      </c>
      <c r="AE7" s="3"/>
      <c r="AF7" t="s">
        <v>57</v>
      </c>
      <c r="AG7">
        <f>MAX(H:H)</f>
        <v>116</v>
      </c>
      <c r="AI7" s="10"/>
      <c r="AJ7" s="10"/>
      <c r="AK7" s="10"/>
      <c r="AL7" s="10"/>
      <c r="AM7" s="10"/>
      <c r="AO7" t="s">
        <v>57</v>
      </c>
      <c r="AP7">
        <v>116</v>
      </c>
      <c r="AR7" s="10"/>
      <c r="AS7" s="10"/>
      <c r="AT7" s="10"/>
      <c r="AU7" s="10"/>
      <c r="AV7" s="10"/>
      <c r="AX7" t="s">
        <v>57</v>
      </c>
      <c r="AY7">
        <f>MAX(I:I)</f>
        <v>29839.77</v>
      </c>
      <c r="BA7" s="10"/>
      <c r="BB7" s="10"/>
      <c r="BC7" s="10"/>
      <c r="BD7" s="10"/>
      <c r="BE7" s="10"/>
    </row>
    <row r="8" spans="1:58" x14ac:dyDescent="0.2">
      <c r="A8">
        <v>7</v>
      </c>
      <c r="B8" t="s">
        <v>11</v>
      </c>
      <c r="C8" t="s">
        <v>9</v>
      </c>
      <c r="D8" t="s">
        <v>15</v>
      </c>
      <c r="E8" t="s">
        <v>23</v>
      </c>
      <c r="F8">
        <v>1</v>
      </c>
      <c r="G8">
        <v>1.65</v>
      </c>
      <c r="H8">
        <v>98</v>
      </c>
      <c r="I8">
        <v>12136.83</v>
      </c>
      <c r="P8">
        <v>86</v>
      </c>
      <c r="Y8" t="s">
        <v>67</v>
      </c>
      <c r="Z8">
        <v>4</v>
      </c>
      <c r="AA8">
        <f t="shared" si="3"/>
        <v>19</v>
      </c>
      <c r="AB8" s="3">
        <f>AA8/$AA$10</f>
        <v>0.12582781456953643</v>
      </c>
      <c r="AC8">
        <f>SUM($AA$4:AA8)</f>
        <v>143</v>
      </c>
      <c r="AD8" s="7">
        <f>SUM($AB$4:AB8)</f>
        <v>0.94701986754966894</v>
      </c>
      <c r="AE8" s="3"/>
      <c r="AF8" t="s">
        <v>55</v>
      </c>
      <c r="AG8" s="8">
        <f>(AG7-AG6)/AG5</f>
        <v>5.416666666666667</v>
      </c>
      <c r="AI8" s="10"/>
      <c r="AJ8" s="10"/>
      <c r="AK8" s="10"/>
      <c r="AL8" s="10"/>
      <c r="AM8" s="10"/>
      <c r="AO8" t="s">
        <v>55</v>
      </c>
      <c r="AP8" s="8">
        <f>(AP7-AP6)/AP5</f>
        <v>5.416666666666667</v>
      </c>
      <c r="AR8" s="10"/>
      <c r="AS8" s="10"/>
      <c r="AT8" s="10"/>
      <c r="AU8" s="10"/>
      <c r="AV8" s="10"/>
      <c r="AX8" t="s">
        <v>55</v>
      </c>
      <c r="AY8" s="1">
        <f>(AY7-AY6)/AY5</f>
        <v>3434.0012500000003</v>
      </c>
      <c r="BA8" s="10"/>
      <c r="BB8" s="10"/>
      <c r="BC8" s="10"/>
      <c r="BD8" s="10"/>
      <c r="BE8" s="10"/>
    </row>
    <row r="9" spans="1:58" x14ac:dyDescent="0.2">
      <c r="A9">
        <v>8</v>
      </c>
      <c r="B9" t="s">
        <v>10</v>
      </c>
      <c r="C9" t="s">
        <v>8</v>
      </c>
      <c r="D9" t="s">
        <v>16</v>
      </c>
      <c r="E9" t="s">
        <v>24</v>
      </c>
      <c r="F9">
        <v>4</v>
      </c>
      <c r="G9">
        <v>1.65</v>
      </c>
      <c r="H9">
        <v>101</v>
      </c>
      <c r="I9">
        <v>9036.9599999999991</v>
      </c>
      <c r="P9">
        <v>79</v>
      </c>
      <c r="S9" s="6" t="s">
        <v>44</v>
      </c>
      <c r="T9" s="6"/>
      <c r="U9" s="6"/>
      <c r="V9" s="6"/>
      <c r="W9" s="6"/>
      <c r="X9" s="4"/>
      <c r="Y9" t="s">
        <v>69</v>
      </c>
      <c r="Z9" t="s">
        <v>49</v>
      </c>
      <c r="AA9">
        <f>COUNTIF(F:F,Z9)</f>
        <v>8</v>
      </c>
      <c r="AB9" s="3">
        <f>AA9/$AA$10</f>
        <v>5.2980132450331126E-2</v>
      </c>
      <c r="AC9">
        <f>SUM($AA$4:AA9)</f>
        <v>151</v>
      </c>
      <c r="AD9" s="7">
        <f>SUM($AB$4:AB9)</f>
        <v>1</v>
      </c>
      <c r="AE9" s="3"/>
    </row>
    <row r="10" spans="1:58" x14ac:dyDescent="0.2">
      <c r="A10">
        <v>9</v>
      </c>
      <c r="B10" t="s">
        <v>10</v>
      </c>
      <c r="C10" t="s">
        <v>6</v>
      </c>
      <c r="D10" t="s">
        <v>13</v>
      </c>
      <c r="E10" t="s">
        <v>23</v>
      </c>
      <c r="F10">
        <v>5</v>
      </c>
      <c r="G10">
        <v>1.93</v>
      </c>
      <c r="H10">
        <v>75</v>
      </c>
      <c r="I10">
        <v>20230.990000000002</v>
      </c>
      <c r="M10" t="s">
        <v>50</v>
      </c>
      <c r="N10">
        <f>MAX(F:F)-MIN(F:F)</f>
        <v>6</v>
      </c>
      <c r="O10">
        <f t="shared" ref="O10:Q10" si="5">MAX(G:G)-MIN(G:G)</f>
        <v>0.52</v>
      </c>
      <c r="P10">
        <f t="shared" si="5"/>
        <v>65</v>
      </c>
      <c r="Q10">
        <f t="shared" si="5"/>
        <v>27472.010000000002</v>
      </c>
      <c r="S10" t="s">
        <v>39</v>
      </c>
      <c r="T10" t="s">
        <v>41</v>
      </c>
      <c r="U10" t="s">
        <v>42</v>
      </c>
      <c r="V10" t="s">
        <v>46</v>
      </c>
      <c r="W10" t="s">
        <v>47</v>
      </c>
      <c r="Z10" t="s">
        <v>43</v>
      </c>
      <c r="AA10">
        <f>SUM(AA4:AA9)</f>
        <v>151</v>
      </c>
      <c r="AB10" s="3">
        <f>SUM(AB4:AB9)</f>
        <v>1</v>
      </c>
      <c r="AE10" s="3"/>
      <c r="AF10" s="5" t="s">
        <v>59</v>
      </c>
      <c r="AG10" s="5"/>
      <c r="AH10" s="5"/>
      <c r="AI10" s="5"/>
      <c r="AJ10" s="5"/>
      <c r="AK10" s="5"/>
      <c r="AL10" s="5"/>
      <c r="AM10" s="5"/>
      <c r="AO10" s="5" t="s">
        <v>59</v>
      </c>
      <c r="AP10" s="5"/>
      <c r="AQ10" s="5"/>
      <c r="AR10" s="5"/>
      <c r="AS10" s="5"/>
      <c r="AT10" s="5"/>
      <c r="AU10" s="5"/>
      <c r="AV10" s="5"/>
      <c r="AX10" s="5" t="s">
        <v>63</v>
      </c>
      <c r="AY10" s="5"/>
      <c r="AZ10" s="5"/>
      <c r="BA10" s="5"/>
      <c r="BB10" s="5"/>
      <c r="BC10" s="5"/>
      <c r="BD10" s="5"/>
      <c r="BE10" s="5"/>
    </row>
    <row r="11" spans="1:58" x14ac:dyDescent="0.2">
      <c r="A11">
        <v>10</v>
      </c>
      <c r="B11" t="s">
        <v>10</v>
      </c>
      <c r="C11" t="s">
        <v>6</v>
      </c>
      <c r="D11" t="s">
        <v>16</v>
      </c>
      <c r="E11" t="s">
        <v>22</v>
      </c>
      <c r="F11">
        <v>1</v>
      </c>
      <c r="G11">
        <v>2</v>
      </c>
      <c r="H11">
        <v>87</v>
      </c>
      <c r="I11">
        <v>16977.37</v>
      </c>
      <c r="M11" t="s">
        <v>30</v>
      </c>
      <c r="N11" s="1">
        <f>_xlfn.STDEV.S(F:F)</f>
        <v>1.590701457165302</v>
      </c>
      <c r="O11" s="1">
        <f t="shared" ref="O11:Q11" si="6">_xlfn.STDEV.S(G:G)</f>
        <v>0.14874910354600301</v>
      </c>
      <c r="P11" s="1">
        <f t="shared" si="6"/>
        <v>14.706437148345437</v>
      </c>
      <c r="Q11" s="1">
        <f t="shared" si="6"/>
        <v>7475.469726517741</v>
      </c>
      <c r="S11" t="s">
        <v>9</v>
      </c>
      <c r="T11">
        <f>COUNTIF(C:C,S11)</f>
        <v>41</v>
      </c>
      <c r="U11" s="3">
        <f>T11/$T$15</f>
        <v>0.27152317880794702</v>
      </c>
      <c r="V11">
        <f>T11</f>
        <v>41</v>
      </c>
      <c r="W11" s="3">
        <f>V11/$T$15</f>
        <v>0.27152317880794702</v>
      </c>
      <c r="X11" s="3"/>
      <c r="AF11" t="s">
        <v>52</v>
      </c>
      <c r="AG11" t="s">
        <v>53</v>
      </c>
      <c r="AH11" t="s">
        <v>54</v>
      </c>
      <c r="AI11" t="s">
        <v>48</v>
      </c>
      <c r="AJ11" t="s">
        <v>41</v>
      </c>
      <c r="AK11" t="s">
        <v>42</v>
      </c>
      <c r="AL11" t="s">
        <v>46</v>
      </c>
      <c r="AM11" t="s">
        <v>47</v>
      </c>
      <c r="AO11" t="s">
        <v>52</v>
      </c>
      <c r="AP11" t="s">
        <v>53</v>
      </c>
      <c r="AQ11" t="s">
        <v>54</v>
      </c>
      <c r="AR11" t="s">
        <v>48</v>
      </c>
      <c r="AS11" t="s">
        <v>41</v>
      </c>
      <c r="AT11" t="s">
        <v>42</v>
      </c>
      <c r="AU11" t="s">
        <v>46</v>
      </c>
      <c r="AV11" t="s">
        <v>47</v>
      </c>
      <c r="AX11" t="s">
        <v>52</v>
      </c>
      <c r="AY11" t="s">
        <v>53</v>
      </c>
      <c r="AZ11" t="s">
        <v>54</v>
      </c>
      <c r="BA11" t="s">
        <v>39</v>
      </c>
      <c r="BB11" t="s">
        <v>41</v>
      </c>
      <c r="BC11" t="s">
        <v>42</v>
      </c>
      <c r="BD11" t="s">
        <v>46</v>
      </c>
      <c r="BE11" t="s">
        <v>47</v>
      </c>
    </row>
    <row r="12" spans="1:58" x14ac:dyDescent="0.2">
      <c r="A12">
        <v>11</v>
      </c>
      <c r="B12" t="s">
        <v>10</v>
      </c>
      <c r="C12" t="s">
        <v>6</v>
      </c>
      <c r="D12" t="s">
        <v>16</v>
      </c>
      <c r="E12" t="s">
        <v>23</v>
      </c>
      <c r="F12">
        <v>0</v>
      </c>
      <c r="G12">
        <v>1.65</v>
      </c>
      <c r="H12">
        <v>108</v>
      </c>
      <c r="I12">
        <v>29839.77</v>
      </c>
      <c r="M12" t="s">
        <v>31</v>
      </c>
      <c r="N12" s="1">
        <f>_xlfn.VAR.S(F:F)</f>
        <v>2.5303311258278147</v>
      </c>
      <c r="O12" s="1">
        <f t="shared" ref="O12:P12" si="7">_xlfn.VAR.S(G:G)</f>
        <v>2.2126295805739524E-2</v>
      </c>
      <c r="P12" s="1">
        <f t="shared" si="7"/>
        <v>216.27929359823466</v>
      </c>
      <c r="Q12" s="1">
        <f>_xlfn.VAR.S(I:I)</f>
        <v>55882647.63208323</v>
      </c>
      <c r="S12" t="s">
        <v>6</v>
      </c>
      <c r="T12">
        <f t="shared" ref="T12:T14" si="8">COUNTIF(C:C,S12)</f>
        <v>79</v>
      </c>
      <c r="U12" s="3">
        <f t="shared" ref="U12:U14" si="9">T12/$T$15</f>
        <v>0.52317880794701987</v>
      </c>
      <c r="V12">
        <f>T12+V11</f>
        <v>120</v>
      </c>
      <c r="W12" s="3">
        <f t="shared" ref="W12:W14" si="10">V12/$T$15</f>
        <v>0.79470198675496684</v>
      </c>
      <c r="X12" s="3"/>
      <c r="AF12">
        <v>1</v>
      </c>
      <c r="AG12" s="8">
        <f>AG6</f>
        <v>51</v>
      </c>
      <c r="AH12" s="8">
        <f>AG12+$AG$8</f>
        <v>56.416666666666664</v>
      </c>
      <c r="AI12" t="str">
        <f>"[ "&amp;ROUND(AG12,1)&amp;" ; "&amp;ROUND(AH12,1)&amp;"["</f>
        <v>[ 51 ; 56,4[</v>
      </c>
      <c r="AJ12">
        <f>COUNTIFS(H:H,"&gt;="&amp;AG12,H:H,"&lt;"&amp;AH12)</f>
        <v>4</v>
      </c>
      <c r="AK12" s="3">
        <f>AJ12/$AJ$24</f>
        <v>2.6490066225165563E-2</v>
      </c>
      <c r="AL12">
        <f>SUM($AJ$12:AJ12)</f>
        <v>4</v>
      </c>
      <c r="AM12" s="3">
        <f>AL12/$AJ$24</f>
        <v>2.6490066225165563E-2</v>
      </c>
      <c r="AO12">
        <v>1</v>
      </c>
      <c r="AP12" s="8">
        <f>AP6</f>
        <v>51</v>
      </c>
      <c r="AQ12" s="8">
        <f>AP12+$AG$8</f>
        <v>56.416666666666664</v>
      </c>
      <c r="AR12" t="str">
        <f>"] "&amp;ROUND(AP12,1)&amp;" ; "&amp;ROUND(AQ12,1)&amp;"]"</f>
        <v>] 51 ; 56,4]</v>
      </c>
      <c r="AS12">
        <f>COUNTIFS(H:H,"&gt;="&amp;AP12,H:H,"&lt;="&amp;AQ12)</f>
        <v>4</v>
      </c>
      <c r="AT12" s="3">
        <f>AS12/$AJ$24</f>
        <v>2.6490066225165563E-2</v>
      </c>
      <c r="AU12">
        <f>SUM($AS$12:AS12)</f>
        <v>4</v>
      </c>
      <c r="AV12" s="3">
        <f>AU12/$AJ$24</f>
        <v>2.6490066225165563E-2</v>
      </c>
      <c r="AX12">
        <v>1</v>
      </c>
      <c r="AY12" s="1">
        <f>AY6</f>
        <v>2367.7600000000002</v>
      </c>
      <c r="AZ12" s="1">
        <f>AY12+$AY$8</f>
        <v>5801.7612500000005</v>
      </c>
      <c r="BA12" t="str">
        <f>"[ "&amp;ROUND(AY12,2)&amp;" ; "&amp;ROUND(AZ12,2)&amp;" ]"</f>
        <v>[ 2367,76 ; 5801,76 ]</v>
      </c>
      <c r="BB12">
        <f>COUNTIFS(I:I,"&gt;="&amp;AY12,I:I,"&lt;="&amp;AZ12)</f>
        <v>21</v>
      </c>
      <c r="BC12" s="3">
        <f>BB12/$BB$20</f>
        <v>0.13907284768211919</v>
      </c>
      <c r="BD12">
        <f>SUM($BB$12:BB12)</f>
        <v>21</v>
      </c>
      <c r="BE12" s="3">
        <f>SUM($BC$12:BC12)</f>
        <v>0.13907284768211919</v>
      </c>
      <c r="BF12">
        <f>BD12/$BB$20</f>
        <v>0.13907284768211919</v>
      </c>
    </row>
    <row r="13" spans="1:58" x14ac:dyDescent="0.2">
      <c r="A13">
        <v>12</v>
      </c>
      <c r="B13" t="s">
        <v>10</v>
      </c>
      <c r="C13" t="s">
        <v>8</v>
      </c>
      <c r="D13" t="s">
        <v>15</v>
      </c>
      <c r="E13" t="s">
        <v>21</v>
      </c>
      <c r="F13">
        <v>1</v>
      </c>
      <c r="G13">
        <v>1.71</v>
      </c>
      <c r="H13">
        <v>106</v>
      </c>
      <c r="I13">
        <v>11025.06</v>
      </c>
      <c r="M13" t="s">
        <v>32</v>
      </c>
      <c r="N13" s="3">
        <f>N11/N4</f>
        <v>1.0353272415170716</v>
      </c>
      <c r="O13" s="3">
        <f t="shared" ref="O13:Q13" si="11">O11/O4</f>
        <v>8.7156550523636897E-2</v>
      </c>
      <c r="P13" s="3">
        <f t="shared" si="11"/>
        <v>0.17307084478218074</v>
      </c>
      <c r="Q13" s="3">
        <f t="shared" si="11"/>
        <v>0.48056868915028894</v>
      </c>
      <c r="S13" t="s">
        <v>7</v>
      </c>
      <c r="T13">
        <f t="shared" si="8"/>
        <v>12</v>
      </c>
      <c r="U13" s="3">
        <f t="shared" si="9"/>
        <v>7.9470198675496692E-2</v>
      </c>
      <c r="V13">
        <f t="shared" ref="V13:V14" si="12">T13+V12</f>
        <v>132</v>
      </c>
      <c r="W13" s="3">
        <f t="shared" si="10"/>
        <v>0.8741721854304636</v>
      </c>
      <c r="X13" s="3"/>
      <c r="AF13">
        <v>2</v>
      </c>
      <c r="AG13" s="8">
        <f>AH12</f>
        <v>56.416666666666664</v>
      </c>
      <c r="AH13" s="8">
        <f>AG13+$AG$8</f>
        <v>61.833333333333329</v>
      </c>
      <c r="AI13" t="str">
        <f>"[ "&amp;ROUND(AG13,1)&amp;" ; "&amp;ROUND(AH13,1)&amp;"["</f>
        <v>[ 56,4 ; 61,8[</v>
      </c>
      <c r="AJ13">
        <f t="shared" ref="AJ13:AJ21" si="13">COUNTIFS(H:H,"&gt;="&amp;AG13,H:H,"&lt;"&amp;AH13)</f>
        <v>5</v>
      </c>
      <c r="AK13" s="3">
        <f t="shared" ref="AK13:AK23" si="14">AJ13/$AJ$24</f>
        <v>3.3112582781456956E-2</v>
      </c>
      <c r="AL13">
        <f>SUM($AJ$12:AJ13)</f>
        <v>9</v>
      </c>
      <c r="AM13" s="3">
        <f t="shared" ref="AM13:AM23" si="15">AL13/$AJ$24</f>
        <v>5.9602649006622516E-2</v>
      </c>
      <c r="AO13">
        <v>2</v>
      </c>
      <c r="AP13" s="8">
        <f>AQ12</f>
        <v>56.416666666666664</v>
      </c>
      <c r="AQ13" s="8">
        <f>AP13+$AG$8</f>
        <v>61.833333333333329</v>
      </c>
      <c r="AR13" t="str">
        <f t="shared" ref="AR13:AR22" si="16">"] "&amp;ROUND(AP13,1)&amp;" ; "&amp;ROUND(AQ13,1)&amp;"]"</f>
        <v>] 56,4 ; 61,8]</v>
      </c>
      <c r="AS13">
        <f>COUNTIFS(H:H,"&gt;"&amp;AP13,H:H,"&lt;="&amp;AQ13)</f>
        <v>5</v>
      </c>
      <c r="AT13" s="3">
        <f t="shared" ref="AT13:AT23" si="17">AS13/$AJ$24</f>
        <v>3.3112582781456956E-2</v>
      </c>
      <c r="AU13">
        <f>SUM($AS$12:AS13)</f>
        <v>9</v>
      </c>
      <c r="AV13" s="3">
        <f t="shared" ref="AV13:AV23" si="18">AU13/$AJ$24</f>
        <v>5.9602649006622516E-2</v>
      </c>
      <c r="AX13">
        <v>2</v>
      </c>
      <c r="AY13" s="1">
        <f>AZ12</f>
        <v>5801.7612500000005</v>
      </c>
      <c r="AZ13" s="1">
        <f>AY13+$AY$8</f>
        <v>9235.7625000000007</v>
      </c>
      <c r="BA13" t="str">
        <f t="shared" ref="BA13:BA19" si="19">"( "&amp;ROUND(AY13,2)&amp;" ; "&amp;ROUND(AZ13,2)&amp;" ]"</f>
        <v>( 5801,76 ; 9235,76 ]</v>
      </c>
      <c r="BB13">
        <f>COUNTIFS(I:I,"&gt;"&amp;AY13,I:I,"&lt;="&amp;AZ13)</f>
        <v>15</v>
      </c>
      <c r="BC13" s="3">
        <f t="shared" ref="BC13:BC19" si="20">BB13/$BB$20</f>
        <v>9.9337748344370855E-2</v>
      </c>
      <c r="BD13">
        <f>SUM($BB$12:BB13)</f>
        <v>36</v>
      </c>
      <c r="BE13" s="3">
        <f>SUM($BC$12:BC13)</f>
        <v>0.23841059602649006</v>
      </c>
    </row>
    <row r="14" spans="1:58" x14ac:dyDescent="0.2">
      <c r="A14">
        <v>13</v>
      </c>
      <c r="B14" t="s">
        <v>11</v>
      </c>
      <c r="C14" t="s">
        <v>6</v>
      </c>
      <c r="D14" t="s">
        <v>16</v>
      </c>
      <c r="E14" t="s">
        <v>24</v>
      </c>
      <c r="F14">
        <v>1</v>
      </c>
      <c r="G14">
        <v>1.57</v>
      </c>
      <c r="H14">
        <v>78</v>
      </c>
      <c r="I14">
        <v>4319.13</v>
      </c>
      <c r="S14" t="s">
        <v>8</v>
      </c>
      <c r="T14">
        <f t="shared" si="8"/>
        <v>19</v>
      </c>
      <c r="U14" s="3">
        <f t="shared" si="9"/>
        <v>0.12582781456953643</v>
      </c>
      <c r="V14">
        <f t="shared" si="12"/>
        <v>151</v>
      </c>
      <c r="W14" s="3">
        <f t="shared" si="10"/>
        <v>1</v>
      </c>
      <c r="X14" s="3"/>
      <c r="AF14">
        <v>3</v>
      </c>
      <c r="AG14" s="8">
        <f t="shared" ref="AG14:AG23" si="21">AH13</f>
        <v>61.833333333333329</v>
      </c>
      <c r="AH14" s="8">
        <f>AG14+$AG$8</f>
        <v>67.25</v>
      </c>
      <c r="AI14" t="str">
        <f>"[ "&amp;ROUND(AG14,1)&amp;" ; "&amp;ROUND(AH14,1)&amp;"["</f>
        <v>[ 61,8 ; 67,3[</v>
      </c>
      <c r="AJ14">
        <f t="shared" si="13"/>
        <v>10</v>
      </c>
      <c r="AK14" s="3">
        <f t="shared" si="14"/>
        <v>6.6225165562913912E-2</v>
      </c>
      <c r="AL14">
        <f>SUM($AJ$12:AJ14)</f>
        <v>19</v>
      </c>
      <c r="AM14" s="3">
        <f t="shared" si="15"/>
        <v>0.12582781456953643</v>
      </c>
      <c r="AO14">
        <v>3</v>
      </c>
      <c r="AP14" s="8">
        <f t="shared" ref="AP14:AP23" si="22">AQ13</f>
        <v>61.833333333333329</v>
      </c>
      <c r="AQ14" s="8">
        <f>AP14+$AG$8</f>
        <v>67.25</v>
      </c>
      <c r="AR14" t="str">
        <f t="shared" si="16"/>
        <v>] 61,8 ; 67,3]</v>
      </c>
      <c r="AS14">
        <f t="shared" ref="AS14:AS23" si="23">COUNTIFS(H:H,"&gt;"&amp;AP14,H:H,"&lt;="&amp;AQ14)</f>
        <v>10</v>
      </c>
      <c r="AT14" s="3">
        <f t="shared" si="17"/>
        <v>6.6225165562913912E-2</v>
      </c>
      <c r="AU14">
        <f>SUM($AS$12:AS14)</f>
        <v>19</v>
      </c>
      <c r="AV14" s="3">
        <f t="shared" si="18"/>
        <v>0.12582781456953643</v>
      </c>
      <c r="AX14">
        <v>3</v>
      </c>
      <c r="AY14" s="1">
        <f t="shared" ref="AY14:AY19" si="24">AZ13</f>
        <v>9235.7625000000007</v>
      </c>
      <c r="AZ14" s="1">
        <f>AY14+$AY$8</f>
        <v>12669.763750000002</v>
      </c>
      <c r="BA14" t="str">
        <f t="shared" si="19"/>
        <v>( 9235,76 ; 12669,76 ]</v>
      </c>
      <c r="BB14">
        <f>COUNTIFS(I:I,"&gt;"&amp;AY14,I:I,"&lt;="&amp;AZ14)</f>
        <v>24</v>
      </c>
      <c r="BC14" s="3">
        <f t="shared" si="20"/>
        <v>0.15894039735099338</v>
      </c>
      <c r="BD14">
        <f>SUM($BB$12:BB14)</f>
        <v>60</v>
      </c>
      <c r="BE14" s="3">
        <f>SUM($BC$12:BC14)</f>
        <v>0.39735099337748347</v>
      </c>
    </row>
    <row r="15" spans="1:58" x14ac:dyDescent="0.2">
      <c r="A15">
        <v>14</v>
      </c>
      <c r="B15" t="s">
        <v>11</v>
      </c>
      <c r="C15" t="s">
        <v>6</v>
      </c>
      <c r="D15" t="s">
        <v>16</v>
      </c>
      <c r="E15" t="s">
        <v>22</v>
      </c>
      <c r="F15">
        <v>0</v>
      </c>
      <c r="G15">
        <v>1.65</v>
      </c>
      <c r="H15">
        <v>70</v>
      </c>
      <c r="I15">
        <v>5262.3</v>
      </c>
      <c r="N15" s="1">
        <f>N11^2</f>
        <v>2.5303311258278152</v>
      </c>
      <c r="O15" s="1">
        <f t="shared" ref="O15:P15" si="25">O11^2</f>
        <v>2.2126295805739528E-2</v>
      </c>
      <c r="P15" s="1">
        <f t="shared" si="25"/>
        <v>216.27929359823466</v>
      </c>
      <c r="Q15" s="1">
        <f>Q11^2</f>
        <v>55882647.63208323</v>
      </c>
      <c r="S15" t="s">
        <v>43</v>
      </c>
      <c r="T15">
        <f>SUM(T11:T14)</f>
        <v>151</v>
      </c>
      <c r="U15" s="3">
        <f>SUM(U11:U14)</f>
        <v>1</v>
      </c>
      <c r="AF15">
        <v>4</v>
      </c>
      <c r="AG15" s="8">
        <f t="shared" si="21"/>
        <v>67.25</v>
      </c>
      <c r="AH15" s="8">
        <f>AG15+$AG$8</f>
        <v>72.666666666666671</v>
      </c>
      <c r="AI15" t="str">
        <f>"[ "&amp;ROUND(AG15,1)&amp;" ; "&amp;ROUND(AH15,1)&amp;"["</f>
        <v>[ 67,3 ; 72,7[</v>
      </c>
      <c r="AJ15">
        <f t="shared" si="13"/>
        <v>12</v>
      </c>
      <c r="AK15" s="3">
        <f t="shared" si="14"/>
        <v>7.9470198675496692E-2</v>
      </c>
      <c r="AL15">
        <f>SUM($AJ$12:AJ15)</f>
        <v>31</v>
      </c>
      <c r="AM15" s="3">
        <f t="shared" si="15"/>
        <v>0.20529801324503311</v>
      </c>
      <c r="AO15">
        <v>4</v>
      </c>
      <c r="AP15" s="8">
        <f t="shared" si="22"/>
        <v>67.25</v>
      </c>
      <c r="AQ15" s="8">
        <f>AP15+$AG$8</f>
        <v>72.666666666666671</v>
      </c>
      <c r="AR15" t="str">
        <f t="shared" si="16"/>
        <v>] 67,3 ; 72,7]</v>
      </c>
      <c r="AS15">
        <f t="shared" si="23"/>
        <v>12</v>
      </c>
      <c r="AT15" s="3">
        <f t="shared" si="17"/>
        <v>7.9470198675496692E-2</v>
      </c>
      <c r="AU15">
        <f>SUM($AS$12:AS15)</f>
        <v>31</v>
      </c>
      <c r="AV15" s="3">
        <f t="shared" si="18"/>
        <v>0.20529801324503311</v>
      </c>
      <c r="AX15">
        <v>4</v>
      </c>
      <c r="AY15" s="1">
        <f t="shared" si="24"/>
        <v>12669.763750000002</v>
      </c>
      <c r="AZ15" s="1">
        <f>AY15+$AY$8</f>
        <v>16103.765000000003</v>
      </c>
      <c r="BA15" t="str">
        <f t="shared" si="19"/>
        <v>( 12669,76 ; 16103,77 ]</v>
      </c>
      <c r="BB15">
        <f>COUNTIFS(I:I,"&gt;"&amp;AY15,I:I,"&lt;="&amp;AZ15)</f>
        <v>16</v>
      </c>
      <c r="BC15" s="3">
        <f t="shared" si="20"/>
        <v>0.10596026490066225</v>
      </c>
      <c r="BD15">
        <f>SUM($BB$12:BB15)</f>
        <v>76</v>
      </c>
      <c r="BE15" s="3">
        <f>SUM($BC$12:BC15)</f>
        <v>0.50331125827814571</v>
      </c>
    </row>
    <row r="16" spans="1:58" x14ac:dyDescent="0.2">
      <c r="A16">
        <v>15</v>
      </c>
      <c r="B16" t="s">
        <v>10</v>
      </c>
      <c r="C16" t="s">
        <v>9</v>
      </c>
      <c r="D16" t="s">
        <v>16</v>
      </c>
      <c r="E16" t="s">
        <v>22</v>
      </c>
      <c r="F16">
        <v>0</v>
      </c>
      <c r="G16">
        <v>1.65</v>
      </c>
      <c r="H16">
        <v>52</v>
      </c>
      <c r="I16">
        <v>27612.91</v>
      </c>
      <c r="M16" t="s">
        <v>33</v>
      </c>
      <c r="AF16">
        <v>5</v>
      </c>
      <c r="AG16" s="8">
        <f t="shared" si="21"/>
        <v>72.666666666666671</v>
      </c>
      <c r="AH16" s="8">
        <f>AG16+$AG$8</f>
        <v>78.083333333333343</v>
      </c>
      <c r="AI16" t="str">
        <f>"[ "&amp;ROUND(AG16,1)&amp;" ; "&amp;ROUND(AH16,1)&amp;"["</f>
        <v>[ 72,7 ; 78,1[</v>
      </c>
      <c r="AJ16">
        <f t="shared" si="13"/>
        <v>21</v>
      </c>
      <c r="AK16" s="3">
        <f t="shared" si="14"/>
        <v>0.13907284768211919</v>
      </c>
      <c r="AL16">
        <f>SUM($AJ$12:AJ16)</f>
        <v>52</v>
      </c>
      <c r="AM16" s="3">
        <f t="shared" si="15"/>
        <v>0.3443708609271523</v>
      </c>
      <c r="AO16">
        <v>5</v>
      </c>
      <c r="AP16" s="8">
        <f t="shared" si="22"/>
        <v>72.666666666666671</v>
      </c>
      <c r="AQ16" s="8">
        <f>AP16+$AG$8</f>
        <v>78.083333333333343</v>
      </c>
      <c r="AR16" t="str">
        <f t="shared" si="16"/>
        <v>] 72,7 ; 78,1]</v>
      </c>
      <c r="AS16">
        <f t="shared" si="23"/>
        <v>21</v>
      </c>
      <c r="AT16" s="3">
        <f t="shared" si="17"/>
        <v>0.13907284768211919</v>
      </c>
      <c r="AU16">
        <f>SUM($AS$12:AS16)</f>
        <v>52</v>
      </c>
      <c r="AV16" s="3">
        <f t="shared" si="18"/>
        <v>0.3443708609271523</v>
      </c>
      <c r="AX16">
        <v>5</v>
      </c>
      <c r="AY16" s="1">
        <f t="shared" si="24"/>
        <v>16103.765000000003</v>
      </c>
      <c r="AZ16" s="1">
        <f>AY16+$AY$8</f>
        <v>19537.766250000004</v>
      </c>
      <c r="BA16" t="str">
        <f t="shared" si="19"/>
        <v>( 16103,77 ; 19537,77 ]</v>
      </c>
      <c r="BB16">
        <f>COUNTIFS(I:I,"&gt;"&amp;AY16,I:I,"&lt;="&amp;AZ16)</f>
        <v>23</v>
      </c>
      <c r="BC16" s="3">
        <f t="shared" si="20"/>
        <v>0.15231788079470199</v>
      </c>
      <c r="BD16">
        <f>SUM($BB$12:BB16)</f>
        <v>99</v>
      </c>
      <c r="BE16" s="3">
        <f>SUM($BC$12:BC16)</f>
        <v>0.6556291390728477</v>
      </c>
    </row>
    <row r="17" spans="1:57" x14ac:dyDescent="0.2">
      <c r="A17">
        <v>16</v>
      </c>
      <c r="B17" t="s">
        <v>10</v>
      </c>
      <c r="C17" t="s">
        <v>6</v>
      </c>
      <c r="D17" t="s">
        <v>13</v>
      </c>
      <c r="E17" t="s">
        <v>22</v>
      </c>
      <c r="F17">
        <v>0</v>
      </c>
      <c r="G17">
        <v>1.68</v>
      </c>
      <c r="H17">
        <v>106</v>
      </c>
      <c r="I17">
        <v>12416.07</v>
      </c>
      <c r="M17">
        <v>1</v>
      </c>
      <c r="N17">
        <f>_xlfn.QUARTILE.INC(F:F,1)</f>
        <v>0</v>
      </c>
      <c r="O17">
        <f t="shared" ref="O17:Q17" si="26">_xlfn.QUARTILE.INC(G:G,1)</f>
        <v>1.5750000000000002</v>
      </c>
      <c r="P17">
        <f t="shared" si="26"/>
        <v>75</v>
      </c>
      <c r="Q17">
        <f t="shared" si="26"/>
        <v>9716.119999999999</v>
      </c>
      <c r="S17" s="6" t="s">
        <v>45</v>
      </c>
      <c r="T17" s="6"/>
      <c r="U17" s="6"/>
      <c r="V17" s="6"/>
      <c r="W17" s="6"/>
      <c r="X17" s="4"/>
      <c r="AF17">
        <v>6</v>
      </c>
      <c r="AG17" s="8">
        <f t="shared" si="21"/>
        <v>78.083333333333343</v>
      </c>
      <c r="AH17" s="8">
        <f>AG17+$AG$8</f>
        <v>83.500000000000014</v>
      </c>
      <c r="AI17" t="str">
        <f>"[ "&amp;ROUND(AG17,1)&amp;" ; "&amp;ROUND(AH17,1)&amp;"["</f>
        <v>[ 78,1 ; 83,5[</v>
      </c>
      <c r="AJ17">
        <f t="shared" si="13"/>
        <v>17</v>
      </c>
      <c r="AK17" s="3">
        <f t="shared" si="14"/>
        <v>0.11258278145695365</v>
      </c>
      <c r="AL17">
        <f>SUM($AJ$12:AJ17)</f>
        <v>69</v>
      </c>
      <c r="AM17" s="3">
        <f t="shared" si="15"/>
        <v>0.45695364238410596</v>
      </c>
      <c r="AO17">
        <v>6</v>
      </c>
      <c r="AP17" s="8">
        <f t="shared" si="22"/>
        <v>78.083333333333343</v>
      </c>
      <c r="AQ17" s="8">
        <f>AP17+$AG$8</f>
        <v>83.500000000000014</v>
      </c>
      <c r="AR17" t="str">
        <f t="shared" si="16"/>
        <v>] 78,1 ; 83,5]</v>
      </c>
      <c r="AS17">
        <f t="shared" si="23"/>
        <v>17</v>
      </c>
      <c r="AT17" s="3">
        <f t="shared" si="17"/>
        <v>0.11258278145695365</v>
      </c>
      <c r="AU17">
        <f>SUM($AS$12:AS17)</f>
        <v>69</v>
      </c>
      <c r="AV17" s="3">
        <f t="shared" si="18"/>
        <v>0.45695364238410596</v>
      </c>
      <c r="AX17">
        <v>6</v>
      </c>
      <c r="AY17" s="1">
        <f t="shared" si="24"/>
        <v>19537.766250000004</v>
      </c>
      <c r="AZ17" s="1">
        <f>AY17+$AY$8</f>
        <v>22971.767500000005</v>
      </c>
      <c r="BA17" t="str">
        <f t="shared" si="19"/>
        <v>( 19537,77 ; 22971,77 ]</v>
      </c>
      <c r="BB17">
        <f>COUNTIFS(I:I,"&gt;"&amp;AY17,I:I,"&lt;="&amp;AZ17)</f>
        <v>24</v>
      </c>
      <c r="BC17" s="3">
        <f t="shared" si="20"/>
        <v>0.15894039735099338</v>
      </c>
      <c r="BD17">
        <f>SUM($BB$12:BB17)</f>
        <v>123</v>
      </c>
      <c r="BE17" s="3">
        <f>SUM($BC$12:BC17)</f>
        <v>0.81456953642384111</v>
      </c>
    </row>
    <row r="18" spans="1:57" x14ac:dyDescent="0.2">
      <c r="A18">
        <v>17</v>
      </c>
      <c r="B18" t="s">
        <v>10</v>
      </c>
      <c r="C18" t="s">
        <v>9</v>
      </c>
      <c r="D18" t="s">
        <v>14</v>
      </c>
      <c r="F18">
        <v>4</v>
      </c>
      <c r="G18">
        <v>1.84</v>
      </c>
      <c r="H18">
        <v>86</v>
      </c>
      <c r="I18">
        <v>15589.69</v>
      </c>
      <c r="M18">
        <v>2</v>
      </c>
      <c r="N18">
        <f>_xlfn.QUARTILE.INC(F:F,2)</f>
        <v>1</v>
      </c>
      <c r="O18">
        <f t="shared" ref="O18:Q18" si="27">_xlfn.QUARTILE.INC(G:G,2)</f>
        <v>1.68</v>
      </c>
      <c r="P18">
        <f t="shared" si="27"/>
        <v>85</v>
      </c>
      <c r="Q18">
        <f t="shared" si="27"/>
        <v>16010.72</v>
      </c>
      <c r="S18" t="s">
        <v>39</v>
      </c>
      <c r="T18" t="s">
        <v>41</v>
      </c>
      <c r="U18" t="s">
        <v>42</v>
      </c>
      <c r="V18" t="s">
        <v>46</v>
      </c>
      <c r="W18" t="s">
        <v>47</v>
      </c>
      <c r="AF18">
        <v>7</v>
      </c>
      <c r="AG18" s="8">
        <f t="shared" si="21"/>
        <v>83.500000000000014</v>
      </c>
      <c r="AH18" s="8">
        <f>AG18+$AG$8</f>
        <v>88.916666666666686</v>
      </c>
      <c r="AI18" t="str">
        <f>"[ "&amp;ROUND(AG18,1)&amp;" ; "&amp;ROUND(AH18,1)&amp;"["</f>
        <v>[ 83,5 ; 88,9[</v>
      </c>
      <c r="AJ18">
        <f t="shared" si="13"/>
        <v>23</v>
      </c>
      <c r="AK18" s="3">
        <f t="shared" si="14"/>
        <v>0.15231788079470199</v>
      </c>
      <c r="AL18">
        <f>SUM($AJ$12:AJ18)</f>
        <v>92</v>
      </c>
      <c r="AM18" s="3">
        <f t="shared" si="15"/>
        <v>0.60927152317880795</v>
      </c>
      <c r="AO18">
        <v>7</v>
      </c>
      <c r="AP18" s="8">
        <f t="shared" si="22"/>
        <v>83.500000000000014</v>
      </c>
      <c r="AQ18" s="8">
        <f>AP18+$AG$8</f>
        <v>88.916666666666686</v>
      </c>
      <c r="AR18" t="str">
        <f t="shared" si="16"/>
        <v>] 83,5 ; 88,9]</v>
      </c>
      <c r="AS18">
        <f t="shared" si="23"/>
        <v>23</v>
      </c>
      <c r="AT18" s="3">
        <f t="shared" si="17"/>
        <v>0.15231788079470199</v>
      </c>
      <c r="AU18">
        <f>SUM($AS$12:AS18)</f>
        <v>92</v>
      </c>
      <c r="AV18" s="3">
        <f t="shared" si="18"/>
        <v>0.60927152317880795</v>
      </c>
      <c r="AX18">
        <v>7</v>
      </c>
      <c r="AY18" s="1">
        <f t="shared" si="24"/>
        <v>22971.767500000005</v>
      </c>
      <c r="AZ18" s="1">
        <f>AY18+$AY$8</f>
        <v>26405.768750000007</v>
      </c>
      <c r="BA18" t="str">
        <f t="shared" si="19"/>
        <v>( 22971,77 ; 26405,77 ]</v>
      </c>
      <c r="BB18">
        <f>COUNTIFS(I:I,"&gt;"&amp;AY18,I:I,"&lt;="&amp;AZ18)</f>
        <v>16</v>
      </c>
      <c r="BC18" s="3">
        <f t="shared" si="20"/>
        <v>0.10596026490066225</v>
      </c>
      <c r="BD18">
        <f>SUM($BB$12:BB18)</f>
        <v>139</v>
      </c>
      <c r="BE18" s="3">
        <f>SUM($BC$12:BC18)</f>
        <v>0.92052980132450335</v>
      </c>
    </row>
    <row r="19" spans="1:57" x14ac:dyDescent="0.2">
      <c r="A19">
        <v>18</v>
      </c>
      <c r="B19" t="s">
        <v>12</v>
      </c>
      <c r="C19" t="s">
        <v>9</v>
      </c>
      <c r="D19" t="s">
        <v>15</v>
      </c>
      <c r="F19">
        <v>4</v>
      </c>
      <c r="G19">
        <v>1.68</v>
      </c>
      <c r="H19">
        <v>88</v>
      </c>
      <c r="I19">
        <v>22253.42</v>
      </c>
      <c r="M19">
        <v>3</v>
      </c>
      <c r="N19">
        <f>_xlfn.QUARTILE.INC(F:F,3)</f>
        <v>2.5</v>
      </c>
      <c r="O19">
        <f t="shared" ref="O19:Q19" si="28">_xlfn.QUARTILE.INC(G:G,3)</f>
        <v>1.84</v>
      </c>
      <c r="P19">
        <f t="shared" si="28"/>
        <v>96</v>
      </c>
      <c r="Q19">
        <f t="shared" si="28"/>
        <v>22041.675000000003</v>
      </c>
      <c r="S19" t="s">
        <v>13</v>
      </c>
      <c r="T19">
        <f>COUNTIF(D:D,S19)</f>
        <v>16</v>
      </c>
      <c r="U19" s="3">
        <f>T19/$T$24</f>
        <v>0.10596026490066225</v>
      </c>
      <c r="V19">
        <f>SUM($T$19:T19)</f>
        <v>16</v>
      </c>
      <c r="W19" s="3">
        <f>V19/$T$24</f>
        <v>0.10596026490066225</v>
      </c>
      <c r="X19" s="3"/>
      <c r="AF19">
        <v>8</v>
      </c>
      <c r="AG19" s="8">
        <f t="shared" si="21"/>
        <v>88.916666666666686</v>
      </c>
      <c r="AH19" s="8">
        <f>AG19+$AG$8</f>
        <v>94.333333333333357</v>
      </c>
      <c r="AI19" t="str">
        <f>"[ "&amp;ROUND(AG19,1)&amp;" ; "&amp;ROUND(AH19,1)&amp;"["</f>
        <v>[ 88,9 ; 94,3[</v>
      </c>
      <c r="AJ19">
        <f t="shared" si="13"/>
        <v>16</v>
      </c>
      <c r="AK19" s="3">
        <f t="shared" si="14"/>
        <v>0.10596026490066225</v>
      </c>
      <c r="AL19">
        <f>SUM($AJ$12:AJ19)</f>
        <v>108</v>
      </c>
      <c r="AM19" s="3">
        <f t="shared" si="15"/>
        <v>0.71523178807947019</v>
      </c>
      <c r="AO19">
        <v>8</v>
      </c>
      <c r="AP19" s="8">
        <f t="shared" si="22"/>
        <v>88.916666666666686</v>
      </c>
      <c r="AQ19" s="8">
        <f>AP19+$AG$8</f>
        <v>94.333333333333357</v>
      </c>
      <c r="AR19" t="str">
        <f t="shared" si="16"/>
        <v>] 88,9 ; 94,3]</v>
      </c>
      <c r="AS19">
        <f t="shared" si="23"/>
        <v>16</v>
      </c>
      <c r="AT19" s="3">
        <f t="shared" si="17"/>
        <v>0.10596026490066225</v>
      </c>
      <c r="AU19">
        <f>SUM($AS$12:AS19)</f>
        <v>108</v>
      </c>
      <c r="AV19" s="3">
        <f t="shared" si="18"/>
        <v>0.71523178807947019</v>
      </c>
      <c r="AX19">
        <v>8</v>
      </c>
      <c r="AY19" s="1">
        <f t="shared" si="24"/>
        <v>26405.768750000007</v>
      </c>
      <c r="AZ19" s="1">
        <f>AY19+$AY$8</f>
        <v>29839.770000000008</v>
      </c>
      <c r="BA19" t="str">
        <f t="shared" si="19"/>
        <v>( 26405,77 ; 29839,77 ]</v>
      </c>
      <c r="BB19">
        <f>COUNTIFS(I:I,"&gt;"&amp;AY19,I:I,"&lt;="&amp;AZ19)</f>
        <v>12</v>
      </c>
      <c r="BC19" s="3">
        <f t="shared" si="20"/>
        <v>7.9470198675496692E-2</v>
      </c>
      <c r="BD19">
        <f>SUM($BB$12:BB19)</f>
        <v>151</v>
      </c>
      <c r="BE19" s="3">
        <f>SUM($BC$12:BC19)</f>
        <v>1</v>
      </c>
    </row>
    <row r="20" spans="1:57" x14ac:dyDescent="0.2">
      <c r="A20">
        <v>19</v>
      </c>
      <c r="B20" t="s">
        <v>11</v>
      </c>
      <c r="C20" t="s">
        <v>6</v>
      </c>
      <c r="D20" t="s">
        <v>15</v>
      </c>
      <c r="F20">
        <v>0</v>
      </c>
      <c r="G20">
        <v>1.68</v>
      </c>
      <c r="H20">
        <v>89</v>
      </c>
      <c r="I20">
        <v>22475.119999999999</v>
      </c>
      <c r="S20" t="s">
        <v>14</v>
      </c>
      <c r="T20">
        <f t="shared" ref="T20:T23" si="29">COUNTIF(D:D,S20)</f>
        <v>32</v>
      </c>
      <c r="U20" s="3">
        <f t="shared" ref="U20:U23" si="30">T20/$T$24</f>
        <v>0.2119205298013245</v>
      </c>
      <c r="V20">
        <f>SUM($T$19:T20)</f>
        <v>48</v>
      </c>
      <c r="W20" s="3">
        <f t="shared" ref="W20:W22" si="31">V20/$T$24</f>
        <v>0.31788079470198677</v>
      </c>
      <c r="X20" s="3"/>
      <c r="AF20">
        <v>9</v>
      </c>
      <c r="AG20" s="8">
        <f t="shared" si="21"/>
        <v>94.333333333333357</v>
      </c>
      <c r="AH20" s="8">
        <f>AG20+$AG$8</f>
        <v>99.750000000000028</v>
      </c>
      <c r="AI20" t="str">
        <f>"[ "&amp;ROUND(AG20,1)&amp;" ; "&amp;ROUND(AH20,1)&amp;"["</f>
        <v>[ 94,3 ; 99,8[</v>
      </c>
      <c r="AJ20">
        <f t="shared" si="13"/>
        <v>16</v>
      </c>
      <c r="AK20" s="3">
        <f t="shared" si="14"/>
        <v>0.10596026490066225</v>
      </c>
      <c r="AL20">
        <f>SUM($AJ$12:AJ20)</f>
        <v>124</v>
      </c>
      <c r="AM20" s="3">
        <f t="shared" si="15"/>
        <v>0.82119205298013243</v>
      </c>
      <c r="AO20">
        <v>9</v>
      </c>
      <c r="AP20" s="8">
        <f t="shared" si="22"/>
        <v>94.333333333333357</v>
      </c>
      <c r="AQ20" s="8">
        <f>AP20+$AG$8</f>
        <v>99.750000000000028</v>
      </c>
      <c r="AR20" t="str">
        <f t="shared" si="16"/>
        <v>] 94,3 ; 99,8]</v>
      </c>
      <c r="AS20">
        <f t="shared" si="23"/>
        <v>16</v>
      </c>
      <c r="AT20" s="3">
        <f t="shared" si="17"/>
        <v>0.10596026490066225</v>
      </c>
      <c r="AU20">
        <f>SUM($AS$12:AS20)</f>
        <v>124</v>
      </c>
      <c r="AV20" s="3">
        <f t="shared" si="18"/>
        <v>0.82119205298013243</v>
      </c>
      <c r="AX20" s="5" t="s">
        <v>43</v>
      </c>
      <c r="AY20" s="5"/>
      <c r="AZ20" s="5"/>
      <c r="BA20" s="5"/>
      <c r="BB20">
        <f>SUM(BB12:BB19)</f>
        <v>151</v>
      </c>
      <c r="BC20" s="3">
        <f>SUM(BC12:BC19)</f>
        <v>1</v>
      </c>
    </row>
    <row r="21" spans="1:57" x14ac:dyDescent="0.2">
      <c r="A21">
        <v>20</v>
      </c>
      <c r="B21" t="s">
        <v>12</v>
      </c>
      <c r="C21" t="s">
        <v>6</v>
      </c>
      <c r="D21" t="s">
        <v>16</v>
      </c>
      <c r="F21">
        <v>4</v>
      </c>
      <c r="G21">
        <v>1.56</v>
      </c>
      <c r="H21">
        <v>66</v>
      </c>
      <c r="I21">
        <v>22782.560000000001</v>
      </c>
      <c r="M21" t="s">
        <v>33</v>
      </c>
      <c r="S21" t="s">
        <v>15</v>
      </c>
      <c r="T21">
        <f t="shared" si="29"/>
        <v>18</v>
      </c>
      <c r="U21" s="3">
        <f t="shared" si="30"/>
        <v>0.11920529801324503</v>
      </c>
      <c r="V21">
        <f>SUM($T$19:T21)</f>
        <v>66</v>
      </c>
      <c r="W21" s="3">
        <f t="shared" si="31"/>
        <v>0.4370860927152318</v>
      </c>
      <c r="X21" s="3"/>
      <c r="AF21">
        <v>10</v>
      </c>
      <c r="AG21" s="8">
        <f t="shared" si="21"/>
        <v>99.750000000000028</v>
      </c>
      <c r="AH21" s="8">
        <f>AG21+$AG$8</f>
        <v>105.1666666666667</v>
      </c>
      <c r="AI21" t="str">
        <f>"[ "&amp;ROUND(AG21,1)&amp;" ; "&amp;ROUND(AH21,1)&amp;"["</f>
        <v>[ 99,8 ; 105,2[</v>
      </c>
      <c r="AJ21">
        <f t="shared" si="13"/>
        <v>13</v>
      </c>
      <c r="AK21" s="3">
        <f t="shared" si="14"/>
        <v>8.6092715231788075E-2</v>
      </c>
      <c r="AL21">
        <f>SUM($AJ$12:AJ21)</f>
        <v>137</v>
      </c>
      <c r="AM21" s="3">
        <f t="shared" si="15"/>
        <v>0.9072847682119205</v>
      </c>
      <c r="AO21">
        <v>10</v>
      </c>
      <c r="AP21" s="8">
        <f t="shared" si="22"/>
        <v>99.750000000000028</v>
      </c>
      <c r="AQ21" s="8">
        <f>AP21+$AG$8</f>
        <v>105.1666666666667</v>
      </c>
      <c r="AR21" t="str">
        <f t="shared" si="16"/>
        <v>] 99,8 ; 105,2]</v>
      </c>
      <c r="AS21">
        <f t="shared" si="23"/>
        <v>13</v>
      </c>
      <c r="AT21" s="3">
        <f t="shared" si="17"/>
        <v>8.6092715231788075E-2</v>
      </c>
      <c r="AU21">
        <f>SUM($AS$12:AS21)</f>
        <v>137</v>
      </c>
      <c r="AV21" s="3">
        <f t="shared" si="18"/>
        <v>0.9072847682119205</v>
      </c>
    </row>
    <row r="22" spans="1:57" x14ac:dyDescent="0.2">
      <c r="A22">
        <v>21</v>
      </c>
      <c r="B22" t="s">
        <v>11</v>
      </c>
      <c r="C22" t="s">
        <v>6</v>
      </c>
      <c r="D22" t="s">
        <v>14</v>
      </c>
      <c r="F22">
        <v>0</v>
      </c>
      <c r="G22">
        <v>1.71</v>
      </c>
      <c r="H22">
        <v>87</v>
      </c>
      <c r="I22">
        <v>8404.44</v>
      </c>
      <c r="M22">
        <v>1</v>
      </c>
      <c r="N22">
        <f>_xlfn.QUARTILE.INC(F:F,$M22)</f>
        <v>0</v>
      </c>
      <c r="O22">
        <f t="shared" ref="O22:Q22" si="32">_xlfn.QUARTILE.INC(G:G,$M22)</f>
        <v>1.5750000000000002</v>
      </c>
      <c r="P22">
        <f t="shared" si="32"/>
        <v>75</v>
      </c>
      <c r="Q22">
        <f t="shared" si="32"/>
        <v>9716.119999999999</v>
      </c>
      <c r="S22" t="s">
        <v>16</v>
      </c>
      <c r="T22">
        <f t="shared" si="29"/>
        <v>47</v>
      </c>
      <c r="U22" s="3">
        <f t="shared" si="30"/>
        <v>0.31125827814569534</v>
      </c>
      <c r="V22">
        <f>SUM($T$19:T22)</f>
        <v>113</v>
      </c>
      <c r="W22" s="3">
        <f t="shared" si="31"/>
        <v>0.7483443708609272</v>
      </c>
      <c r="X22" s="3"/>
      <c r="AF22">
        <v>11</v>
      </c>
      <c r="AG22" s="8">
        <f t="shared" si="21"/>
        <v>105.1666666666667</v>
      </c>
      <c r="AH22" s="8">
        <f>AG22+$AG$8</f>
        <v>110.58333333333337</v>
      </c>
      <c r="AI22" t="str">
        <f>"[ "&amp;ROUND(AG22,1)&amp;" ; "&amp;ROUND(AH22,1)&amp;"["</f>
        <v>[ 105,2 ; 110,6[</v>
      </c>
      <c r="AJ22">
        <f>COUNTIFS(H:H,"&gt;="&amp;AG22,H:H,"&lt;"&amp;AH22)</f>
        <v>9</v>
      </c>
      <c r="AK22" s="3">
        <f t="shared" si="14"/>
        <v>5.9602649006622516E-2</v>
      </c>
      <c r="AL22">
        <f>SUM($AJ$12:AJ22)</f>
        <v>146</v>
      </c>
      <c r="AM22" s="3">
        <f t="shared" si="15"/>
        <v>0.9668874172185431</v>
      </c>
      <c r="AO22">
        <v>11</v>
      </c>
      <c r="AP22" s="8">
        <f t="shared" si="22"/>
        <v>105.1666666666667</v>
      </c>
      <c r="AQ22" s="8">
        <f>AP22+$AG$8</f>
        <v>110.58333333333337</v>
      </c>
      <c r="AR22" t="str">
        <f t="shared" si="16"/>
        <v>] 105,2 ; 110,6]</v>
      </c>
      <c r="AS22">
        <f t="shared" si="23"/>
        <v>9</v>
      </c>
      <c r="AT22" s="3">
        <f t="shared" si="17"/>
        <v>5.9602649006622516E-2</v>
      </c>
      <c r="AU22">
        <f>SUM($AS$12:AS22)</f>
        <v>146</v>
      </c>
      <c r="AV22" s="3">
        <f t="shared" si="18"/>
        <v>0.9668874172185431</v>
      </c>
    </row>
    <row r="23" spans="1:57" x14ac:dyDescent="0.2">
      <c r="A23">
        <v>22</v>
      </c>
      <c r="B23" t="s">
        <v>11</v>
      </c>
      <c r="C23" t="s">
        <v>9</v>
      </c>
      <c r="D23" t="s">
        <v>17</v>
      </c>
      <c r="F23">
        <v>3</v>
      </c>
      <c r="G23">
        <v>1.89</v>
      </c>
      <c r="H23">
        <v>77</v>
      </c>
      <c r="I23">
        <v>11293.08</v>
      </c>
      <c r="M23">
        <v>2</v>
      </c>
      <c r="N23">
        <f t="shared" ref="N23:N24" si="33">_xlfn.QUARTILE.INC(F:F,$M23)</f>
        <v>1</v>
      </c>
      <c r="O23">
        <f t="shared" ref="O23:O24" si="34">_xlfn.QUARTILE.INC(G:G,$M23)</f>
        <v>1.68</v>
      </c>
      <c r="P23">
        <f t="shared" ref="P23:P24" si="35">_xlfn.QUARTILE.INC(H:H,$M23)</f>
        <v>85</v>
      </c>
      <c r="Q23">
        <f t="shared" ref="Q23:Q24" si="36">_xlfn.QUARTILE.INC(I:I,$M23)</f>
        <v>16010.72</v>
      </c>
      <c r="S23" t="s">
        <v>17</v>
      </c>
      <c r="T23">
        <f t="shared" si="29"/>
        <v>38</v>
      </c>
      <c r="U23" s="3">
        <f t="shared" si="30"/>
        <v>0.25165562913907286</v>
      </c>
      <c r="V23">
        <f>SUM($T$19:T23)</f>
        <v>151</v>
      </c>
      <c r="W23" s="3">
        <f>V23/$T$24</f>
        <v>1</v>
      </c>
      <c r="X23" s="3"/>
      <c r="AF23">
        <v>12</v>
      </c>
      <c r="AG23" s="8">
        <f t="shared" si="21"/>
        <v>110.58333333333337</v>
      </c>
      <c r="AH23" s="8">
        <f>AG23+$AG$8</f>
        <v>116.00000000000004</v>
      </c>
      <c r="AI23" t="str">
        <f>"[ "&amp;ROUND(AG23,1)&amp;" ; "&amp;ROUND(AH23,1)&amp;"["</f>
        <v>[ 110,6 ; 116[</v>
      </c>
      <c r="AJ23">
        <f>COUNTIFS(H:H,"&gt;="&amp;AG23,H:H,"&lt;="&amp;AH23)</f>
        <v>5</v>
      </c>
      <c r="AK23" s="3">
        <f t="shared" si="14"/>
        <v>3.3112582781456956E-2</v>
      </c>
      <c r="AL23">
        <f>SUM($AJ$12:AJ23)</f>
        <v>151</v>
      </c>
      <c r="AM23" s="3">
        <f t="shared" si="15"/>
        <v>1</v>
      </c>
      <c r="AO23">
        <v>12</v>
      </c>
      <c r="AP23" s="8">
        <f t="shared" si="22"/>
        <v>110.58333333333337</v>
      </c>
      <c r="AQ23" s="8">
        <f>AP23+$AG$8</f>
        <v>116.00000000000004</v>
      </c>
      <c r="AR23" t="str">
        <f>"[ "&amp;ROUND(AP23,1)&amp;" ; "&amp;ROUND(AQ23,1)&amp;"]"</f>
        <v>[ 110,6 ; 116]</v>
      </c>
      <c r="AS23">
        <f t="shared" si="23"/>
        <v>5</v>
      </c>
      <c r="AT23" s="3">
        <f t="shared" si="17"/>
        <v>3.3112582781456956E-2</v>
      </c>
      <c r="AU23">
        <f>SUM($AS$12:AS23)</f>
        <v>151</v>
      </c>
      <c r="AV23" s="3">
        <f t="shared" si="18"/>
        <v>1</v>
      </c>
    </row>
    <row r="24" spans="1:57" x14ac:dyDescent="0.2">
      <c r="A24">
        <v>23</v>
      </c>
      <c r="B24" t="s">
        <v>10</v>
      </c>
      <c r="C24" t="s">
        <v>6</v>
      </c>
      <c r="D24" t="s">
        <v>17</v>
      </c>
      <c r="F24">
        <v>0</v>
      </c>
      <c r="G24">
        <v>1.68</v>
      </c>
      <c r="H24">
        <v>109</v>
      </c>
      <c r="I24">
        <v>18481.91</v>
      </c>
      <c r="M24">
        <v>3</v>
      </c>
      <c r="N24">
        <f t="shared" si="33"/>
        <v>2.5</v>
      </c>
      <c r="O24">
        <f t="shared" si="34"/>
        <v>1.84</v>
      </c>
      <c r="P24">
        <f t="shared" si="35"/>
        <v>96</v>
      </c>
      <c r="Q24">
        <f t="shared" si="36"/>
        <v>22041.675000000003</v>
      </c>
      <c r="S24" t="s">
        <v>43</v>
      </c>
      <c r="T24">
        <f>SUM(T19:T23)</f>
        <v>151</v>
      </c>
      <c r="U24" s="3">
        <f>SUM(U19:U23)</f>
        <v>1</v>
      </c>
      <c r="AJ24">
        <f>SUM(AJ12:AJ23)</f>
        <v>151</v>
      </c>
      <c r="AK24" s="3">
        <f>SUM(AK12:AK23)</f>
        <v>1</v>
      </c>
      <c r="AS24">
        <f>SUM(AS12:AS23)</f>
        <v>151</v>
      </c>
      <c r="AT24" s="3">
        <f>SUM(AT12:AT23)</f>
        <v>1</v>
      </c>
    </row>
    <row r="25" spans="1:57" x14ac:dyDescent="0.2">
      <c r="A25">
        <v>24</v>
      </c>
      <c r="B25" t="s">
        <v>10</v>
      </c>
      <c r="C25" t="s">
        <v>6</v>
      </c>
      <c r="D25" t="s">
        <v>16</v>
      </c>
      <c r="F25">
        <v>1</v>
      </c>
      <c r="G25">
        <v>1.95</v>
      </c>
      <c r="H25">
        <v>103</v>
      </c>
      <c r="I25">
        <v>5005.13</v>
      </c>
    </row>
    <row r="26" spans="1:57" x14ac:dyDescent="0.2">
      <c r="A26">
        <v>25</v>
      </c>
      <c r="B26" t="s">
        <v>10</v>
      </c>
      <c r="C26" t="s">
        <v>6</v>
      </c>
      <c r="D26" t="s">
        <v>14</v>
      </c>
      <c r="F26">
        <v>1</v>
      </c>
      <c r="G26">
        <v>1.68</v>
      </c>
      <c r="H26">
        <v>114</v>
      </c>
      <c r="I26">
        <v>23537.72</v>
      </c>
    </row>
    <row r="27" spans="1:57" x14ac:dyDescent="0.2">
      <c r="A27">
        <v>26</v>
      </c>
      <c r="B27" t="s">
        <v>10</v>
      </c>
      <c r="C27" t="s">
        <v>7</v>
      </c>
      <c r="D27" t="s">
        <v>14</v>
      </c>
      <c r="F27">
        <v>2</v>
      </c>
      <c r="G27">
        <v>1.62</v>
      </c>
      <c r="H27">
        <v>65</v>
      </c>
      <c r="I27">
        <v>25362.6</v>
      </c>
      <c r="M27" t="s">
        <v>34</v>
      </c>
    </row>
    <row r="28" spans="1:57" x14ac:dyDescent="0.2">
      <c r="A28">
        <v>27</v>
      </c>
      <c r="B28" t="s">
        <v>11</v>
      </c>
      <c r="C28" t="s">
        <v>6</v>
      </c>
      <c r="D28" t="s">
        <v>16</v>
      </c>
      <c r="F28">
        <v>1</v>
      </c>
      <c r="G28">
        <v>1.81</v>
      </c>
      <c r="H28">
        <v>115</v>
      </c>
      <c r="I28">
        <v>12134.72</v>
      </c>
      <c r="M28" s="2">
        <v>0.05</v>
      </c>
      <c r="N28">
        <f>_xlfn.PERCENTILE.INC(F:F,5%)</f>
        <v>0</v>
      </c>
      <c r="O28">
        <f t="shared" ref="O28:Q28" si="37">_xlfn.PERCENTILE.INC(G:G,$M28)</f>
        <v>1.48</v>
      </c>
      <c r="P28">
        <f>_xlfn.PERCENTILE.INC(H:H,$M28)</f>
        <v>61</v>
      </c>
      <c r="Q28">
        <f t="shared" si="37"/>
        <v>3744.5549999999998</v>
      </c>
    </row>
    <row r="29" spans="1:57" x14ac:dyDescent="0.2">
      <c r="A29">
        <v>28</v>
      </c>
      <c r="B29" t="s">
        <v>10</v>
      </c>
      <c r="C29" t="s">
        <v>9</v>
      </c>
      <c r="D29" t="s">
        <v>17</v>
      </c>
      <c r="F29">
        <v>0</v>
      </c>
      <c r="G29">
        <v>1.65</v>
      </c>
      <c r="H29">
        <v>77</v>
      </c>
      <c r="I29">
        <v>27924.75</v>
      </c>
      <c r="M29" s="2">
        <v>0.1</v>
      </c>
      <c r="N29">
        <f t="shared" ref="N29:N31" si="38">_xlfn.PERCENTILE.INC(F:F,$M29)</f>
        <v>0</v>
      </c>
      <c r="O29">
        <f t="shared" ref="O29:O31" si="39">_xlfn.PERCENTILE.INC(G:G,$M29)</f>
        <v>1.5</v>
      </c>
      <c r="P29">
        <f t="shared" ref="P29:P31" si="40">_xlfn.PERCENTILE.INC(H:H,$M29)</f>
        <v>66</v>
      </c>
      <c r="Q29">
        <f t="shared" ref="Q29:Q31" si="41">_xlfn.PERCENTILE.INC(I:I,$M29)</f>
        <v>5005.13</v>
      </c>
    </row>
    <row r="30" spans="1:57" x14ac:dyDescent="0.2">
      <c r="A30">
        <v>29</v>
      </c>
      <c r="B30" t="s">
        <v>10</v>
      </c>
      <c r="C30" t="s">
        <v>6</v>
      </c>
      <c r="D30" t="s">
        <v>14</v>
      </c>
      <c r="F30">
        <v>0</v>
      </c>
      <c r="G30">
        <v>1.54</v>
      </c>
      <c r="H30">
        <v>70</v>
      </c>
      <c r="I30">
        <v>13894.14</v>
      </c>
      <c r="M30" s="2">
        <v>0.9</v>
      </c>
      <c r="N30">
        <f t="shared" si="38"/>
        <v>4</v>
      </c>
      <c r="O30">
        <f t="shared" si="39"/>
        <v>1.89</v>
      </c>
      <c r="P30">
        <f t="shared" si="40"/>
        <v>104</v>
      </c>
      <c r="Q30">
        <f t="shared" si="41"/>
        <v>25596.07</v>
      </c>
    </row>
    <row r="31" spans="1:57" x14ac:dyDescent="0.2">
      <c r="A31">
        <v>30</v>
      </c>
      <c r="B31" t="s">
        <v>10</v>
      </c>
      <c r="C31" t="s">
        <v>9</v>
      </c>
      <c r="D31" t="s">
        <v>13</v>
      </c>
      <c r="F31">
        <v>0</v>
      </c>
      <c r="G31">
        <v>1.65</v>
      </c>
      <c r="H31">
        <v>99</v>
      </c>
      <c r="I31">
        <v>10763.26</v>
      </c>
      <c r="M31" s="2">
        <v>0.95</v>
      </c>
      <c r="N31">
        <f t="shared" si="38"/>
        <v>4.5</v>
      </c>
      <c r="O31">
        <f t="shared" si="39"/>
        <v>1.93</v>
      </c>
      <c r="P31">
        <f t="shared" si="40"/>
        <v>108</v>
      </c>
      <c r="Q31">
        <f t="shared" si="41"/>
        <v>27462.514999999999</v>
      </c>
    </row>
    <row r="32" spans="1:57" x14ac:dyDescent="0.2">
      <c r="A32">
        <v>31</v>
      </c>
      <c r="B32" t="s">
        <v>10</v>
      </c>
      <c r="C32" t="s">
        <v>8</v>
      </c>
      <c r="D32" t="s">
        <v>13</v>
      </c>
      <c r="F32">
        <v>4</v>
      </c>
      <c r="G32">
        <v>1.79</v>
      </c>
      <c r="H32">
        <v>62</v>
      </c>
      <c r="I32">
        <v>23004.22</v>
      </c>
    </row>
    <row r="33" spans="1:17" x14ac:dyDescent="0.2">
      <c r="A33">
        <v>32</v>
      </c>
      <c r="B33" t="s">
        <v>12</v>
      </c>
      <c r="C33" t="s">
        <v>6</v>
      </c>
      <c r="D33" t="s">
        <v>17</v>
      </c>
      <c r="F33">
        <v>1</v>
      </c>
      <c r="G33">
        <v>1.64</v>
      </c>
      <c r="H33">
        <v>85</v>
      </c>
      <c r="I33">
        <v>20794.27</v>
      </c>
    </row>
    <row r="34" spans="1:17" x14ac:dyDescent="0.2">
      <c r="A34">
        <v>33</v>
      </c>
      <c r="B34" t="s">
        <v>11</v>
      </c>
      <c r="C34" t="s">
        <v>6</v>
      </c>
      <c r="D34" t="s">
        <v>17</v>
      </c>
      <c r="F34">
        <v>3</v>
      </c>
      <c r="G34">
        <v>1.64</v>
      </c>
      <c r="H34">
        <v>98</v>
      </c>
      <c r="I34">
        <v>15928.88</v>
      </c>
      <c r="M34" t="s">
        <v>35</v>
      </c>
      <c r="N34">
        <f>N24-N22</f>
        <v>2.5</v>
      </c>
      <c r="O34">
        <f t="shared" ref="O34:Q34" si="42">O24-O22</f>
        <v>0.2649999999999999</v>
      </c>
      <c r="P34">
        <f t="shared" si="42"/>
        <v>21</v>
      </c>
      <c r="Q34">
        <f t="shared" si="42"/>
        <v>12325.555000000004</v>
      </c>
    </row>
    <row r="35" spans="1:17" x14ac:dyDescent="0.2">
      <c r="A35">
        <v>34</v>
      </c>
      <c r="B35" t="s">
        <v>10</v>
      </c>
      <c r="C35" t="s">
        <v>9</v>
      </c>
      <c r="D35" t="s">
        <v>17</v>
      </c>
      <c r="F35">
        <v>0</v>
      </c>
      <c r="G35">
        <v>1.56</v>
      </c>
      <c r="H35">
        <v>96</v>
      </c>
      <c r="I35">
        <v>22936.33</v>
      </c>
      <c r="M35" t="s">
        <v>36</v>
      </c>
      <c r="N35">
        <f>N22-1.5*N34</f>
        <v>-3.75</v>
      </c>
      <c r="O35">
        <f t="shared" ref="O35:Q35" si="43">O22-1.5*O34</f>
        <v>1.1775000000000002</v>
      </c>
      <c r="P35">
        <f t="shared" si="43"/>
        <v>43.5</v>
      </c>
      <c r="Q35">
        <f t="shared" si="43"/>
        <v>-8772.2125000000051</v>
      </c>
    </row>
    <row r="36" spans="1:17" x14ac:dyDescent="0.2">
      <c r="A36">
        <v>35</v>
      </c>
      <c r="B36" t="s">
        <v>12</v>
      </c>
      <c r="C36" t="s">
        <v>6</v>
      </c>
      <c r="D36" t="s">
        <v>17</v>
      </c>
      <c r="E36" t="s">
        <v>23</v>
      </c>
      <c r="F36">
        <v>4</v>
      </c>
      <c r="G36">
        <v>1.81</v>
      </c>
      <c r="H36">
        <v>86</v>
      </c>
      <c r="I36">
        <v>13563.59</v>
      </c>
      <c r="M36" t="s">
        <v>37</v>
      </c>
      <c r="N36">
        <f>N24+1.5*N34</f>
        <v>6.25</v>
      </c>
      <c r="O36">
        <f t="shared" ref="O36:Q36" si="44">O24+1.5*O34</f>
        <v>2.2374999999999998</v>
      </c>
      <c r="P36">
        <f t="shared" si="44"/>
        <v>127.5</v>
      </c>
      <c r="Q36">
        <f t="shared" si="44"/>
        <v>40530.007500000007</v>
      </c>
    </row>
    <row r="37" spans="1:17" x14ac:dyDescent="0.2">
      <c r="A37">
        <v>36</v>
      </c>
      <c r="B37" t="s">
        <v>10</v>
      </c>
      <c r="C37" t="s">
        <v>6</v>
      </c>
      <c r="D37" t="s">
        <v>16</v>
      </c>
      <c r="E37" t="s">
        <v>23</v>
      </c>
      <c r="F37">
        <v>1</v>
      </c>
      <c r="G37">
        <v>1.59</v>
      </c>
      <c r="H37">
        <v>67</v>
      </c>
      <c r="I37">
        <v>16392.080000000002</v>
      </c>
      <c r="N37">
        <f>COUNTIF(F:F,"&lt;"&amp;N35)</f>
        <v>0</v>
      </c>
      <c r="O37">
        <f t="shared" ref="O37:Q37" si="45">COUNTIF(G:G,"&lt;"&amp;O35)</f>
        <v>0</v>
      </c>
      <c r="P37">
        <f t="shared" si="45"/>
        <v>0</v>
      </c>
      <c r="Q37">
        <f t="shared" si="45"/>
        <v>0</v>
      </c>
    </row>
    <row r="38" spans="1:17" x14ac:dyDescent="0.2">
      <c r="A38">
        <v>37</v>
      </c>
      <c r="B38" t="s">
        <v>10</v>
      </c>
      <c r="C38" t="s">
        <v>6</v>
      </c>
      <c r="D38" t="s">
        <v>17</v>
      </c>
      <c r="E38" t="s">
        <v>23</v>
      </c>
      <c r="F38">
        <v>1</v>
      </c>
      <c r="G38">
        <v>1.86</v>
      </c>
      <c r="H38">
        <v>104</v>
      </c>
      <c r="I38">
        <v>8711.65</v>
      </c>
      <c r="N38">
        <f>COUNTIF(F:F,"&gt;"&amp;N36)</f>
        <v>0</v>
      </c>
      <c r="O38">
        <f t="shared" ref="O38:Q38" si="46">COUNTIF(G:G,"&gt;"&amp;O36)</f>
        <v>0</v>
      </c>
      <c r="P38">
        <f t="shared" si="46"/>
        <v>0</v>
      </c>
      <c r="Q38">
        <f t="shared" si="46"/>
        <v>0</v>
      </c>
    </row>
    <row r="39" spans="1:17" x14ac:dyDescent="0.2">
      <c r="A39">
        <v>38</v>
      </c>
      <c r="B39" t="s">
        <v>10</v>
      </c>
      <c r="C39" t="s">
        <v>6</v>
      </c>
      <c r="D39" t="s">
        <v>16</v>
      </c>
      <c r="E39" t="s">
        <v>22</v>
      </c>
      <c r="F39">
        <v>1</v>
      </c>
      <c r="G39">
        <v>1.71</v>
      </c>
      <c r="H39">
        <v>60</v>
      </c>
      <c r="I39">
        <v>6301.68</v>
      </c>
    </row>
    <row r="40" spans="1:17" x14ac:dyDescent="0.2">
      <c r="A40">
        <v>39</v>
      </c>
      <c r="B40" t="s">
        <v>10</v>
      </c>
      <c r="C40" t="s">
        <v>6</v>
      </c>
      <c r="D40" t="s">
        <v>17</v>
      </c>
      <c r="E40" t="s">
        <v>23</v>
      </c>
      <c r="F40">
        <v>0</v>
      </c>
      <c r="G40">
        <v>1.71</v>
      </c>
      <c r="H40">
        <v>69</v>
      </c>
      <c r="I40">
        <v>21323.17</v>
      </c>
    </row>
    <row r="41" spans="1:17" x14ac:dyDescent="0.2">
      <c r="A41">
        <v>40</v>
      </c>
      <c r="B41" t="s">
        <v>10</v>
      </c>
      <c r="C41" t="s">
        <v>6</v>
      </c>
      <c r="D41" t="s">
        <v>17</v>
      </c>
      <c r="E41" t="s">
        <v>23</v>
      </c>
      <c r="F41">
        <v>1</v>
      </c>
      <c r="G41">
        <v>1.57</v>
      </c>
      <c r="H41">
        <v>83</v>
      </c>
      <c r="I41">
        <v>18619.73</v>
      </c>
    </row>
    <row r="42" spans="1:17" x14ac:dyDescent="0.2">
      <c r="A42">
        <v>41</v>
      </c>
      <c r="B42" t="s">
        <v>12</v>
      </c>
      <c r="C42" t="s">
        <v>6</v>
      </c>
      <c r="D42" t="s">
        <v>16</v>
      </c>
      <c r="E42" t="s">
        <v>23</v>
      </c>
      <c r="F42">
        <v>2</v>
      </c>
      <c r="G42">
        <v>1.89</v>
      </c>
      <c r="H42">
        <v>72</v>
      </c>
      <c r="I42">
        <v>13291.01</v>
      </c>
    </row>
    <row r="43" spans="1:17" x14ac:dyDescent="0.2">
      <c r="A43">
        <v>42</v>
      </c>
      <c r="B43" t="s">
        <v>11</v>
      </c>
      <c r="C43" t="s">
        <v>9</v>
      </c>
      <c r="D43" t="s">
        <v>13</v>
      </c>
      <c r="E43" t="s">
        <v>23</v>
      </c>
      <c r="F43">
        <v>1</v>
      </c>
      <c r="G43">
        <v>1.89</v>
      </c>
      <c r="H43">
        <v>73</v>
      </c>
      <c r="I43">
        <v>18236.96</v>
      </c>
    </row>
    <row r="44" spans="1:17" x14ac:dyDescent="0.2">
      <c r="A44">
        <v>43</v>
      </c>
      <c r="B44" t="s">
        <v>12</v>
      </c>
      <c r="C44" t="s">
        <v>9</v>
      </c>
      <c r="D44" t="s">
        <v>16</v>
      </c>
      <c r="E44" t="s">
        <v>24</v>
      </c>
      <c r="F44">
        <v>0</v>
      </c>
      <c r="G44">
        <v>1.85</v>
      </c>
      <c r="H44">
        <v>102</v>
      </c>
      <c r="I44">
        <v>23158.799999999999</v>
      </c>
    </row>
    <row r="45" spans="1:17" x14ac:dyDescent="0.2">
      <c r="A45">
        <v>44</v>
      </c>
      <c r="B45" t="s">
        <v>10</v>
      </c>
      <c r="C45" t="s">
        <v>9</v>
      </c>
      <c r="D45" t="s">
        <v>17</v>
      </c>
      <c r="E45" t="s">
        <v>23</v>
      </c>
      <c r="F45">
        <v>0</v>
      </c>
      <c r="G45">
        <v>1.85</v>
      </c>
      <c r="H45">
        <v>86</v>
      </c>
      <c r="I45">
        <v>21780.25</v>
      </c>
    </row>
    <row r="46" spans="1:17" x14ac:dyDescent="0.2">
      <c r="A46">
        <v>45</v>
      </c>
      <c r="B46" t="s">
        <v>10</v>
      </c>
      <c r="C46" t="s">
        <v>8</v>
      </c>
      <c r="D46" t="s">
        <v>14</v>
      </c>
      <c r="E46" t="s">
        <v>23</v>
      </c>
      <c r="F46">
        <v>1</v>
      </c>
      <c r="G46">
        <v>1.68</v>
      </c>
      <c r="H46">
        <v>80</v>
      </c>
      <c r="I46">
        <v>16259</v>
      </c>
    </row>
    <row r="47" spans="1:17" x14ac:dyDescent="0.2">
      <c r="A47">
        <v>46</v>
      </c>
      <c r="B47" t="s">
        <v>10</v>
      </c>
      <c r="C47" t="s">
        <v>7</v>
      </c>
      <c r="D47" t="s">
        <v>16</v>
      </c>
      <c r="E47" t="s">
        <v>23</v>
      </c>
      <c r="F47">
        <v>4</v>
      </c>
      <c r="G47">
        <v>1.64</v>
      </c>
      <c r="H47">
        <v>85</v>
      </c>
      <c r="I47">
        <v>17671.28</v>
      </c>
    </row>
    <row r="48" spans="1:17" x14ac:dyDescent="0.2">
      <c r="A48">
        <v>47</v>
      </c>
      <c r="B48" t="s">
        <v>10</v>
      </c>
      <c r="C48" t="s">
        <v>6</v>
      </c>
      <c r="D48" t="s">
        <v>14</v>
      </c>
      <c r="E48" t="s">
        <v>23</v>
      </c>
      <c r="F48">
        <v>0</v>
      </c>
      <c r="G48">
        <v>1.81</v>
      </c>
      <c r="H48">
        <v>108</v>
      </c>
      <c r="I48">
        <v>9628.33</v>
      </c>
    </row>
    <row r="49" spans="1:9" x14ac:dyDescent="0.2">
      <c r="A49">
        <v>48</v>
      </c>
      <c r="B49" t="s">
        <v>10</v>
      </c>
      <c r="C49" t="s">
        <v>6</v>
      </c>
      <c r="D49" t="s">
        <v>15</v>
      </c>
      <c r="E49" t="s">
        <v>22</v>
      </c>
      <c r="F49">
        <v>0</v>
      </c>
      <c r="G49">
        <v>1.89</v>
      </c>
      <c r="H49">
        <v>74</v>
      </c>
      <c r="I49">
        <v>3917.69</v>
      </c>
    </row>
    <row r="50" spans="1:9" x14ac:dyDescent="0.2">
      <c r="A50">
        <v>49</v>
      </c>
      <c r="B50" t="s">
        <v>10</v>
      </c>
      <c r="C50" t="s">
        <v>9</v>
      </c>
      <c r="D50" t="s">
        <v>17</v>
      </c>
      <c r="E50" t="s">
        <v>23</v>
      </c>
      <c r="F50">
        <v>2</v>
      </c>
      <c r="G50">
        <v>1.77</v>
      </c>
      <c r="H50">
        <v>77</v>
      </c>
      <c r="I50">
        <v>13610.98</v>
      </c>
    </row>
    <row r="51" spans="1:9" x14ac:dyDescent="0.2">
      <c r="A51">
        <v>50</v>
      </c>
      <c r="B51" t="s">
        <v>11</v>
      </c>
      <c r="C51" t="s">
        <v>9</v>
      </c>
      <c r="D51" t="s">
        <v>16</v>
      </c>
      <c r="E51" t="s">
        <v>23</v>
      </c>
      <c r="F51">
        <v>0</v>
      </c>
      <c r="G51">
        <v>1.85</v>
      </c>
      <c r="H51">
        <v>93</v>
      </c>
      <c r="I51">
        <v>9803.91</v>
      </c>
    </row>
    <row r="52" spans="1:9" x14ac:dyDescent="0.2">
      <c r="A52">
        <v>51</v>
      </c>
      <c r="B52" t="s">
        <v>11</v>
      </c>
      <c r="C52" t="s">
        <v>9</v>
      </c>
      <c r="D52" t="s">
        <v>16</v>
      </c>
      <c r="E52" t="s">
        <v>22</v>
      </c>
      <c r="F52">
        <v>1</v>
      </c>
      <c r="G52">
        <v>1.85</v>
      </c>
      <c r="H52">
        <v>89</v>
      </c>
      <c r="I52">
        <v>2550.29</v>
      </c>
    </row>
    <row r="53" spans="1:9" x14ac:dyDescent="0.2">
      <c r="A53">
        <v>52</v>
      </c>
      <c r="B53" t="s">
        <v>12</v>
      </c>
      <c r="C53" t="s">
        <v>6</v>
      </c>
      <c r="D53" t="s">
        <v>15</v>
      </c>
      <c r="E53" t="s">
        <v>24</v>
      </c>
      <c r="F53">
        <v>1</v>
      </c>
      <c r="G53">
        <v>1.86</v>
      </c>
      <c r="H53">
        <v>104</v>
      </c>
      <c r="I53">
        <v>24379.18</v>
      </c>
    </row>
    <row r="54" spans="1:9" x14ac:dyDescent="0.2">
      <c r="A54">
        <v>53</v>
      </c>
      <c r="B54" t="s">
        <v>10</v>
      </c>
      <c r="C54" t="s">
        <v>6</v>
      </c>
      <c r="D54" t="s">
        <v>14</v>
      </c>
      <c r="E54" t="s">
        <v>23</v>
      </c>
      <c r="F54">
        <v>0</v>
      </c>
      <c r="G54">
        <v>1.52</v>
      </c>
      <c r="H54">
        <v>70</v>
      </c>
      <c r="I54">
        <v>16286.17</v>
      </c>
    </row>
    <row r="55" spans="1:9" x14ac:dyDescent="0.2">
      <c r="A55">
        <v>54</v>
      </c>
      <c r="B55" t="s">
        <v>10</v>
      </c>
      <c r="C55" t="s">
        <v>6</v>
      </c>
      <c r="D55" t="s">
        <v>17</v>
      </c>
      <c r="E55" t="s">
        <v>23</v>
      </c>
      <c r="F55">
        <v>3</v>
      </c>
      <c r="G55">
        <v>1.84</v>
      </c>
      <c r="H55">
        <v>104</v>
      </c>
      <c r="I55">
        <v>17693.71</v>
      </c>
    </row>
    <row r="56" spans="1:9" x14ac:dyDescent="0.2">
      <c r="A56">
        <v>55</v>
      </c>
      <c r="B56" t="s">
        <v>10</v>
      </c>
      <c r="C56" t="s">
        <v>6</v>
      </c>
      <c r="D56" t="s">
        <v>16</v>
      </c>
      <c r="E56" t="s">
        <v>23</v>
      </c>
      <c r="F56">
        <v>4</v>
      </c>
      <c r="G56">
        <v>1.85</v>
      </c>
      <c r="H56">
        <v>93</v>
      </c>
      <c r="I56">
        <v>8637.56</v>
      </c>
    </row>
    <row r="57" spans="1:9" x14ac:dyDescent="0.2">
      <c r="A57">
        <v>56</v>
      </c>
      <c r="B57" t="s">
        <v>11</v>
      </c>
      <c r="C57" t="s">
        <v>8</v>
      </c>
      <c r="D57" t="s">
        <v>17</v>
      </c>
      <c r="E57" t="s">
        <v>23</v>
      </c>
      <c r="F57">
        <v>2</v>
      </c>
      <c r="G57">
        <v>1.57</v>
      </c>
      <c r="H57">
        <v>88</v>
      </c>
      <c r="I57">
        <v>11416.82</v>
      </c>
    </row>
    <row r="58" spans="1:9" x14ac:dyDescent="0.2">
      <c r="A58">
        <v>57</v>
      </c>
      <c r="B58" t="s">
        <v>12</v>
      </c>
      <c r="C58" t="s">
        <v>6</v>
      </c>
      <c r="D58" t="s">
        <v>15</v>
      </c>
      <c r="E58" t="s">
        <v>22</v>
      </c>
      <c r="F58">
        <v>1</v>
      </c>
      <c r="G58">
        <v>1.64</v>
      </c>
      <c r="H58">
        <v>81</v>
      </c>
      <c r="I58">
        <v>2895.87</v>
      </c>
    </row>
    <row r="59" spans="1:9" x14ac:dyDescent="0.2">
      <c r="A59">
        <v>58</v>
      </c>
      <c r="B59" t="s">
        <v>10</v>
      </c>
      <c r="C59" t="s">
        <v>9</v>
      </c>
      <c r="D59" t="s">
        <v>17</v>
      </c>
      <c r="E59" t="s">
        <v>24</v>
      </c>
      <c r="F59">
        <v>1</v>
      </c>
      <c r="G59">
        <v>1.52</v>
      </c>
      <c r="H59">
        <v>84</v>
      </c>
      <c r="I59">
        <v>22415.5</v>
      </c>
    </row>
    <row r="60" spans="1:9" x14ac:dyDescent="0.2">
      <c r="A60">
        <v>59</v>
      </c>
      <c r="B60" t="s">
        <v>10</v>
      </c>
      <c r="C60" t="s">
        <v>6</v>
      </c>
      <c r="D60" t="s">
        <v>17</v>
      </c>
      <c r="E60" t="s">
        <v>24</v>
      </c>
      <c r="F60">
        <v>2</v>
      </c>
      <c r="G60">
        <v>1.64</v>
      </c>
      <c r="H60">
        <v>64</v>
      </c>
      <c r="I60">
        <v>26368.97</v>
      </c>
    </row>
    <row r="61" spans="1:9" x14ac:dyDescent="0.2">
      <c r="A61">
        <v>60</v>
      </c>
      <c r="B61" t="s">
        <v>10</v>
      </c>
      <c r="C61" t="s">
        <v>9</v>
      </c>
      <c r="D61" t="s">
        <v>14</v>
      </c>
      <c r="E61" t="s">
        <v>24</v>
      </c>
      <c r="F61">
        <v>2</v>
      </c>
      <c r="G61">
        <v>1.86</v>
      </c>
      <c r="H61">
        <v>71</v>
      </c>
      <c r="I61">
        <v>25596.07</v>
      </c>
    </row>
    <row r="62" spans="1:9" x14ac:dyDescent="0.2">
      <c r="A62">
        <v>61</v>
      </c>
      <c r="B62" t="s">
        <v>11</v>
      </c>
      <c r="C62" t="s">
        <v>9</v>
      </c>
      <c r="D62" t="s">
        <v>15</v>
      </c>
      <c r="E62" t="s">
        <v>23</v>
      </c>
      <c r="F62">
        <v>1</v>
      </c>
      <c r="G62">
        <v>1.93</v>
      </c>
      <c r="H62">
        <v>76</v>
      </c>
      <c r="I62">
        <v>12088.03</v>
      </c>
    </row>
    <row r="63" spans="1:9" x14ac:dyDescent="0.2">
      <c r="A63">
        <v>62</v>
      </c>
      <c r="B63" t="s">
        <v>10</v>
      </c>
      <c r="C63" t="s">
        <v>6</v>
      </c>
      <c r="D63" t="s">
        <v>16</v>
      </c>
      <c r="E63" t="s">
        <v>23</v>
      </c>
      <c r="F63">
        <v>0</v>
      </c>
      <c r="G63">
        <v>1.64</v>
      </c>
      <c r="H63">
        <v>75</v>
      </c>
      <c r="I63">
        <v>16150.39</v>
      </c>
    </row>
    <row r="64" spans="1:9" x14ac:dyDescent="0.2">
      <c r="A64">
        <v>63</v>
      </c>
      <c r="B64" t="s">
        <v>12</v>
      </c>
      <c r="C64" t="s">
        <v>9</v>
      </c>
      <c r="D64" t="s">
        <v>16</v>
      </c>
      <c r="E64" t="s">
        <v>23</v>
      </c>
      <c r="F64">
        <v>1</v>
      </c>
      <c r="G64">
        <v>1.64</v>
      </c>
      <c r="H64">
        <v>84</v>
      </c>
      <c r="I64">
        <v>16268.74</v>
      </c>
    </row>
    <row r="65" spans="1:9" x14ac:dyDescent="0.2">
      <c r="A65">
        <v>64</v>
      </c>
      <c r="B65" t="s">
        <v>11</v>
      </c>
      <c r="C65" t="s">
        <v>6</v>
      </c>
      <c r="D65" t="s">
        <v>16</v>
      </c>
      <c r="E65" t="s">
        <v>24</v>
      </c>
      <c r="F65">
        <v>0</v>
      </c>
      <c r="G65">
        <v>1.64</v>
      </c>
      <c r="H65">
        <v>75</v>
      </c>
      <c r="I65">
        <v>22792.63</v>
      </c>
    </row>
    <row r="66" spans="1:9" x14ac:dyDescent="0.2">
      <c r="A66">
        <v>65</v>
      </c>
      <c r="B66" t="s">
        <v>10</v>
      </c>
      <c r="C66" t="s">
        <v>6</v>
      </c>
      <c r="D66" t="s">
        <v>16</v>
      </c>
      <c r="E66" t="s">
        <v>22</v>
      </c>
      <c r="F66">
        <v>0</v>
      </c>
      <c r="G66">
        <v>1.6</v>
      </c>
      <c r="H66">
        <v>97</v>
      </c>
      <c r="I66">
        <v>2367.7600000000002</v>
      </c>
    </row>
    <row r="67" spans="1:9" x14ac:dyDescent="0.2">
      <c r="A67">
        <v>66</v>
      </c>
      <c r="B67" t="s">
        <v>11</v>
      </c>
      <c r="C67" t="s">
        <v>6</v>
      </c>
      <c r="D67" t="s">
        <v>17</v>
      </c>
      <c r="E67" t="s">
        <v>24</v>
      </c>
      <c r="F67">
        <v>4</v>
      </c>
      <c r="G67">
        <v>1.67</v>
      </c>
      <c r="H67">
        <v>66</v>
      </c>
      <c r="I67">
        <v>28464.22</v>
      </c>
    </row>
    <row r="68" spans="1:9" x14ac:dyDescent="0.2">
      <c r="A68">
        <v>67</v>
      </c>
      <c r="B68" t="s">
        <v>10</v>
      </c>
      <c r="C68" t="s">
        <v>6</v>
      </c>
      <c r="D68" t="s">
        <v>17</v>
      </c>
      <c r="E68" t="s">
        <v>23</v>
      </c>
      <c r="F68">
        <v>0</v>
      </c>
      <c r="G68">
        <v>1.55</v>
      </c>
      <c r="H68">
        <v>52</v>
      </c>
      <c r="I68">
        <v>13609.96</v>
      </c>
    </row>
    <row r="69" spans="1:9" x14ac:dyDescent="0.2">
      <c r="A69">
        <v>68</v>
      </c>
      <c r="B69" t="s">
        <v>12</v>
      </c>
      <c r="C69" t="s">
        <v>6</v>
      </c>
      <c r="D69" t="s">
        <v>14</v>
      </c>
      <c r="E69" t="s">
        <v>24</v>
      </c>
      <c r="F69">
        <v>0</v>
      </c>
      <c r="G69">
        <v>1.86</v>
      </c>
      <c r="H69">
        <v>96</v>
      </c>
      <c r="I69">
        <v>25212.13</v>
      </c>
    </row>
    <row r="70" spans="1:9" x14ac:dyDescent="0.2">
      <c r="A70">
        <v>69</v>
      </c>
      <c r="B70" t="s">
        <v>10</v>
      </c>
      <c r="C70" t="s">
        <v>6</v>
      </c>
      <c r="D70" t="s">
        <v>16</v>
      </c>
      <c r="E70" t="s">
        <v>24</v>
      </c>
      <c r="F70">
        <v>1</v>
      </c>
      <c r="G70">
        <v>1.5</v>
      </c>
      <c r="H70">
        <v>75</v>
      </c>
      <c r="I70">
        <v>24032.27</v>
      </c>
    </row>
    <row r="71" spans="1:9" x14ac:dyDescent="0.2">
      <c r="A71">
        <v>70</v>
      </c>
      <c r="B71" t="s">
        <v>10</v>
      </c>
      <c r="C71" t="s">
        <v>6</v>
      </c>
      <c r="D71" t="s">
        <v>17</v>
      </c>
      <c r="E71" t="s">
        <v>23</v>
      </c>
      <c r="F71">
        <v>1</v>
      </c>
      <c r="G71">
        <v>1.57</v>
      </c>
      <c r="H71">
        <v>101</v>
      </c>
      <c r="I71">
        <v>11782.57</v>
      </c>
    </row>
    <row r="72" spans="1:9" x14ac:dyDescent="0.2">
      <c r="A72">
        <v>71</v>
      </c>
      <c r="B72" t="s">
        <v>12</v>
      </c>
      <c r="C72" t="s">
        <v>8</v>
      </c>
      <c r="D72" t="s">
        <v>17</v>
      </c>
      <c r="E72" t="s">
        <v>23</v>
      </c>
      <c r="F72">
        <v>1</v>
      </c>
      <c r="G72">
        <v>1.5</v>
      </c>
      <c r="H72">
        <v>59</v>
      </c>
      <c r="I72">
        <v>13616.13</v>
      </c>
    </row>
    <row r="73" spans="1:9" x14ac:dyDescent="0.2">
      <c r="A73">
        <v>72</v>
      </c>
      <c r="B73" t="s">
        <v>11</v>
      </c>
      <c r="C73" t="s">
        <v>6</v>
      </c>
      <c r="D73" t="s">
        <v>15</v>
      </c>
      <c r="E73" t="s">
        <v>24</v>
      </c>
      <c r="F73">
        <v>2</v>
      </c>
      <c r="G73">
        <v>1.5</v>
      </c>
      <c r="H73">
        <v>115</v>
      </c>
      <c r="I73">
        <v>27283.59</v>
      </c>
    </row>
    <row r="74" spans="1:9" x14ac:dyDescent="0.2">
      <c r="A74">
        <v>73</v>
      </c>
      <c r="B74" t="s">
        <v>10</v>
      </c>
      <c r="C74" t="s">
        <v>6</v>
      </c>
      <c r="D74" t="s">
        <v>15</v>
      </c>
      <c r="E74" t="s">
        <v>22</v>
      </c>
      <c r="F74">
        <v>1</v>
      </c>
      <c r="G74">
        <v>1.85</v>
      </c>
      <c r="H74">
        <v>87</v>
      </c>
      <c r="I74">
        <v>5966.55</v>
      </c>
    </row>
    <row r="75" spans="1:9" x14ac:dyDescent="0.2">
      <c r="A75">
        <v>74</v>
      </c>
      <c r="B75" t="s">
        <v>10</v>
      </c>
      <c r="C75" t="s">
        <v>9</v>
      </c>
      <c r="D75" t="s">
        <v>16</v>
      </c>
      <c r="E75" t="s">
        <v>22</v>
      </c>
      <c r="F75">
        <v>4</v>
      </c>
      <c r="G75">
        <v>1.83</v>
      </c>
      <c r="H75">
        <v>61</v>
      </c>
      <c r="I75">
        <v>3659.43</v>
      </c>
    </row>
    <row r="76" spans="1:9" x14ac:dyDescent="0.2">
      <c r="A76">
        <v>75</v>
      </c>
      <c r="B76" t="s">
        <v>12</v>
      </c>
      <c r="C76" t="s">
        <v>9</v>
      </c>
      <c r="D76" t="s">
        <v>16</v>
      </c>
      <c r="E76" t="s">
        <v>24</v>
      </c>
      <c r="F76">
        <v>1</v>
      </c>
      <c r="G76">
        <v>1.5</v>
      </c>
      <c r="H76">
        <v>78</v>
      </c>
      <c r="I76">
        <v>28670.94</v>
      </c>
    </row>
    <row r="77" spans="1:9" x14ac:dyDescent="0.2">
      <c r="A77">
        <v>76</v>
      </c>
      <c r="B77" t="s">
        <v>10</v>
      </c>
      <c r="C77" t="s">
        <v>7</v>
      </c>
      <c r="D77" t="s">
        <v>17</v>
      </c>
      <c r="E77" t="s">
        <v>23</v>
      </c>
      <c r="F77">
        <v>0</v>
      </c>
      <c r="G77">
        <v>1.85</v>
      </c>
      <c r="H77">
        <v>79</v>
      </c>
      <c r="I77">
        <v>12464.67</v>
      </c>
    </row>
    <row r="78" spans="1:9" x14ac:dyDescent="0.2">
      <c r="A78">
        <v>77</v>
      </c>
      <c r="B78" t="s">
        <v>11</v>
      </c>
      <c r="C78" t="s">
        <v>6</v>
      </c>
      <c r="D78" t="s">
        <v>14</v>
      </c>
      <c r="E78" t="s">
        <v>24</v>
      </c>
      <c r="F78">
        <v>4</v>
      </c>
      <c r="G78">
        <v>1.85</v>
      </c>
      <c r="H78">
        <v>79</v>
      </c>
      <c r="I78">
        <v>27312.12</v>
      </c>
    </row>
    <row r="79" spans="1:9" x14ac:dyDescent="0.2">
      <c r="A79">
        <v>78</v>
      </c>
      <c r="B79" t="s">
        <v>11</v>
      </c>
      <c r="C79" t="s">
        <v>9</v>
      </c>
      <c r="D79" t="s">
        <v>15</v>
      </c>
      <c r="E79" t="s">
        <v>23</v>
      </c>
      <c r="F79">
        <v>4</v>
      </c>
      <c r="G79">
        <v>1.85</v>
      </c>
      <c r="H79">
        <v>79</v>
      </c>
      <c r="I79">
        <v>10335.290000000001</v>
      </c>
    </row>
    <row r="80" spans="1:9" x14ac:dyDescent="0.2">
      <c r="A80">
        <v>79</v>
      </c>
      <c r="B80" t="s">
        <v>10</v>
      </c>
      <c r="C80" t="s">
        <v>6</v>
      </c>
      <c r="D80" t="s">
        <v>14</v>
      </c>
      <c r="E80" t="s">
        <v>22</v>
      </c>
      <c r="F80">
        <v>0</v>
      </c>
      <c r="G80">
        <v>1.81</v>
      </c>
      <c r="H80">
        <v>108</v>
      </c>
      <c r="I80">
        <v>5111.29</v>
      </c>
    </row>
    <row r="81" spans="1:9" x14ac:dyDescent="0.2">
      <c r="A81">
        <v>80</v>
      </c>
      <c r="B81" t="s">
        <v>10</v>
      </c>
      <c r="C81" t="s">
        <v>8</v>
      </c>
      <c r="D81" t="s">
        <v>14</v>
      </c>
      <c r="E81" t="s">
        <v>22</v>
      </c>
      <c r="F81">
        <v>0</v>
      </c>
      <c r="G81">
        <v>1.85</v>
      </c>
      <c r="H81">
        <v>102</v>
      </c>
      <c r="I81">
        <v>3539.11</v>
      </c>
    </row>
    <row r="82" spans="1:9" x14ac:dyDescent="0.2">
      <c r="A82">
        <v>81</v>
      </c>
      <c r="B82" t="s">
        <v>10</v>
      </c>
      <c r="C82" t="s">
        <v>8</v>
      </c>
      <c r="D82" t="s">
        <v>14</v>
      </c>
      <c r="E82" t="s">
        <v>23</v>
      </c>
      <c r="F82">
        <v>3</v>
      </c>
      <c r="G82">
        <v>1.64</v>
      </c>
      <c r="H82">
        <v>89</v>
      </c>
      <c r="I82">
        <v>17498.28</v>
      </c>
    </row>
    <row r="83" spans="1:9" x14ac:dyDescent="0.2">
      <c r="A83">
        <v>82</v>
      </c>
      <c r="B83" t="s">
        <v>10</v>
      </c>
      <c r="C83" t="s">
        <v>6</v>
      </c>
      <c r="D83" t="s">
        <v>17</v>
      </c>
      <c r="E83" t="s">
        <v>23</v>
      </c>
      <c r="F83">
        <v>4</v>
      </c>
      <c r="G83">
        <v>1.81</v>
      </c>
      <c r="H83">
        <v>93</v>
      </c>
      <c r="I83">
        <v>16330.9</v>
      </c>
    </row>
    <row r="84" spans="1:9" x14ac:dyDescent="0.2">
      <c r="A84">
        <v>83</v>
      </c>
      <c r="B84" t="s">
        <v>10</v>
      </c>
      <c r="C84" t="s">
        <v>6</v>
      </c>
      <c r="D84" t="s">
        <v>16</v>
      </c>
      <c r="E84" t="s">
        <v>23</v>
      </c>
      <c r="F84">
        <v>0</v>
      </c>
      <c r="G84">
        <v>1.84</v>
      </c>
      <c r="H84">
        <v>67</v>
      </c>
      <c r="I84">
        <v>16581.3</v>
      </c>
    </row>
    <row r="85" spans="1:9" x14ac:dyDescent="0.2">
      <c r="A85">
        <v>84</v>
      </c>
      <c r="B85" t="s">
        <v>10</v>
      </c>
      <c r="C85" t="s">
        <v>6</v>
      </c>
      <c r="D85" t="s">
        <v>17</v>
      </c>
      <c r="E85" t="s">
        <v>22</v>
      </c>
      <c r="F85">
        <v>0</v>
      </c>
      <c r="G85">
        <v>1.8</v>
      </c>
      <c r="H85">
        <v>99</v>
      </c>
      <c r="I85">
        <v>3629.07</v>
      </c>
    </row>
    <row r="86" spans="1:9" x14ac:dyDescent="0.2">
      <c r="A86">
        <v>85</v>
      </c>
      <c r="B86" t="s">
        <v>11</v>
      </c>
      <c r="C86" t="s">
        <v>9</v>
      </c>
      <c r="D86" t="s">
        <v>17</v>
      </c>
      <c r="E86" t="s">
        <v>24</v>
      </c>
      <c r="F86">
        <v>1</v>
      </c>
      <c r="G86">
        <v>1.5</v>
      </c>
      <c r="H86">
        <v>93</v>
      </c>
      <c r="I86">
        <v>26408.14</v>
      </c>
    </row>
    <row r="87" spans="1:9" x14ac:dyDescent="0.2">
      <c r="A87">
        <v>86</v>
      </c>
      <c r="B87" t="s">
        <v>10</v>
      </c>
      <c r="C87" t="s">
        <v>6</v>
      </c>
      <c r="D87" t="s">
        <v>16</v>
      </c>
      <c r="E87" t="s">
        <v>22</v>
      </c>
      <c r="F87">
        <v>1</v>
      </c>
      <c r="G87">
        <v>1.5</v>
      </c>
      <c r="H87">
        <v>56</v>
      </c>
      <c r="I87">
        <v>3829.68</v>
      </c>
    </row>
    <row r="88" spans="1:9" x14ac:dyDescent="0.2">
      <c r="A88">
        <v>87</v>
      </c>
      <c r="B88" t="s">
        <v>10</v>
      </c>
      <c r="C88" t="s">
        <v>6</v>
      </c>
      <c r="D88" t="s">
        <v>16</v>
      </c>
      <c r="E88" t="s">
        <v>24</v>
      </c>
      <c r="F88">
        <v>2</v>
      </c>
      <c r="G88">
        <v>1.84</v>
      </c>
      <c r="H88">
        <v>69</v>
      </c>
      <c r="I88">
        <v>25871.56</v>
      </c>
    </row>
    <row r="89" spans="1:9" x14ac:dyDescent="0.2">
      <c r="A89">
        <v>88</v>
      </c>
      <c r="B89" t="s">
        <v>12</v>
      </c>
      <c r="C89" t="s">
        <v>6</v>
      </c>
      <c r="D89" t="s">
        <v>17</v>
      </c>
      <c r="E89" t="s">
        <v>24</v>
      </c>
      <c r="F89">
        <v>4</v>
      </c>
      <c r="G89">
        <v>1.77</v>
      </c>
      <c r="H89">
        <v>84</v>
      </c>
      <c r="I89">
        <v>29289.82</v>
      </c>
    </row>
    <row r="90" spans="1:9" x14ac:dyDescent="0.2">
      <c r="A90">
        <v>89</v>
      </c>
      <c r="B90" t="s">
        <v>11</v>
      </c>
      <c r="C90" t="s">
        <v>7</v>
      </c>
      <c r="D90" t="s">
        <v>13</v>
      </c>
      <c r="E90" t="s">
        <v>24</v>
      </c>
      <c r="F90">
        <v>1</v>
      </c>
      <c r="G90">
        <v>2</v>
      </c>
      <c r="H90">
        <v>96</v>
      </c>
      <c r="I90">
        <v>24524.87</v>
      </c>
    </row>
    <row r="91" spans="1:9" x14ac:dyDescent="0.2">
      <c r="A91">
        <v>90</v>
      </c>
      <c r="B91" t="s">
        <v>10</v>
      </c>
      <c r="C91" t="s">
        <v>7</v>
      </c>
      <c r="D91" t="s">
        <v>14</v>
      </c>
      <c r="E91" t="s">
        <v>23</v>
      </c>
      <c r="F91">
        <v>2</v>
      </c>
      <c r="G91">
        <v>1.61</v>
      </c>
      <c r="H91">
        <v>61</v>
      </c>
      <c r="I91">
        <v>11912.94</v>
      </c>
    </row>
    <row r="92" spans="1:9" x14ac:dyDescent="0.2">
      <c r="A92">
        <v>91</v>
      </c>
      <c r="B92" t="s">
        <v>11</v>
      </c>
      <c r="C92" t="s">
        <v>6</v>
      </c>
      <c r="D92" t="s">
        <v>17</v>
      </c>
      <c r="E92" t="s">
        <v>23</v>
      </c>
      <c r="F92">
        <v>4</v>
      </c>
      <c r="G92">
        <v>1.9</v>
      </c>
      <c r="H92">
        <v>86</v>
      </c>
      <c r="I92">
        <v>8820.7900000000009</v>
      </c>
    </row>
    <row r="93" spans="1:9" x14ac:dyDescent="0.2">
      <c r="A93">
        <v>92</v>
      </c>
      <c r="B93" t="s">
        <v>10</v>
      </c>
      <c r="C93" t="s">
        <v>9</v>
      </c>
      <c r="D93" t="s">
        <v>13</v>
      </c>
      <c r="E93" t="s">
        <v>23</v>
      </c>
      <c r="F93">
        <v>0</v>
      </c>
      <c r="G93">
        <v>1.84</v>
      </c>
      <c r="H93">
        <v>87</v>
      </c>
      <c r="I93">
        <v>14307.56</v>
      </c>
    </row>
    <row r="94" spans="1:9" x14ac:dyDescent="0.2">
      <c r="A94">
        <v>93</v>
      </c>
      <c r="B94" t="s">
        <v>10</v>
      </c>
      <c r="C94" t="s">
        <v>6</v>
      </c>
      <c r="D94" t="s">
        <v>16</v>
      </c>
      <c r="E94" t="s">
        <v>23</v>
      </c>
      <c r="F94">
        <v>3</v>
      </c>
      <c r="G94">
        <v>1.84</v>
      </c>
      <c r="H94">
        <v>79</v>
      </c>
      <c r="I94">
        <v>9388.7900000000009</v>
      </c>
    </row>
    <row r="95" spans="1:9" x14ac:dyDescent="0.2">
      <c r="A95">
        <v>94</v>
      </c>
      <c r="B95" t="s">
        <v>10</v>
      </c>
      <c r="C95" t="s">
        <v>9</v>
      </c>
      <c r="D95" t="s">
        <v>17</v>
      </c>
      <c r="E95" t="s">
        <v>23</v>
      </c>
      <c r="F95">
        <v>4</v>
      </c>
      <c r="G95">
        <v>1.7</v>
      </c>
      <c r="H95">
        <v>82</v>
      </c>
      <c r="I95">
        <v>17105.939999999999</v>
      </c>
    </row>
    <row r="96" spans="1:9" x14ac:dyDescent="0.2">
      <c r="A96">
        <v>95</v>
      </c>
      <c r="B96" t="s">
        <v>10</v>
      </c>
      <c r="C96" t="s">
        <v>9</v>
      </c>
      <c r="D96" t="s">
        <v>16</v>
      </c>
      <c r="E96" t="s">
        <v>23</v>
      </c>
      <c r="F96">
        <v>2</v>
      </c>
      <c r="G96">
        <v>1.81</v>
      </c>
      <c r="H96">
        <v>103</v>
      </c>
      <c r="I96">
        <v>12337.9</v>
      </c>
    </row>
    <row r="97" spans="1:9" x14ac:dyDescent="0.2">
      <c r="A97">
        <v>96</v>
      </c>
      <c r="B97" t="s">
        <v>10</v>
      </c>
      <c r="C97" t="s">
        <v>8</v>
      </c>
      <c r="D97" t="s">
        <v>16</v>
      </c>
      <c r="E97" t="s">
        <v>23</v>
      </c>
      <c r="F97">
        <v>0</v>
      </c>
      <c r="G97">
        <v>1.57</v>
      </c>
      <c r="H97">
        <v>82</v>
      </c>
      <c r="I97">
        <v>21729.7</v>
      </c>
    </row>
    <row r="98" spans="1:9" x14ac:dyDescent="0.2">
      <c r="A98">
        <v>97</v>
      </c>
      <c r="B98" t="s">
        <v>10</v>
      </c>
      <c r="C98" t="s">
        <v>7</v>
      </c>
      <c r="D98" t="s">
        <v>17</v>
      </c>
      <c r="E98" t="s">
        <v>23</v>
      </c>
      <c r="F98">
        <v>3</v>
      </c>
      <c r="G98">
        <v>1.84</v>
      </c>
      <c r="H98">
        <v>69</v>
      </c>
      <c r="I98">
        <v>8464.57</v>
      </c>
    </row>
    <row r="99" spans="1:9" x14ac:dyDescent="0.2">
      <c r="A99">
        <v>98</v>
      </c>
      <c r="B99" t="s">
        <v>12</v>
      </c>
      <c r="C99" t="s">
        <v>6</v>
      </c>
      <c r="D99" t="s">
        <v>16</v>
      </c>
      <c r="E99" t="s">
        <v>24</v>
      </c>
      <c r="F99">
        <v>0</v>
      </c>
      <c r="G99">
        <v>1.66</v>
      </c>
      <c r="H99">
        <v>75</v>
      </c>
      <c r="I99">
        <v>26363.45</v>
      </c>
    </row>
    <row r="100" spans="1:9" x14ac:dyDescent="0.2">
      <c r="A100">
        <v>99</v>
      </c>
      <c r="B100" t="s">
        <v>10</v>
      </c>
      <c r="C100" t="s">
        <v>6</v>
      </c>
      <c r="D100" t="s">
        <v>14</v>
      </c>
      <c r="E100" t="s">
        <v>23</v>
      </c>
      <c r="F100">
        <v>0</v>
      </c>
      <c r="G100">
        <v>1.58</v>
      </c>
      <c r="H100">
        <v>88</v>
      </c>
      <c r="I100">
        <v>20328.54</v>
      </c>
    </row>
    <row r="101" spans="1:9" x14ac:dyDescent="0.2">
      <c r="A101">
        <v>100</v>
      </c>
      <c r="B101" t="s">
        <v>10</v>
      </c>
      <c r="C101" t="s">
        <v>8</v>
      </c>
      <c r="D101" t="s">
        <v>16</v>
      </c>
      <c r="E101" t="s">
        <v>22</v>
      </c>
      <c r="F101">
        <v>2</v>
      </c>
      <c r="G101">
        <v>1.79</v>
      </c>
      <c r="H101">
        <v>90</v>
      </c>
      <c r="I101">
        <v>3524.3</v>
      </c>
    </row>
    <row r="102" spans="1:9" x14ac:dyDescent="0.2">
      <c r="A102">
        <v>101</v>
      </c>
      <c r="B102" t="s">
        <v>11</v>
      </c>
      <c r="C102" t="s">
        <v>6</v>
      </c>
      <c r="D102" t="s">
        <v>14</v>
      </c>
      <c r="E102" t="s">
        <v>23</v>
      </c>
      <c r="F102">
        <v>1</v>
      </c>
      <c r="G102">
        <v>1.84</v>
      </c>
      <c r="H102">
        <v>78</v>
      </c>
      <c r="I102">
        <v>20749.830000000002</v>
      </c>
    </row>
    <row r="103" spans="1:9" x14ac:dyDescent="0.2">
      <c r="A103">
        <v>102</v>
      </c>
      <c r="B103" t="s">
        <v>11</v>
      </c>
      <c r="C103" t="s">
        <v>6</v>
      </c>
      <c r="D103" t="s">
        <v>16</v>
      </c>
      <c r="E103" t="s">
        <v>23</v>
      </c>
      <c r="F103">
        <v>2</v>
      </c>
      <c r="G103">
        <v>1.97</v>
      </c>
      <c r="H103">
        <v>79</v>
      </c>
      <c r="I103">
        <v>20542.98</v>
      </c>
    </row>
    <row r="104" spans="1:9" x14ac:dyDescent="0.2">
      <c r="A104">
        <v>103</v>
      </c>
      <c r="B104" t="s">
        <v>11</v>
      </c>
      <c r="C104" t="s">
        <v>8</v>
      </c>
      <c r="D104" t="s">
        <v>15</v>
      </c>
      <c r="E104" t="s">
        <v>23</v>
      </c>
      <c r="F104">
        <v>0</v>
      </c>
      <c r="G104">
        <v>1.58</v>
      </c>
      <c r="H104">
        <v>89</v>
      </c>
      <c r="I104">
        <v>14947.3</v>
      </c>
    </row>
    <row r="105" spans="1:9" x14ac:dyDescent="0.2">
      <c r="A105">
        <v>104</v>
      </c>
      <c r="B105" t="s">
        <v>10</v>
      </c>
      <c r="C105" t="s">
        <v>6</v>
      </c>
      <c r="D105" t="s">
        <v>13</v>
      </c>
      <c r="E105" t="s">
        <v>23</v>
      </c>
      <c r="F105">
        <v>4</v>
      </c>
      <c r="G105">
        <v>1.5</v>
      </c>
      <c r="H105">
        <v>83</v>
      </c>
      <c r="I105">
        <v>7727.83</v>
      </c>
    </row>
    <row r="106" spans="1:9" x14ac:dyDescent="0.2">
      <c r="A106">
        <v>105</v>
      </c>
      <c r="B106" t="s">
        <v>10</v>
      </c>
      <c r="C106" t="s">
        <v>6</v>
      </c>
      <c r="D106" t="s">
        <v>17</v>
      </c>
      <c r="E106" t="s">
        <v>23</v>
      </c>
      <c r="F106">
        <v>3</v>
      </c>
      <c r="G106">
        <v>1.84</v>
      </c>
      <c r="H106">
        <v>84</v>
      </c>
      <c r="I106">
        <v>13394.93</v>
      </c>
    </row>
    <row r="107" spans="1:9" x14ac:dyDescent="0.2">
      <c r="A107">
        <v>106</v>
      </c>
      <c r="B107" t="s">
        <v>10</v>
      </c>
      <c r="C107" t="s">
        <v>6</v>
      </c>
      <c r="D107" t="s">
        <v>16</v>
      </c>
      <c r="E107" t="s">
        <v>22</v>
      </c>
      <c r="F107">
        <v>0</v>
      </c>
      <c r="G107">
        <v>1.52</v>
      </c>
      <c r="H107">
        <v>60</v>
      </c>
      <c r="I107">
        <v>6476.41</v>
      </c>
    </row>
    <row r="108" spans="1:9" x14ac:dyDescent="0.2">
      <c r="A108">
        <v>107</v>
      </c>
      <c r="B108" t="s">
        <v>10</v>
      </c>
      <c r="C108" t="s">
        <v>6</v>
      </c>
      <c r="D108" t="s">
        <v>17</v>
      </c>
      <c r="E108" t="s">
        <v>24</v>
      </c>
      <c r="F108">
        <v>0</v>
      </c>
      <c r="G108">
        <v>1.77</v>
      </c>
      <c r="H108">
        <v>101</v>
      </c>
      <c r="I108">
        <v>23139.08</v>
      </c>
    </row>
    <row r="109" spans="1:9" x14ac:dyDescent="0.2">
      <c r="A109">
        <v>108</v>
      </c>
      <c r="B109" t="s">
        <v>10</v>
      </c>
      <c r="C109" t="s">
        <v>8</v>
      </c>
      <c r="D109" t="s">
        <v>16</v>
      </c>
      <c r="E109" t="s">
        <v>23</v>
      </c>
      <c r="F109">
        <v>0</v>
      </c>
      <c r="G109">
        <v>1.77</v>
      </c>
      <c r="H109">
        <v>97</v>
      </c>
      <c r="I109">
        <v>17289.98</v>
      </c>
    </row>
    <row r="110" spans="1:9" x14ac:dyDescent="0.2">
      <c r="A110">
        <v>109</v>
      </c>
      <c r="B110" t="s">
        <v>11</v>
      </c>
      <c r="C110" t="s">
        <v>6</v>
      </c>
      <c r="D110" t="s">
        <v>14</v>
      </c>
      <c r="E110" t="s">
        <v>23</v>
      </c>
      <c r="F110">
        <v>2</v>
      </c>
      <c r="G110">
        <v>1.67</v>
      </c>
      <c r="H110">
        <v>82</v>
      </c>
      <c r="I110">
        <v>10722.58</v>
      </c>
    </row>
    <row r="111" spans="1:9" x14ac:dyDescent="0.2">
      <c r="A111">
        <v>110</v>
      </c>
      <c r="B111" t="s">
        <v>12</v>
      </c>
      <c r="C111" t="s">
        <v>7</v>
      </c>
      <c r="D111" t="s">
        <v>16</v>
      </c>
      <c r="E111" t="s">
        <v>23</v>
      </c>
      <c r="F111">
        <v>1</v>
      </c>
      <c r="G111">
        <v>1.64</v>
      </c>
      <c r="H111">
        <v>97</v>
      </c>
      <c r="I111">
        <v>8581.31</v>
      </c>
    </row>
    <row r="112" spans="1:9" x14ac:dyDescent="0.2">
      <c r="A112">
        <v>111</v>
      </c>
      <c r="B112" t="s">
        <v>10</v>
      </c>
      <c r="C112" t="s">
        <v>7</v>
      </c>
      <c r="D112" t="s">
        <v>13</v>
      </c>
      <c r="E112" t="s">
        <v>24</v>
      </c>
      <c r="F112">
        <v>0</v>
      </c>
      <c r="G112">
        <v>1.9</v>
      </c>
      <c r="H112">
        <v>108</v>
      </c>
      <c r="I112">
        <v>22868.57</v>
      </c>
    </row>
    <row r="113" spans="1:9" x14ac:dyDescent="0.2">
      <c r="A113">
        <v>112</v>
      </c>
      <c r="B113" t="s">
        <v>10</v>
      </c>
      <c r="C113" t="s">
        <v>6</v>
      </c>
      <c r="D113" t="s">
        <v>15</v>
      </c>
      <c r="E113" t="s">
        <v>22</v>
      </c>
      <c r="F113">
        <v>0</v>
      </c>
      <c r="G113">
        <v>1.94</v>
      </c>
      <c r="H113">
        <v>100</v>
      </c>
      <c r="I113">
        <v>4820.2299999999996</v>
      </c>
    </row>
    <row r="114" spans="1:9" x14ac:dyDescent="0.2">
      <c r="A114">
        <v>113</v>
      </c>
      <c r="B114" t="s">
        <v>10</v>
      </c>
      <c r="C114" t="s">
        <v>9</v>
      </c>
      <c r="D114" t="s">
        <v>16</v>
      </c>
      <c r="E114" t="s">
        <v>22</v>
      </c>
      <c r="F114">
        <v>1</v>
      </c>
      <c r="G114">
        <v>1.56</v>
      </c>
      <c r="H114">
        <v>98</v>
      </c>
      <c r="I114">
        <v>6780.72</v>
      </c>
    </row>
    <row r="115" spans="1:9" x14ac:dyDescent="0.2">
      <c r="A115">
        <v>114</v>
      </c>
      <c r="B115" t="s">
        <v>10</v>
      </c>
      <c r="C115" t="s">
        <v>8</v>
      </c>
      <c r="D115" t="s">
        <v>16</v>
      </c>
      <c r="E115" t="s">
        <v>23</v>
      </c>
      <c r="F115">
        <v>1</v>
      </c>
      <c r="G115">
        <v>1.5</v>
      </c>
      <c r="H115">
        <v>71</v>
      </c>
      <c r="I115">
        <v>11934.26</v>
      </c>
    </row>
    <row r="116" spans="1:9" x14ac:dyDescent="0.2">
      <c r="A116">
        <v>115</v>
      </c>
      <c r="B116" t="s">
        <v>12</v>
      </c>
      <c r="C116" t="s">
        <v>6</v>
      </c>
      <c r="D116" t="s">
        <v>15</v>
      </c>
      <c r="E116" t="s">
        <v>24</v>
      </c>
      <c r="F116">
        <v>5</v>
      </c>
      <c r="G116">
        <v>1.52</v>
      </c>
      <c r="H116">
        <v>92</v>
      </c>
      <c r="I116">
        <v>23147.33</v>
      </c>
    </row>
    <row r="117" spans="1:9" x14ac:dyDescent="0.2">
      <c r="A117">
        <v>116</v>
      </c>
      <c r="B117" t="s">
        <v>10</v>
      </c>
      <c r="C117" t="s">
        <v>6</v>
      </c>
      <c r="D117" t="s">
        <v>15</v>
      </c>
      <c r="E117" t="s">
        <v>24</v>
      </c>
      <c r="F117">
        <v>5</v>
      </c>
      <c r="G117">
        <v>1.5</v>
      </c>
      <c r="H117">
        <v>69</v>
      </c>
      <c r="I117">
        <v>24611.14</v>
      </c>
    </row>
    <row r="118" spans="1:9" x14ac:dyDescent="0.2">
      <c r="A118">
        <v>117</v>
      </c>
      <c r="B118" t="s">
        <v>10</v>
      </c>
      <c r="C118" t="s">
        <v>6</v>
      </c>
      <c r="D118" t="s">
        <v>14</v>
      </c>
      <c r="E118" t="s">
        <v>23</v>
      </c>
      <c r="F118">
        <v>2</v>
      </c>
      <c r="G118">
        <v>1.63</v>
      </c>
      <c r="H118">
        <v>92</v>
      </c>
      <c r="I118">
        <v>10698.26</v>
      </c>
    </row>
    <row r="119" spans="1:9" x14ac:dyDescent="0.2">
      <c r="A119">
        <v>118</v>
      </c>
      <c r="B119" t="s">
        <v>12</v>
      </c>
      <c r="C119" t="s">
        <v>9</v>
      </c>
      <c r="D119" t="s">
        <v>16</v>
      </c>
      <c r="E119" t="s">
        <v>23</v>
      </c>
      <c r="F119">
        <v>3</v>
      </c>
      <c r="G119">
        <v>1.5</v>
      </c>
      <c r="H119">
        <v>79</v>
      </c>
      <c r="I119">
        <v>19383.59</v>
      </c>
    </row>
    <row r="120" spans="1:9" x14ac:dyDescent="0.2">
      <c r="A120">
        <v>119</v>
      </c>
      <c r="B120" t="s">
        <v>10</v>
      </c>
      <c r="C120" t="s">
        <v>9</v>
      </c>
      <c r="D120" t="s">
        <v>14</v>
      </c>
      <c r="E120" t="s">
        <v>24</v>
      </c>
      <c r="F120">
        <v>1</v>
      </c>
      <c r="G120">
        <v>1.48</v>
      </c>
      <c r="H120">
        <v>91</v>
      </c>
      <c r="I120">
        <v>28955.23</v>
      </c>
    </row>
    <row r="121" spans="1:9" x14ac:dyDescent="0.2">
      <c r="A121">
        <v>120</v>
      </c>
      <c r="B121" t="s">
        <v>10</v>
      </c>
      <c r="C121" t="s">
        <v>9</v>
      </c>
      <c r="D121" t="s">
        <v>14</v>
      </c>
      <c r="E121" t="s">
        <v>23</v>
      </c>
      <c r="F121">
        <v>0</v>
      </c>
      <c r="G121">
        <v>1.91</v>
      </c>
      <c r="H121">
        <v>78</v>
      </c>
      <c r="I121">
        <v>14681.17</v>
      </c>
    </row>
    <row r="122" spans="1:9" x14ac:dyDescent="0.2">
      <c r="A122">
        <v>121</v>
      </c>
      <c r="B122" t="s">
        <v>10</v>
      </c>
      <c r="C122" t="s">
        <v>9</v>
      </c>
      <c r="D122" t="s">
        <v>17</v>
      </c>
      <c r="E122" t="s">
        <v>23</v>
      </c>
      <c r="F122">
        <v>2</v>
      </c>
      <c r="G122">
        <v>1.48</v>
      </c>
      <c r="H122">
        <v>92</v>
      </c>
      <c r="I122">
        <v>10325.65</v>
      </c>
    </row>
    <row r="123" spans="1:9" x14ac:dyDescent="0.2">
      <c r="A123">
        <v>122</v>
      </c>
      <c r="B123" t="s">
        <v>10</v>
      </c>
      <c r="C123" t="s">
        <v>8</v>
      </c>
      <c r="D123" t="s">
        <v>17</v>
      </c>
      <c r="E123" t="s">
        <v>23</v>
      </c>
      <c r="F123">
        <v>4</v>
      </c>
      <c r="G123">
        <v>1.48</v>
      </c>
      <c r="H123">
        <v>76</v>
      </c>
      <c r="I123">
        <v>20601.14</v>
      </c>
    </row>
    <row r="124" spans="1:9" x14ac:dyDescent="0.2">
      <c r="A124">
        <v>123</v>
      </c>
      <c r="B124" t="s">
        <v>10</v>
      </c>
      <c r="C124" t="s">
        <v>7</v>
      </c>
      <c r="D124" t="s">
        <v>13</v>
      </c>
      <c r="E124" t="s">
        <v>23</v>
      </c>
      <c r="F124">
        <v>1</v>
      </c>
      <c r="G124">
        <v>1.64</v>
      </c>
      <c r="H124">
        <v>88</v>
      </c>
      <c r="I124">
        <v>14241.07</v>
      </c>
    </row>
    <row r="125" spans="1:9" x14ac:dyDescent="0.2">
      <c r="A125">
        <v>124</v>
      </c>
      <c r="B125" t="s">
        <v>10</v>
      </c>
      <c r="C125" t="s">
        <v>6</v>
      </c>
      <c r="D125" t="s">
        <v>16</v>
      </c>
      <c r="E125" t="s">
        <v>23</v>
      </c>
      <c r="F125">
        <v>4</v>
      </c>
      <c r="G125">
        <v>1.48</v>
      </c>
      <c r="H125">
        <v>78</v>
      </c>
      <c r="I125">
        <v>13969.67</v>
      </c>
    </row>
    <row r="126" spans="1:9" x14ac:dyDescent="0.2">
      <c r="A126">
        <v>125</v>
      </c>
      <c r="B126" t="s">
        <v>11</v>
      </c>
      <c r="C126" t="s">
        <v>9</v>
      </c>
      <c r="D126" t="s">
        <v>17</v>
      </c>
      <c r="E126" t="s">
        <v>24</v>
      </c>
      <c r="F126">
        <v>0</v>
      </c>
      <c r="G126">
        <v>1.79</v>
      </c>
      <c r="H126">
        <v>74</v>
      </c>
      <c r="I126">
        <v>23374.49</v>
      </c>
    </row>
    <row r="127" spans="1:9" x14ac:dyDescent="0.2">
      <c r="A127">
        <v>126</v>
      </c>
      <c r="B127" t="s">
        <v>12</v>
      </c>
      <c r="C127" t="s">
        <v>9</v>
      </c>
      <c r="D127" t="s">
        <v>16</v>
      </c>
      <c r="E127" t="s">
        <v>23</v>
      </c>
      <c r="F127">
        <v>1</v>
      </c>
      <c r="G127">
        <v>1.84</v>
      </c>
      <c r="H127">
        <v>86</v>
      </c>
      <c r="I127">
        <v>11109.58</v>
      </c>
    </row>
    <row r="128" spans="1:9" x14ac:dyDescent="0.2">
      <c r="A128">
        <v>127</v>
      </c>
      <c r="B128" t="s">
        <v>12</v>
      </c>
      <c r="C128" t="s">
        <v>8</v>
      </c>
      <c r="D128" t="s">
        <v>16</v>
      </c>
      <c r="E128" t="s">
        <v>23</v>
      </c>
      <c r="F128">
        <v>2</v>
      </c>
      <c r="G128">
        <v>1.48</v>
      </c>
      <c r="H128">
        <v>85</v>
      </c>
      <c r="I128">
        <v>19826.57</v>
      </c>
    </row>
    <row r="129" spans="1:9" x14ac:dyDescent="0.2">
      <c r="A129">
        <v>128</v>
      </c>
      <c r="B129" t="s">
        <v>12</v>
      </c>
      <c r="C129" t="s">
        <v>6</v>
      </c>
      <c r="D129" t="s">
        <v>14</v>
      </c>
      <c r="E129" t="s">
        <v>23</v>
      </c>
      <c r="F129">
        <v>2</v>
      </c>
      <c r="G129">
        <v>1.78</v>
      </c>
      <c r="H129">
        <v>78</v>
      </c>
      <c r="I129">
        <v>16602.82</v>
      </c>
    </row>
    <row r="130" spans="1:9" x14ac:dyDescent="0.2">
      <c r="A130">
        <v>129</v>
      </c>
      <c r="B130" t="s">
        <v>10</v>
      </c>
      <c r="C130" t="s">
        <v>6</v>
      </c>
      <c r="D130" t="s">
        <v>14</v>
      </c>
      <c r="E130" t="s">
        <v>23</v>
      </c>
      <c r="F130">
        <v>1</v>
      </c>
      <c r="G130">
        <v>1.59</v>
      </c>
      <c r="H130">
        <v>51</v>
      </c>
      <c r="I130">
        <v>20343.830000000002</v>
      </c>
    </row>
    <row r="131" spans="1:9" x14ac:dyDescent="0.2">
      <c r="A131">
        <v>130</v>
      </c>
      <c r="B131" t="s">
        <v>10</v>
      </c>
      <c r="C131" t="s">
        <v>6</v>
      </c>
      <c r="D131" t="s">
        <v>16</v>
      </c>
      <c r="E131" t="s">
        <v>23</v>
      </c>
      <c r="F131">
        <v>0</v>
      </c>
      <c r="G131">
        <v>1.48</v>
      </c>
      <c r="H131">
        <v>110</v>
      </c>
      <c r="I131">
        <v>13644.41</v>
      </c>
    </row>
    <row r="132" spans="1:9" x14ac:dyDescent="0.2">
      <c r="A132">
        <v>131</v>
      </c>
      <c r="B132" t="s">
        <v>11</v>
      </c>
      <c r="C132" t="s">
        <v>9</v>
      </c>
      <c r="D132" t="s">
        <v>16</v>
      </c>
      <c r="E132" t="s">
        <v>23</v>
      </c>
      <c r="F132">
        <v>3</v>
      </c>
      <c r="G132">
        <v>1.82</v>
      </c>
      <c r="H132">
        <v>98</v>
      </c>
      <c r="I132">
        <v>18245.77</v>
      </c>
    </row>
    <row r="133" spans="1:9" x14ac:dyDescent="0.2">
      <c r="A133">
        <v>132</v>
      </c>
      <c r="B133" t="s">
        <v>10</v>
      </c>
      <c r="C133" t="s">
        <v>6</v>
      </c>
      <c r="D133" t="s">
        <v>13</v>
      </c>
      <c r="E133" t="s">
        <v>24</v>
      </c>
      <c r="F133">
        <v>0</v>
      </c>
      <c r="G133">
        <v>1.92</v>
      </c>
      <c r="H133">
        <v>95</v>
      </c>
      <c r="I133">
        <v>26810.31</v>
      </c>
    </row>
    <row r="134" spans="1:9" x14ac:dyDescent="0.2">
      <c r="A134">
        <v>133</v>
      </c>
      <c r="B134" t="s">
        <v>11</v>
      </c>
      <c r="C134" t="s">
        <v>6</v>
      </c>
      <c r="D134" t="s">
        <v>16</v>
      </c>
      <c r="E134" t="s">
        <v>22</v>
      </c>
      <c r="F134">
        <v>2</v>
      </c>
      <c r="G134">
        <v>1.84</v>
      </c>
      <c r="H134">
        <v>89</v>
      </c>
      <c r="I134">
        <v>6061.11</v>
      </c>
    </row>
    <row r="135" spans="1:9" x14ac:dyDescent="0.2">
      <c r="A135">
        <v>134</v>
      </c>
      <c r="B135" t="s">
        <v>12</v>
      </c>
      <c r="C135" t="s">
        <v>6</v>
      </c>
      <c r="D135" t="s">
        <v>14</v>
      </c>
      <c r="E135" t="s">
        <v>23</v>
      </c>
      <c r="F135">
        <v>3</v>
      </c>
      <c r="G135">
        <v>1.48</v>
      </c>
      <c r="H135">
        <v>95</v>
      </c>
      <c r="I135">
        <v>17847.87</v>
      </c>
    </row>
    <row r="136" spans="1:9" x14ac:dyDescent="0.2">
      <c r="A136">
        <v>135</v>
      </c>
      <c r="B136" t="s">
        <v>11</v>
      </c>
      <c r="C136" t="s">
        <v>7</v>
      </c>
      <c r="D136" t="s">
        <v>14</v>
      </c>
      <c r="E136" t="s">
        <v>23</v>
      </c>
      <c r="F136">
        <v>2</v>
      </c>
      <c r="G136">
        <v>1.65</v>
      </c>
      <c r="H136">
        <v>81</v>
      </c>
      <c r="I136">
        <v>21306.080000000002</v>
      </c>
    </row>
    <row r="137" spans="1:9" x14ac:dyDescent="0.2">
      <c r="A137">
        <v>136</v>
      </c>
      <c r="B137" t="s">
        <v>10</v>
      </c>
      <c r="C137" t="s">
        <v>6</v>
      </c>
      <c r="D137" t="s">
        <v>15</v>
      </c>
      <c r="E137" t="s">
        <v>23</v>
      </c>
      <c r="F137">
        <v>0</v>
      </c>
      <c r="G137">
        <v>1.86</v>
      </c>
      <c r="H137">
        <v>73</v>
      </c>
      <c r="I137">
        <v>21982.95</v>
      </c>
    </row>
    <row r="138" spans="1:9" x14ac:dyDescent="0.2">
      <c r="A138">
        <v>137</v>
      </c>
      <c r="B138" t="s">
        <v>12</v>
      </c>
      <c r="C138" t="s">
        <v>6</v>
      </c>
      <c r="D138" t="s">
        <v>16</v>
      </c>
      <c r="E138" t="s">
        <v>22</v>
      </c>
      <c r="F138">
        <v>1</v>
      </c>
      <c r="G138">
        <v>1.81</v>
      </c>
      <c r="H138">
        <v>70</v>
      </c>
      <c r="I138">
        <v>4634.8500000000004</v>
      </c>
    </row>
    <row r="139" spans="1:9" x14ac:dyDescent="0.2">
      <c r="A139">
        <v>138</v>
      </c>
      <c r="B139" t="s">
        <v>11</v>
      </c>
      <c r="C139" t="s">
        <v>8</v>
      </c>
      <c r="D139" t="s">
        <v>13</v>
      </c>
      <c r="E139" t="s">
        <v>23</v>
      </c>
      <c r="F139">
        <v>0</v>
      </c>
      <c r="G139">
        <v>1.63</v>
      </c>
      <c r="H139">
        <v>116</v>
      </c>
      <c r="I139">
        <v>18650.3</v>
      </c>
    </row>
    <row r="140" spans="1:9" x14ac:dyDescent="0.2">
      <c r="A140">
        <v>139</v>
      </c>
      <c r="B140" t="s">
        <v>11</v>
      </c>
      <c r="C140" t="s">
        <v>8</v>
      </c>
      <c r="D140" t="s">
        <v>15</v>
      </c>
      <c r="E140" t="s">
        <v>23</v>
      </c>
      <c r="F140">
        <v>2</v>
      </c>
      <c r="G140">
        <v>1.91</v>
      </c>
      <c r="H140">
        <v>91</v>
      </c>
      <c r="I140">
        <v>12308.34</v>
      </c>
    </row>
    <row r="141" spans="1:9" x14ac:dyDescent="0.2">
      <c r="A141">
        <v>140</v>
      </c>
      <c r="B141" t="s">
        <v>10</v>
      </c>
      <c r="C141" t="s">
        <v>9</v>
      </c>
      <c r="D141" t="s">
        <v>13</v>
      </c>
      <c r="E141" t="s">
        <v>22</v>
      </c>
      <c r="F141">
        <v>0</v>
      </c>
      <c r="G141">
        <v>1.48</v>
      </c>
      <c r="H141">
        <v>108</v>
      </c>
      <c r="I141">
        <v>5199.78</v>
      </c>
    </row>
    <row r="142" spans="1:9" x14ac:dyDescent="0.2">
      <c r="A142">
        <v>141</v>
      </c>
      <c r="B142" t="s">
        <v>10</v>
      </c>
      <c r="C142" t="s">
        <v>9</v>
      </c>
      <c r="D142" t="s">
        <v>17</v>
      </c>
      <c r="E142" t="s">
        <v>23</v>
      </c>
      <c r="F142">
        <v>3</v>
      </c>
      <c r="G142">
        <v>1.87</v>
      </c>
      <c r="H142">
        <v>93</v>
      </c>
      <c r="I142">
        <v>16010.72</v>
      </c>
    </row>
    <row r="143" spans="1:9" x14ac:dyDescent="0.2">
      <c r="A143">
        <v>142</v>
      </c>
      <c r="B143" t="s">
        <v>10</v>
      </c>
      <c r="C143" t="s">
        <v>9</v>
      </c>
      <c r="D143" t="s">
        <v>14</v>
      </c>
      <c r="E143" t="s">
        <v>22</v>
      </c>
      <c r="F143">
        <v>0</v>
      </c>
      <c r="G143">
        <v>1.83</v>
      </c>
      <c r="H143">
        <v>101</v>
      </c>
      <c r="I143">
        <v>4797.8100000000004</v>
      </c>
    </row>
    <row r="144" spans="1:9" x14ac:dyDescent="0.2">
      <c r="A144">
        <v>143</v>
      </c>
      <c r="B144" t="s">
        <v>11</v>
      </c>
      <c r="C144" t="s">
        <v>9</v>
      </c>
      <c r="D144" t="s">
        <v>17</v>
      </c>
      <c r="E144" t="s">
        <v>23</v>
      </c>
      <c r="F144">
        <v>0</v>
      </c>
      <c r="G144">
        <v>1.48</v>
      </c>
      <c r="H144">
        <v>83</v>
      </c>
      <c r="I144">
        <v>10687.73</v>
      </c>
    </row>
    <row r="145" spans="1:9" x14ac:dyDescent="0.2">
      <c r="A145">
        <v>144</v>
      </c>
      <c r="B145" t="s">
        <v>11</v>
      </c>
      <c r="C145" t="s">
        <v>6</v>
      </c>
      <c r="D145" t="s">
        <v>14</v>
      </c>
      <c r="E145" t="s">
        <v>22</v>
      </c>
      <c r="F145">
        <v>1</v>
      </c>
      <c r="G145">
        <v>1.49</v>
      </c>
      <c r="H145">
        <v>63</v>
      </c>
      <c r="I145">
        <v>4593.95</v>
      </c>
    </row>
    <row r="146" spans="1:9" x14ac:dyDescent="0.2">
      <c r="A146">
        <v>145</v>
      </c>
      <c r="B146" t="s">
        <v>10</v>
      </c>
      <c r="C146" t="s">
        <v>7</v>
      </c>
      <c r="D146" t="s">
        <v>17</v>
      </c>
      <c r="E146" t="s">
        <v>23</v>
      </c>
      <c r="F146">
        <v>0</v>
      </c>
      <c r="G146">
        <v>1.88</v>
      </c>
      <c r="H146">
        <v>63</v>
      </c>
      <c r="I146">
        <v>17609.419999999998</v>
      </c>
    </row>
    <row r="147" spans="1:9" x14ac:dyDescent="0.2">
      <c r="A147">
        <v>146</v>
      </c>
      <c r="B147" t="s">
        <v>11</v>
      </c>
      <c r="C147" t="s">
        <v>7</v>
      </c>
      <c r="D147" t="s">
        <v>14</v>
      </c>
      <c r="E147" t="s">
        <v>22</v>
      </c>
      <c r="F147">
        <v>5</v>
      </c>
      <c r="G147">
        <v>1.49</v>
      </c>
      <c r="H147">
        <v>80</v>
      </c>
      <c r="I147">
        <v>5650.59</v>
      </c>
    </row>
    <row r="148" spans="1:9" x14ac:dyDescent="0.2">
      <c r="A148">
        <v>147</v>
      </c>
      <c r="B148" t="s">
        <v>12</v>
      </c>
      <c r="C148" t="s">
        <v>6</v>
      </c>
      <c r="D148" t="s">
        <v>13</v>
      </c>
      <c r="E148" t="s">
        <v>23</v>
      </c>
      <c r="F148">
        <v>5</v>
      </c>
      <c r="G148">
        <v>1.81</v>
      </c>
      <c r="H148">
        <v>62</v>
      </c>
      <c r="I148">
        <v>7510.22</v>
      </c>
    </row>
    <row r="149" spans="1:9" x14ac:dyDescent="0.2">
      <c r="A149">
        <v>148</v>
      </c>
      <c r="B149" t="s">
        <v>10</v>
      </c>
      <c r="C149" t="s">
        <v>6</v>
      </c>
      <c r="D149" t="s">
        <v>14</v>
      </c>
      <c r="E149" t="s">
        <v>24</v>
      </c>
      <c r="F149">
        <v>5</v>
      </c>
      <c r="G149">
        <v>1.49</v>
      </c>
      <c r="H149">
        <v>69</v>
      </c>
      <c r="I149">
        <v>22100.400000000001</v>
      </c>
    </row>
    <row r="150" spans="1:9" x14ac:dyDescent="0.2">
      <c r="A150">
        <v>149</v>
      </c>
      <c r="B150" t="s">
        <v>11</v>
      </c>
      <c r="C150" t="s">
        <v>8</v>
      </c>
      <c r="D150" t="s">
        <v>14</v>
      </c>
      <c r="E150" t="s">
        <v>23</v>
      </c>
      <c r="F150">
        <v>0</v>
      </c>
      <c r="G150">
        <v>1.75</v>
      </c>
      <c r="H150">
        <v>95</v>
      </c>
      <c r="I150">
        <v>17687.29</v>
      </c>
    </row>
    <row r="151" spans="1:9" x14ac:dyDescent="0.2">
      <c r="A151">
        <v>150</v>
      </c>
      <c r="B151" t="s">
        <v>10</v>
      </c>
      <c r="C151" t="s">
        <v>9</v>
      </c>
      <c r="D151" t="s">
        <v>13</v>
      </c>
      <c r="E151" t="s">
        <v>23</v>
      </c>
      <c r="F151">
        <v>1</v>
      </c>
      <c r="G151">
        <v>1.49</v>
      </c>
      <c r="H151">
        <v>86</v>
      </c>
      <c r="I151">
        <v>9900.36</v>
      </c>
    </row>
    <row r="152" spans="1:9" x14ac:dyDescent="0.2">
      <c r="A152">
        <v>151</v>
      </c>
      <c r="B152" t="s">
        <v>11</v>
      </c>
      <c r="C152" t="s">
        <v>6</v>
      </c>
      <c r="D152" t="s">
        <v>16</v>
      </c>
      <c r="E152" t="s">
        <v>22</v>
      </c>
      <c r="F152">
        <v>1</v>
      </c>
      <c r="G152">
        <v>1.96</v>
      </c>
      <c r="H152">
        <v>88</v>
      </c>
      <c r="I152">
        <v>3512.29</v>
      </c>
    </row>
  </sheetData>
  <autoFilter ref="A1:I152" xr:uid="{0A40CE4F-E820-45BC-91DD-55AA5C48B10E}">
    <sortState ref="A2:I151">
      <sortCondition ref="A1:A151"/>
    </sortState>
  </autoFilter>
  <mergeCells count="11">
    <mergeCell ref="AR4:AV8"/>
    <mergeCell ref="AO10:AV10"/>
    <mergeCell ref="BA4:BE8"/>
    <mergeCell ref="AX10:BE10"/>
    <mergeCell ref="AX20:BA20"/>
    <mergeCell ref="S2:U2"/>
    <mergeCell ref="S9:W9"/>
    <mergeCell ref="S17:W17"/>
    <mergeCell ref="Z2:AD2"/>
    <mergeCell ref="AF10:AM10"/>
    <mergeCell ref="AI4:AM8"/>
  </mergeCells>
  <pageMargins left="0.511811024" right="0.511811024" top="0.78740157499999996" bottom="0.78740157499999996" header="0.31496062000000002" footer="0.31496062000000002"/>
  <ignoredErrors>
    <ignoredError sqref="V11 V13:V14 AL12:AL23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3060-B6C0-49ED-8098-15EBBC55D82A}">
  <dimension ref="D4:G8"/>
  <sheetViews>
    <sheetView topLeftCell="A4" workbookViewId="0">
      <selection activeCell="Q17" sqref="Q17"/>
    </sheetView>
  </sheetViews>
  <sheetFormatPr defaultRowHeight="14.25" x14ac:dyDescent="0.2"/>
  <sheetData>
    <row r="4" spans="4:7" x14ac:dyDescent="0.2">
      <c r="D4">
        <v>1</v>
      </c>
      <c r="G4" t="e">
        <f t="array" ref="G4:G5">_xlfn.MODE.MULT(D4:D8)</f>
        <v>#N/A</v>
      </c>
    </row>
    <row r="5" spans="4:7" x14ac:dyDescent="0.2">
      <c r="D5">
        <v>3</v>
      </c>
      <c r="G5" t="e">
        <v>#N/A</v>
      </c>
    </row>
    <row r="6" spans="4:7" x14ac:dyDescent="0.2">
      <c r="D6">
        <v>6</v>
      </c>
    </row>
    <row r="7" spans="4:7" x14ac:dyDescent="0.2">
      <c r="D7">
        <v>7</v>
      </c>
    </row>
    <row r="8" spans="4:7" x14ac:dyDescent="0.2">
      <c r="D8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Filipe Azevedo de Oliveira</dc:creator>
  <cp:lastModifiedBy>LUIS FILIPE AZEVEDO DE OLIVEIRA</cp:lastModifiedBy>
  <dcterms:created xsi:type="dcterms:W3CDTF">2024-02-27T14:35:16Z</dcterms:created>
  <dcterms:modified xsi:type="dcterms:W3CDTF">2025-08-19T20:16:21Z</dcterms:modified>
</cp:coreProperties>
</file>