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rah Jr\Desktop\Assignments\Homework\Homework2020\"/>
    </mc:Choice>
  </mc:AlternateContent>
  <xr:revisionPtr revIDLastSave="0" documentId="13_ncr:1_{537AE6DB-691A-4E0D-AECF-F199B22F8079}" xr6:coauthVersionLast="45" xr6:coauthVersionMax="45" xr10:uidLastSave="{00000000-0000-0000-0000-000000000000}"/>
  <bookViews>
    <workbookView xWindow="-120" yWindow="-120" windowWidth="20730" windowHeight="11280" activeTab="3" xr2:uid="{00000000-000D-0000-FFFF-FFFF00000000}"/>
  </bookViews>
  <sheets>
    <sheet name="Data" sheetId="1" r:id="rId1"/>
    <sheet name="State Per Category" sheetId="2" r:id="rId2"/>
    <sheet name="State Per Sub-Category" sheetId="3" r:id="rId3"/>
    <sheet name="Sheet4" sheetId="4" r:id="rId4"/>
    <sheet name="Bonus " sheetId="5" r:id="rId5"/>
    <sheet name="Bonus Statistics" sheetId="6" r:id="rId6"/>
  </sheets>
  <definedNames>
    <definedName name="_xlnm._FilterDatabase" localSheetId="0" hidden="1">Data!$A$1:$T$4115</definedName>
    <definedName name="Goal">Data!$D:$D</definedName>
    <definedName name="State">Data!$F:$F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7" i="6" l="1"/>
  <c r="J6" i="6"/>
  <c r="J5" i="6"/>
  <c r="J4" i="6"/>
  <c r="J3" i="6"/>
  <c r="J2" i="6"/>
  <c r="I7" i="6"/>
  <c r="I6" i="6"/>
  <c r="I5" i="6"/>
  <c r="I4" i="6"/>
  <c r="I3" i="6"/>
  <c r="I2" i="6"/>
  <c r="D3" i="5"/>
  <c r="B3" i="5"/>
  <c r="C3" i="5"/>
  <c r="E3" i="5"/>
  <c r="H3" i="5"/>
  <c r="D4" i="5"/>
  <c r="B4" i="5"/>
  <c r="C4" i="5"/>
  <c r="E4" i="5"/>
  <c r="H4" i="5"/>
  <c r="D5" i="5"/>
  <c r="B5" i="5"/>
  <c r="C5" i="5"/>
  <c r="E5" i="5"/>
  <c r="H5" i="5"/>
  <c r="D6" i="5"/>
  <c r="B6" i="5"/>
  <c r="C6" i="5"/>
  <c r="E6" i="5"/>
  <c r="H6" i="5"/>
  <c r="D7" i="5"/>
  <c r="B7" i="5"/>
  <c r="C7" i="5"/>
  <c r="E7" i="5"/>
  <c r="H7" i="5"/>
  <c r="D8" i="5"/>
  <c r="B8" i="5"/>
  <c r="C8" i="5"/>
  <c r="E8" i="5"/>
  <c r="H8" i="5"/>
  <c r="D9" i="5"/>
  <c r="B9" i="5"/>
  <c r="C9" i="5"/>
  <c r="E9" i="5"/>
  <c r="H9" i="5"/>
  <c r="D10" i="5"/>
  <c r="B10" i="5"/>
  <c r="C10" i="5"/>
  <c r="E10" i="5"/>
  <c r="H10" i="5"/>
  <c r="D11" i="5"/>
  <c r="B11" i="5"/>
  <c r="C11" i="5"/>
  <c r="E11" i="5"/>
  <c r="H11" i="5"/>
  <c r="D12" i="5"/>
  <c r="B12" i="5"/>
  <c r="C12" i="5"/>
  <c r="E12" i="5"/>
  <c r="H12" i="5"/>
  <c r="D13" i="5"/>
  <c r="B13" i="5"/>
  <c r="C13" i="5"/>
  <c r="E13" i="5"/>
  <c r="H13" i="5"/>
  <c r="D2" i="5"/>
  <c r="B2" i="5"/>
  <c r="C2" i="5"/>
  <c r="E2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<sst xmlns="http://schemas.openxmlformats.org/spreadsheetml/2006/main" count="36776" uniqueCount="8412">
  <si>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</si>
  <si>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</si>
  <si>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</si>
  <si>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</si>
  <si>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</si>
  <si>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</si>
  <si>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</si>
  <si>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</si>
  <si>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</si>
  <si>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</si>
  <si>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</si>
  <si>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</si>
  <si>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</si>
  <si>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</si>
  <si>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</si>
  <si>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</si>
  <si>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</si>
  <si>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</si>
  <si>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</si>
  <si>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</si>
  <si>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</si>
  <si>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</si>
  <si>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</si>
  <si>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</si>
  <si>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</si>
  <si>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</si>
  <si>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</si>
  <si>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</si>
  <si>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</si>
  <si>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</si>
  <si>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</si>
  <si>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</si>
  <si>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</si>
  <si>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</si>
  <si>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</si>
  <si>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</si>
  <si>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</si>
  <si>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</si>
  <si>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</si>
  <si>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</si>
  <si>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</si>
  <si>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</si>
  <si>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</si>
  <si>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</si>
  <si>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</si>
  <si>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</si>
  <si>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</si>
  <si>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</si>
  <si>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</si>
  <si>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</si>
  <si>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</si>
  <si>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</si>
  <si>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</si>
  <si>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</si>
  <si>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</si>
  <si>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</si>
  <si>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</si>
  <si>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</si>
  <si>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</si>
  <si>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</si>
  <si>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</si>
  <si>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</si>
  <si>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</si>
  <si>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</si>
  <si>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</si>
  <si>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</si>
  <si>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</si>
  <si>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</si>
  <si>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</si>
  <si>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</si>
  <si>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</si>
  <si>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</si>
  <si>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</si>
  <si>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</si>
  <si>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</si>
  <si>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</si>
  <si>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</si>
  <si>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</si>
  <si>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</si>
  <si>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</si>
  <si>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</si>
  <si>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</si>
  <si>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</si>
  <si>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</si>
  <si>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</si>
  <si>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</si>
  <si>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</si>
  <si>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</si>
  <si>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</si>
  <si>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</si>
  <si>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</si>
  <si>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</si>
  <si>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</si>
  <si>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</si>
  <si>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</si>
  <si>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</si>
  <si>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</si>
  <si>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</si>
  <si>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</si>
  <si>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</si>
  <si>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</si>
  <si>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</si>
  <si>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</si>
  <si>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</si>
  <si>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</si>
  <si>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</si>
  <si>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</si>
  <si>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</si>
  <si>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</si>
  <si>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</si>
  <si>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</si>
  <si>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</si>
  <si>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</si>
  <si>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</si>
  <si>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</si>
  <si>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</si>
  <si>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</si>
  <si>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</si>
  <si>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</si>
  <si>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</si>
  <si>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</si>
  <si>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</si>
  <si>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</si>
  <si>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</si>
  <si>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</si>
  <si>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</si>
  <si>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</si>
  <si>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</si>
  <si>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</si>
  <si>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</si>
  <si>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</si>
  <si>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</si>
  <si>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</si>
  <si>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</si>
  <si>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</si>
  <si>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</si>
  <si>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</si>
  <si>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</si>
  <si>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</si>
  <si>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</si>
  <si>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</si>
  <si>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</si>
  <si>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</si>
  <si>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</si>
  <si>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</si>
  <si>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</si>
  <si>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</si>
  <si>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</si>
  <si>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</si>
  <si>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</si>
  <si>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</si>
  <si>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</si>
  <si>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</si>
  <si>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</si>
  <si>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</si>
  <si>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</si>
  <si>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</si>
  <si>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</si>
  <si>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</si>
  <si>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</si>
  <si>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</si>
  <si>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</si>
  <si>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</si>
  <si>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</si>
  <si>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</si>
  <si>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</si>
  <si>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</si>
  <si>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</si>
  <si>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</si>
  <si>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</si>
  <si>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</si>
  <si>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</si>
  <si>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</si>
  <si>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</si>
  <si>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</si>
  <si>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</si>
  <si>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</si>
  <si>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</si>
  <si>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</si>
  <si>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</si>
  <si>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</si>
  <si>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</si>
  <si>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</si>
  <si>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</si>
  <si>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</si>
  <si>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</si>
  <si>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</si>
  <si>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</si>
  <si>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</si>
  <si>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</si>
  <si>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</si>
  <si>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</si>
  <si>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</si>
  <si>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</si>
  <si>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</si>
  <si>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</si>
  <si>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</si>
  <si>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</si>
  <si>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</si>
  <si>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</si>
  <si>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</si>
  <si>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</si>
  <si>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</si>
  <si>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</si>
  <si>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</si>
  <si>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</si>
  <si>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</si>
  <si>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</si>
  <si>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</si>
  <si>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</si>
  <si>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</si>
  <si>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</si>
  <si>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</si>
  <si>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</si>
  <si>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</si>
  <si>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</si>
  <si>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</si>
  <si>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</si>
  <si>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</si>
  <si>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</si>
  <si>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</si>
  <si>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</si>
  <si>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</si>
  <si>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</si>
  <si>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</si>
  <si>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</si>
  <si>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</si>
  <si>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</si>
  <si>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</si>
  <si>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</si>
  <si>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</si>
  <si>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</si>
  <si>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</si>
  <si>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</si>
  <si>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</si>
  <si>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</si>
  <si>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</si>
  <si>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</si>
  <si>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</si>
  <si>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</si>
  <si>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</si>
  <si>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</si>
  <si>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</si>
  <si>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</si>
  <si>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</si>
  <si>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</si>
  <si>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</si>
  <si>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</si>
  <si>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</si>
  <si>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</si>
  <si>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</si>
  <si>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</si>
  <si>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</si>
  <si>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</si>
  <si>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</si>
  <si>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</si>
  <si>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</si>
  <si>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</si>
  <si>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</si>
  <si>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</si>
  <si>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</si>
  <si>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</si>
  <si>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</si>
  <si>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</si>
  <si>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</si>
  <si>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</si>
  <si>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</si>
  <si>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</si>
  <si>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</si>
  <si>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</si>
  <si>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</si>
  <si>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</si>
  <si>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</si>
  <si>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</si>
  <si>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</si>
  <si>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</si>
  <si>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</si>
  <si>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</si>
  <si>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</si>
  <si>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</si>
  <si>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</si>
  <si>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</si>
  <si>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</si>
  <si>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</si>
  <si>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</si>
  <si>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</si>
  <si>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</si>
  <si>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</si>
  <si>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</si>
  <si>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</si>
  <si>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</si>
  <si>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</si>
  <si>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</si>
  <si>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</si>
  <si>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</si>
  <si>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</si>
  <si>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</si>
  <si>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</si>
  <si>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</si>
  <si>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</si>
  <si>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</si>
  <si>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</si>
  <si>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</si>
  <si>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</si>
  <si>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</si>
  <si>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</si>
  <si>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</si>
  <si>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</si>
  <si>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</si>
  <si>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</si>
  <si>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</si>
  <si>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</si>
  <si>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</si>
  <si>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</si>
  <si>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</si>
  <si>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</si>
  <si>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</si>
  <si>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</si>
  <si>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</si>
  <si>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</si>
  <si>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</si>
  <si>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</si>
  <si>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</si>
  <si>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</si>
  <si>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</si>
  <si>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</si>
  <si>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</si>
  <si>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</si>
  <si>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</si>
  <si>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</si>
  <si>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</si>
  <si>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</si>
  <si>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</si>
  <si>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</si>
  <si>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</si>
  <si>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</si>
  <si>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</si>
  <si>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</si>
  <si>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</si>
  <si>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</si>
  <si>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</si>
  <si>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</si>
  <si>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</si>
  <si>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</si>
  <si>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</si>
  <si>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</si>
  <si>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</si>
  <si>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</si>
  <si>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</si>
  <si>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</si>
  <si>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</si>
  <si>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</si>
  <si>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</si>
  <si>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</si>
  <si>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</si>
  <si>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</si>
  <si>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</si>
  <si>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</si>
  <si>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</si>
  <si>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</si>
  <si>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</si>
  <si>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</si>
  <si>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</si>
  <si>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</si>
  <si>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</si>
  <si>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</si>
  <si>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</si>
  <si>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</si>
  <si>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</si>
  <si>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</si>
  <si>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</si>
  <si>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</si>
  <si>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</si>
  <si>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</si>
  <si>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</si>
  <si>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</si>
  <si>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</si>
  <si>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</si>
  <si>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</si>
  <si>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</si>
  <si>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</si>
  <si>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</si>
  <si>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</si>
  <si>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</si>
  <si>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</si>
  <si>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</si>
  <si>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</si>
  <si>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</si>
  <si>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</si>
  <si>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</si>
  <si>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</si>
  <si>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</si>
  <si>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</si>
  <si>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</si>
  <si>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</si>
  <si>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</si>
  <si>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</si>
  <si>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</si>
  <si>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</si>
  <si>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</si>
  <si>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</si>
  <si>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</si>
  <si>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</si>
  <si>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</si>
  <si>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</si>
  <si>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</si>
  <si>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</si>
  <si>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</si>
  <si>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</si>
  <si>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</si>
  <si>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</si>
  <si>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</si>
  <si>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</si>
  <si>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</si>
  <si>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</si>
  <si>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</si>
  <si>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</si>
  <si>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</si>
  <si>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</si>
  <si>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</si>
  <si>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</si>
  <si>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</si>
  <si>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</si>
  <si>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</si>
  <si>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</si>
  <si>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</si>
  <si>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</si>
  <si>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</si>
  <si>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</si>
  <si>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</si>
  <si>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</si>
  <si>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</si>
  <si>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</si>
  <si>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</si>
  <si>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</si>
  <si>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</si>
  <si>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</si>
  <si>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</si>
  <si>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</si>
  <si>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</si>
  <si>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</si>
  <si>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</si>
  <si>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</si>
  <si>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</si>
  <si>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</si>
  <si>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</si>
  <si>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</si>
  <si>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</si>
  <si>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</si>
  <si>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</si>
  <si>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</si>
  <si>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</si>
  <si>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</si>
  <si>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</si>
  <si>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</si>
  <si>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</si>
  <si>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</si>
  <si>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</si>
  <si>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</si>
  <si>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</si>
  <si>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</si>
  <si>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</si>
  <si>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</si>
  <si>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</si>
  <si>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</si>
  <si>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</si>
  <si>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</si>
  <si>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</si>
  <si>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</si>
  <si>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</si>
  <si>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</si>
  <si>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</si>
  <si>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</si>
  <si>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</si>
  <si>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</si>
  <si>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</si>
  <si>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</si>
  <si>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</si>
  <si>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</si>
  <si>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</si>
  <si>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</si>
  <si>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</si>
  <si>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</si>
  <si>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</si>
  <si>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</si>
  <si>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</si>
  <si>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</si>
  <si>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</si>
  <si>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</si>
  <si>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</si>
  <si>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</si>
  <si>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</si>
  <si>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</si>
  <si>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</si>
  <si>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</si>
  <si>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</si>
  <si>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</si>
  <si>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</si>
  <si>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</si>
  <si>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</si>
  <si>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</si>
  <si>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</si>
  <si>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</si>
  <si>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</si>
  <si>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</si>
  <si>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</si>
  <si>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</si>
  <si>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</si>
  <si>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</si>
  <si>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</si>
  <si>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</si>
  <si>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</si>
  <si>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</si>
  <si>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</si>
  <si>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</si>
  <si>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</si>
  <si>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</si>
  <si>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</si>
  <si>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</si>
  <si>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</si>
  <si>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</si>
  <si>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</si>
  <si>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</si>
  <si>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</si>
  <si>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</si>
  <si>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</si>
  <si>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</si>
  <si>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</si>
  <si>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</si>
  <si>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</si>
  <si>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</si>
  <si>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</si>
  <si>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</si>
  <si>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</si>
  <si>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</si>
  <si>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</si>
  <si>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</si>
  <si>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</si>
  <si>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</si>
  <si>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</si>
  <si>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</si>
  <si>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</si>
  <si>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</si>
  <si>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</si>
  <si>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</si>
  <si>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</si>
  <si>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</si>
  <si>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</si>
  <si>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</si>
  <si>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</si>
  <si>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</si>
  <si>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</si>
  <si>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</si>
  <si>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</si>
  <si>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</si>
  <si>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</si>
  <si>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</si>
  <si>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</si>
  <si>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</si>
  <si>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</si>
  <si>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</si>
  <si>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</si>
  <si>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</si>
  <si>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</si>
  <si>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</si>
  <si>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</si>
  <si>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</si>
  <si>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</si>
  <si>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</si>
  <si>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</si>
  <si>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</si>
  <si>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</si>
  <si>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</si>
  <si>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</si>
  <si>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</si>
  <si>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</si>
  <si>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</si>
  <si>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</si>
  <si>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</si>
  <si>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</si>
  <si>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</si>
  <si>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</si>
  <si>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</si>
  <si>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</si>
  <si>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</si>
  <si>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</si>
  <si>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</si>
  <si>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</si>
  <si>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</si>
  <si>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</si>
  <si>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</si>
  <si>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</si>
  <si>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</si>
  <si>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</si>
  <si>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</si>
  <si>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</si>
  <si>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</si>
  <si>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</si>
  <si>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</si>
  <si>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</si>
  <si>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</si>
  <si>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</si>
  <si>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</si>
  <si>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</si>
  <si>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</si>
  <si>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</si>
  <si>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</si>
  <si>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</si>
  <si>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</si>
  <si>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</si>
  <si>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</si>
  <si>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</si>
  <si>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</si>
  <si>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</si>
  <si>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</si>
  <si>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</si>
  <si>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</si>
  <si>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</si>
  <si>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</si>
  <si>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</si>
  <si>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</si>
  <si>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</si>
  <si>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</si>
  <si>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</si>
  <si>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</si>
  <si>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</si>
  <si>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</si>
  <si>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</si>
  <si>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</si>
  <si>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</si>
  <si>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</si>
  <si>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</si>
  <si>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</si>
  <si>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</si>
  <si>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</si>
  <si>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</si>
  <si>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</si>
  <si>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</si>
  <si>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</si>
  <si>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</si>
  <si>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</si>
  <si>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</si>
  <si>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</si>
  <si>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</si>
  <si>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</si>
  <si>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</si>
  <si>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</si>
  <si>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</si>
  <si>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</si>
  <si>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</si>
  <si>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</si>
  <si>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</si>
  <si>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</si>
  <si>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</si>
  <si>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</si>
  <si>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</si>
  <si>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</si>
  <si>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</si>
  <si>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</si>
  <si>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</si>
  <si>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</si>
  <si>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</si>
  <si>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</si>
  <si>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</si>
  <si>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</si>
  <si>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</si>
  <si>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</si>
  <si>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</si>
  <si>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</si>
  <si>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</si>
  <si>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</si>
  <si>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</si>
  <si>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</si>
  <si>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</si>
  <si>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</si>
  <si>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</si>
  <si>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</si>
  <si>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</si>
  <si>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</si>
  <si>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</si>
  <si>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</si>
  <si>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</si>
  <si>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</si>
  <si>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</si>
  <si>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</si>
  <si>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</si>
  <si>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</si>
  <si>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</si>
  <si>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</si>
  <si>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</si>
  <si>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</si>
  <si>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</si>
  <si>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</si>
  <si>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</si>
  <si>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</si>
  <si>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</si>
  <si>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</si>
  <si>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</si>
  <si>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</si>
  <si>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</si>
  <si>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</si>
  <si>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</si>
  <si>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</si>
  <si>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</si>
  <si>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</si>
  <si>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</si>
  <si>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</si>
  <si>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</si>
  <si>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</si>
  <si>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</si>
  <si>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</si>
  <si>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</si>
  <si>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</si>
  <si>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</si>
  <si>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</si>
  <si>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</si>
  <si>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</si>
  <si>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</si>
  <si>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</si>
  <si>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</si>
  <si>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</si>
  <si>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</si>
  <si>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</si>
  <si>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</si>
  <si>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</si>
  <si>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</si>
  <si>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</si>
  <si>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</si>
  <si>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</si>
  <si>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</si>
  <si>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</si>
  <si>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</si>
  <si>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</si>
  <si>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</si>
  <si>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</si>
  <si>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</si>
  <si>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</si>
  <si>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</si>
  <si>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</si>
  <si>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</si>
  <si>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</si>
  <si>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</si>
  <si>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</si>
  <si>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</si>
  <si>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</si>
  <si>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</si>
  <si>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</si>
  <si>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</si>
  <si>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</si>
  <si>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</si>
  <si>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</si>
  <si>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</si>
  <si>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</si>
  <si>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</si>
  <si>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</si>
  <si>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</si>
  <si>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</si>
  <si>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</si>
  <si>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</si>
  <si>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</si>
  <si>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</si>
  <si>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</si>
  <si>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</si>
  <si>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</si>
  <si>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</si>
  <si>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</si>
  <si>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</si>
  <si>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</si>
  <si>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</si>
  <si>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</si>
  <si>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</si>
  <si>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</si>
  <si>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</si>
  <si>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</si>
  <si>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</si>
  <si>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</si>
  <si>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</si>
  <si>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</si>
  <si>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</si>
  <si>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</si>
  <si>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</si>
  <si>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</si>
  <si>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</si>
  <si>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</si>
  <si>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</si>
  <si>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</si>
  <si>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</si>
  <si>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</si>
  <si>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</si>
  <si>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</si>
  <si>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</si>
  <si>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</si>
  <si>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</si>
  <si>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</si>
  <si>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</si>
  <si>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</si>
  <si>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</si>
  <si>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</si>
  <si>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</si>
  <si>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</si>
  <si>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</si>
  <si>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</si>
  <si>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</si>
  <si>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</si>
  <si>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</si>
  <si>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</si>
  <si>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</si>
  <si>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</si>
  <si>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</si>
  <si>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</si>
  <si>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</si>
  <si>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</si>
  <si>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</si>
  <si>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</si>
  <si>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</si>
  <si>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</si>
  <si>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</si>
  <si>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</si>
  <si>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</si>
  <si>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</si>
  <si>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</si>
  <si>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</si>
  <si>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</si>
  <si>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</si>
  <si>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</si>
  <si>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</si>
  <si>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</si>
  <si>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</si>
  <si>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</si>
  <si>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</si>
  <si>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</si>
  <si>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</si>
  <si>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</si>
  <si>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</si>
  <si>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</si>
  <si>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</si>
  <si>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</si>
  <si>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</si>
  <si>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</si>
  <si>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</si>
  <si>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</si>
  <si>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</si>
  <si>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</si>
  <si>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</si>
  <si>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</si>
  <si>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</si>
  <si>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</si>
  <si>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</si>
  <si>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</si>
  <si>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</si>
  <si>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</si>
  <si>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</si>
  <si>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</si>
  <si>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</si>
  <si>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</si>
  <si>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</si>
  <si>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</si>
  <si>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</si>
  <si>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</si>
  <si>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</si>
  <si>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</si>
  <si>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</si>
  <si>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</si>
  <si>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</si>
  <si>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</si>
  <si>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</si>
  <si>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</si>
  <si>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</si>
  <si>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</si>
  <si>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</si>
  <si>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</si>
  <si>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</si>
  <si>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</si>
  <si>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</si>
  <si>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</si>
  <si>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</si>
  <si>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</si>
  <si>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</si>
  <si>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</si>
  <si>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</si>
  <si>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</si>
  <si>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</si>
  <si>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</si>
  <si>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</si>
  <si>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</si>
  <si>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</si>
  <si>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</si>
  <si>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</si>
  <si>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</si>
  <si>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</si>
  <si>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</si>
  <si>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</si>
  <si>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</si>
  <si>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</si>
  <si>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</si>
  <si>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</si>
  <si>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</si>
  <si>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</si>
  <si>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</si>
  <si>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</si>
  <si>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</si>
  <si>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</si>
  <si>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</si>
  <si>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</si>
  <si>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</si>
  <si>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</si>
  <si>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</si>
  <si>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</si>
  <si>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</si>
  <si>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</si>
  <si>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</si>
  <si>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</si>
  <si>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</si>
  <si>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</si>
  <si>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</si>
  <si>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</si>
  <si>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</si>
  <si>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</si>
  <si>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</si>
  <si>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</si>
  <si>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</si>
  <si>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</si>
  <si>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</si>
  <si>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</si>
  <si>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</si>
  <si>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</si>
  <si>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</si>
  <si>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</si>
  <si>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</si>
  <si>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</si>
  <si>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</si>
  <si>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</si>
  <si>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</si>
  <si>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</si>
  <si>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</si>
  <si>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</si>
  <si>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</si>
  <si>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</si>
  <si>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</si>
  <si>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</si>
  <si>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</si>
  <si>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</si>
  <si>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</si>
  <si>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</si>
  <si>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</si>
  <si>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</si>
  <si>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</si>
  <si>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</si>
  <si>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</si>
  <si>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</si>
  <si>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</si>
  <si>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</si>
  <si>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</si>
  <si>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</si>
  <si>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</si>
  <si>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</si>
  <si>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</si>
  <si>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</si>
  <si>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</si>
  <si>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</si>
  <si>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</si>
  <si>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</si>
  <si>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</si>
  <si>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</si>
  <si>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</si>
  <si>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</si>
  <si>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</si>
  <si>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</si>
  <si>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</si>
  <si>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</si>
  <si>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</si>
  <si>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</si>
  <si>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</si>
  <si>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</si>
  <si>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</si>
  <si>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</si>
  <si>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</si>
  <si>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</si>
  <si>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</si>
  <si>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</si>
  <si>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</si>
  <si>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</si>
  <si>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</si>
  <si>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</si>
  <si>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</si>
  <si>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</si>
  <si>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</si>
  <si>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</si>
  <si>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</si>
  <si>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</si>
  <si>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</si>
  <si>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</si>
  <si>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</si>
  <si>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</si>
  <si>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</si>
  <si>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</si>
  <si>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</si>
  <si>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</si>
  <si>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</si>
  <si>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</si>
  <si>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</si>
  <si>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</si>
  <si>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</si>
  <si>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</si>
  <si>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</si>
  <si>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</si>
  <si>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</si>
  <si>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</si>
  <si>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</si>
  <si>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</si>
  <si>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</si>
  <si>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</si>
  <si>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</si>
  <si>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</si>
  <si>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</si>
  <si>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</si>
  <si>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</si>
  <si>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</si>
  <si>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</si>
  <si>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</si>
  <si>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</si>
  <si>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</si>
  <si>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</si>
  <si>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</si>
  <si>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</si>
  <si>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</si>
  <si>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</si>
  <si>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</si>
  <si>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</si>
  <si>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</si>
  <si>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</si>
  <si>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</si>
  <si>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</si>
  <si>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</si>
  <si>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</si>
  <si>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</si>
  <si>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</si>
  <si>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</si>
  <si>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</si>
  <si>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</si>
  <si>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</si>
  <si>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</si>
  <si>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</si>
  <si>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</si>
  <si>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</si>
  <si>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</si>
  <si>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</si>
  <si>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</si>
  <si>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</si>
  <si>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</si>
  <si>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</si>
  <si>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</si>
  <si>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</si>
  <si>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</si>
  <si>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</si>
  <si>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</si>
  <si>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</si>
  <si>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</si>
  <si>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</si>
  <si>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</si>
  <si>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</si>
  <si>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</si>
  <si>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</si>
  <si>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</si>
  <si>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</si>
  <si>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</si>
  <si>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</si>
  <si>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</si>
  <si>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</si>
  <si>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</si>
  <si>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</si>
  <si>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</si>
  <si>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</si>
  <si>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</si>
  <si>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</si>
  <si>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</si>
  <si>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</si>
  <si>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</si>
  <si>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</si>
  <si>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</si>
  <si>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</si>
  <si>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</si>
  <si>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</si>
  <si>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</si>
  <si>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</si>
  <si>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</si>
  <si>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</si>
  <si>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</si>
  <si>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</si>
  <si>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</si>
  <si>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</si>
  <si>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</si>
  <si>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</si>
  <si>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</si>
  <si>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</si>
  <si>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</si>
  <si>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</si>
  <si>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</si>
  <si>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</si>
  <si>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</si>
  <si>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</si>
  <si>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</si>
  <si>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</si>
  <si>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</si>
  <si>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</si>
  <si>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</si>
  <si>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</si>
  <si>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</si>
  <si>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</si>
  <si>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</si>
  <si>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</si>
  <si>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</si>
  <si>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</si>
  <si>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</si>
  <si>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</si>
  <si>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</si>
  <si>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</si>
  <si>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</si>
  <si>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</si>
  <si>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</si>
  <si>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</si>
  <si>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</si>
  <si>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</si>
  <si>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</si>
  <si>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</si>
  <si>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</si>
  <si>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</si>
  <si>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</si>
  <si>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</si>
  <si>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</si>
  <si>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</si>
  <si>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</si>
  <si>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</si>
  <si>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</si>
  <si>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</si>
  <si>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</si>
  <si>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</si>
  <si>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</si>
  <si>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</si>
  <si>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</si>
  <si>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</si>
  <si>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</si>
  <si>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</si>
  <si>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</si>
  <si>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</si>
  <si>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</si>
  <si>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</si>
  <si>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</si>
  <si>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</si>
  <si>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</si>
  <si>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</si>
  <si>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</si>
  <si>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</si>
  <si>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</si>
  <si>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</si>
  <si>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</si>
  <si>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</si>
  <si>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</si>
  <si>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</si>
  <si>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</si>
  <si>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</si>
  <si>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</si>
  <si>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</si>
  <si>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</si>
  <si>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</si>
  <si>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</si>
  <si>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</si>
  <si>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</si>
  <si>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</si>
  <si>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</si>
  <si>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</si>
  <si>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</si>
  <si>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</si>
  <si>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</si>
  <si>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</si>
  <si>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</si>
  <si>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</si>
  <si>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</si>
  <si>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</si>
  <si>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</si>
  <si>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</si>
  <si>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</si>
  <si>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</si>
  <si>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</si>
  <si>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</si>
  <si>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</si>
  <si>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</si>
  <si>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</si>
  <si>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</si>
  <si>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</si>
  <si>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</si>
  <si>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</si>
  <si>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</si>
  <si>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</si>
  <si>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</si>
  <si>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</si>
  <si>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</si>
  <si>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</si>
  <si>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</si>
  <si>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</si>
  <si>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</si>
  <si>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</si>
  <si>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</si>
  <si>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</si>
  <si>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</si>
  <si>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</si>
  <si>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</si>
  <si>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</si>
  <si>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</si>
  <si>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</si>
  <si>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</si>
  <si>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</si>
  <si>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</si>
  <si>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</si>
  <si>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</si>
  <si>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</si>
  <si>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</si>
  <si>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</si>
  <si>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</si>
  <si>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</si>
  <si>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</si>
  <si>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</si>
  <si>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</si>
  <si>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</si>
  <si>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</si>
  <si>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</si>
  <si>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</si>
  <si>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</si>
  <si>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</si>
  <si>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</si>
  <si>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</si>
  <si>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</si>
  <si>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</si>
  <si>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</si>
  <si>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</si>
  <si>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</si>
  <si>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</si>
  <si>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</si>
  <si>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</si>
  <si>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</si>
  <si>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</si>
  <si>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</si>
  <si>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</si>
  <si>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</si>
  <si>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</si>
  <si>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</si>
  <si>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</si>
  <si>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</si>
  <si>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</si>
  <si>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</si>
  <si>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</si>
  <si>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</si>
  <si>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</si>
  <si>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</si>
  <si>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</si>
  <si>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</si>
  <si>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</si>
  <si>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</si>
  <si>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</si>
  <si>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</si>
  <si>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</si>
  <si>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</si>
  <si>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</si>
  <si>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</si>
  <si>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</si>
  <si>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</si>
  <si>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</si>
  <si>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</si>
  <si>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</si>
  <si>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</si>
  <si>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</si>
  <si>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</si>
  <si>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</si>
  <si>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</si>
  <si>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</si>
  <si>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</si>
  <si>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</si>
  <si>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</si>
  <si>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</si>
  <si>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</si>
  <si>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</si>
  <si>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</si>
  <si>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</si>
  <si>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</si>
  <si>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</si>
  <si>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</si>
  <si>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</si>
  <si>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</si>
  <si>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</si>
  <si>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</si>
  <si>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</si>
  <si>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</si>
  <si>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</si>
  <si>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</si>
  <si>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</si>
  <si>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</si>
  <si>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</si>
  <si>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</si>
  <si>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</si>
  <si>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</si>
  <si>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</si>
  <si>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</si>
  <si>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</si>
  <si>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</si>
  <si>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</si>
  <si>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</si>
  <si>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</si>
  <si>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</si>
  <si>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</si>
  <si>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</si>
  <si>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</si>
  <si>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</si>
  <si>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</si>
  <si>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</si>
  <si>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</si>
  <si>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</si>
  <si>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</si>
  <si>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</si>
  <si>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</si>
  <si>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</si>
  <si>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</si>
  <si>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</si>
  <si>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</si>
  <si>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</si>
  <si>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</si>
  <si>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</si>
  <si>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</si>
  <si>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</si>
  <si>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</si>
  <si>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</si>
  <si>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</si>
  <si>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</si>
  <si>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</si>
  <si>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</si>
  <si>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</si>
  <si>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</si>
  <si>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</si>
  <si>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</si>
  <si>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</si>
  <si>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</si>
  <si>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</si>
  <si>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</si>
  <si>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</si>
  <si>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</si>
  <si>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</si>
  <si>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</si>
  <si>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</si>
  <si>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</si>
  <si>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</si>
  <si>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</si>
  <si>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</si>
  <si>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</si>
  <si>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</si>
  <si>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</si>
  <si>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</si>
  <si>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</si>
  <si>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</si>
  <si>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</si>
  <si>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</si>
  <si>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</si>
  <si>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</si>
  <si>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</si>
  <si>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</si>
  <si>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</si>
  <si>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</si>
  <si>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</si>
  <si>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</si>
  <si>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</si>
  <si>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</si>
  <si>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</si>
  <si>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</si>
  <si>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</si>
  <si>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</si>
  <si>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</si>
  <si>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</si>
  <si>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</si>
  <si>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</si>
  <si>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</si>
  <si>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</si>
  <si>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</si>
  <si>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</si>
  <si>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</si>
  <si>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</si>
  <si>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</si>
  <si>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</si>
  <si>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</si>
  <si>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</si>
  <si>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</si>
  <si>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</si>
  <si>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</si>
  <si>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</si>
  <si>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</si>
  <si>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</si>
  <si>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</si>
  <si>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</si>
  <si>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</si>
  <si>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</si>
  <si>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</si>
  <si>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</si>
  <si>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</si>
  <si>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</si>
  <si>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</si>
  <si>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</si>
  <si>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</si>
  <si>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</si>
  <si>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</si>
  <si>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</si>
  <si>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</si>
  <si>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</si>
  <si>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</si>
  <si>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</si>
  <si>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</si>
  <si>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</si>
  <si>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</si>
  <si>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</si>
  <si>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</si>
  <si>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</si>
  <si>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</si>
  <si>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</si>
  <si>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</si>
  <si>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</si>
  <si>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</si>
  <si>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</si>
  <si>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</si>
  <si>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</si>
  <si>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</si>
  <si>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</si>
  <si>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</si>
  <si>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</si>
  <si>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</si>
  <si>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</si>
  <si>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</si>
  <si>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</si>
  <si>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</si>
  <si>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</si>
  <si>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</si>
  <si>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</si>
  <si>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</si>
  <si>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</si>
  <si>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</si>
  <si>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</si>
  <si>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</si>
  <si>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</si>
  <si>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</si>
  <si>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</si>
  <si>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</si>
  <si>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</si>
  <si>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</si>
  <si>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</si>
  <si>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</si>
  <si>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</si>
  <si>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</si>
  <si>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</si>
  <si>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</si>
  <si>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</si>
  <si>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</si>
  <si>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</si>
  <si>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</si>
  <si>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</si>
  <si>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</si>
  <si>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</si>
  <si>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</si>
  <si>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</si>
  <si>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</si>
  <si>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</si>
  <si>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</si>
  <si>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</si>
  <si>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</si>
  <si>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</si>
  <si>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</si>
  <si>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</si>
  <si>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</si>
  <si>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</si>
  <si>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</si>
  <si>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</si>
  <si>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</si>
  <si>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</si>
  <si>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</si>
  <si>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</si>
  <si>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</si>
  <si>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</si>
  <si>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</si>
  <si>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</si>
  <si>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</si>
  <si>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</si>
  <si>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</si>
  <si>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</si>
  <si>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</si>
  <si>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</si>
  <si>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</si>
  <si>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</si>
  <si>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</si>
  <si>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</si>
  <si>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</si>
  <si>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</si>
  <si>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</si>
  <si>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</si>
  <si>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</si>
  <si>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</si>
  <si>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</si>
  <si>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</si>
  <si>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</si>
  <si>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</si>
  <si>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</si>
  <si>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</si>
  <si>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</si>
  <si>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</si>
  <si>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</si>
  <si>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</si>
  <si>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</si>
  <si>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</si>
  <si>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</si>
  <si>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</si>
  <si>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</si>
  <si>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</si>
  <si>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</si>
  <si>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</si>
  <si>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</si>
  <si>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</si>
  <si>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</si>
  <si>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</si>
  <si>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</si>
  <si>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</si>
  <si>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</si>
  <si>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</si>
  <si>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</si>
  <si>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</si>
  <si>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</si>
  <si>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</si>
  <si>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</si>
  <si>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</si>
  <si>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</si>
  <si>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</si>
  <si>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</si>
  <si>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</si>
  <si>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</si>
  <si>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</si>
  <si>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</si>
  <si>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</si>
  <si>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</si>
  <si>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</si>
  <si>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</si>
  <si>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</si>
  <si>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</si>
  <si>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</si>
  <si>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</si>
  <si>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</si>
  <si>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</si>
  <si>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</si>
  <si>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</si>
  <si>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</si>
  <si>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</si>
  <si>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</si>
  <si>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</si>
  <si>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</si>
  <si>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</si>
  <si>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</si>
  <si>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</si>
  <si>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</si>
  <si>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</si>
  <si>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</si>
  <si>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</si>
  <si>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</si>
  <si>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</si>
  <si>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</si>
  <si>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</si>
  <si>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</si>
  <si>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</si>
  <si>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</si>
  <si>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</si>
  <si>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</si>
  <si>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</si>
  <si>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</si>
  <si>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</si>
  <si>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</si>
  <si>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</si>
  <si>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</si>
  <si>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</si>
  <si>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</si>
  <si>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</si>
  <si>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</si>
  <si>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</si>
  <si>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</si>
  <si>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</si>
  <si>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</si>
  <si>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</si>
  <si>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</si>
  <si>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</si>
  <si>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</si>
  <si>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</si>
  <si>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</si>
  <si>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</si>
  <si>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</si>
  <si>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</si>
  <si>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</si>
  <si>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</si>
  <si>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</si>
  <si>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</si>
  <si>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</si>
  <si>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</si>
  <si>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</si>
  <si>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</si>
  <si>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</si>
  <si>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</si>
  <si>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</si>
  <si>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</si>
  <si>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</si>
  <si>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</si>
  <si>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</si>
  <si>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</si>
  <si>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</si>
  <si>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</si>
  <si>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</si>
  <si>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</si>
  <si>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</si>
  <si>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</si>
  <si>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</si>
  <si>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</si>
  <si>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</si>
  <si>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</si>
  <si>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</si>
  <si>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</si>
  <si>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</si>
  <si>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</si>
  <si>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</si>
  <si>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</si>
  <si>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</si>
  <si>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</si>
  <si>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</si>
  <si>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</si>
  <si>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</si>
  <si>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</si>
  <si>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</si>
  <si>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</si>
  <si>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</si>
  <si>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</si>
  <si>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</si>
  <si>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</si>
  <si>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</si>
  <si>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</si>
  <si>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</si>
  <si>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</si>
  <si>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</si>
  <si>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</si>
  <si>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</si>
  <si>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</si>
  <si>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</si>
  <si>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</si>
  <si>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</si>
  <si>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</si>
  <si>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</si>
  <si>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</si>
  <si>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</si>
  <si>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</si>
  <si>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</si>
  <si>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</si>
  <si>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</si>
  <si>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</si>
  <si>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</si>
  <si>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</si>
  <si>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</si>
  <si>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</si>
  <si>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</si>
  <si>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</si>
  <si>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</si>
  <si>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</si>
  <si>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</si>
  <si>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</si>
  <si>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</si>
  <si>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</si>
  <si>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</si>
  <si>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</si>
  <si>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</si>
  <si>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</si>
  <si>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</si>
  <si>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</si>
  <si>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</si>
  <si>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</si>
  <si>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</si>
  <si>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</si>
  <si>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</si>
  <si>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</si>
  <si>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</si>
  <si>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</si>
  <si>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</si>
  <si>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</si>
  <si>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</si>
  <si>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</si>
  <si>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</si>
  <si>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</si>
  <si>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</si>
  <si>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</si>
  <si>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</si>
  <si>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</si>
  <si>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</si>
  <si>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</si>
  <si>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</si>
  <si>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</si>
  <si>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</si>
  <si>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</si>
  <si>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</si>
  <si>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</si>
  <si>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</si>
  <si>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</si>
  <si>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</si>
  <si>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</si>
  <si>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</si>
  <si>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</si>
  <si>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</si>
  <si>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</si>
  <si>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</si>
  <si>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</si>
  <si>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</si>
  <si>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</si>
  <si>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</si>
  <si>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</si>
  <si>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</si>
  <si>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</si>
  <si>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</si>
  <si>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</si>
  <si>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</si>
  <si>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</si>
  <si>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</si>
  <si>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</si>
  <si>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</si>
  <si>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</si>
  <si>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</si>
  <si>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</si>
  <si>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</si>
  <si>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</si>
  <si>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</si>
  <si>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</si>
  <si>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</si>
  <si>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</si>
  <si>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</si>
  <si>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</si>
  <si>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</si>
  <si>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</si>
  <si>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</si>
  <si>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</si>
  <si>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</si>
  <si>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</si>
  <si>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</si>
  <si>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</si>
  <si>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</si>
  <si>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</si>
  <si>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</si>
  <si>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</si>
  <si>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</si>
  <si>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</si>
  <si>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</si>
  <si>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</si>
  <si>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</si>
  <si>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</si>
  <si>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</si>
  <si>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</si>
  <si>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</si>
  <si>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</si>
  <si>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</si>
  <si>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</si>
  <si>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</si>
  <si>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</si>
  <si>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</si>
  <si>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</si>
  <si>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</si>
  <si>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</si>
  <si>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</si>
  <si>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</si>
  <si>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</si>
  <si>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</si>
  <si>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</si>
  <si>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</si>
  <si>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</si>
  <si>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</si>
  <si>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</si>
  <si>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</si>
  <si>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</si>
  <si>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</si>
  <si>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</si>
  <si>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</si>
  <si>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</si>
  <si>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</si>
  <si>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</si>
  <si>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</si>
  <si>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</si>
  <si>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</si>
  <si>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</si>
  <si>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</si>
  <si>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</si>
  <si>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</si>
  <si>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</si>
  <si>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</si>
  <si>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</si>
  <si>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</si>
  <si>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</si>
  <si>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</si>
  <si>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</si>
  <si>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</si>
  <si>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</si>
  <si>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</si>
  <si>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</si>
  <si>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</si>
  <si>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</si>
  <si>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</si>
  <si>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</si>
  <si>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</si>
  <si>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</si>
  <si>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</si>
  <si>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</si>
  <si>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</si>
  <si>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</si>
  <si>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</si>
  <si>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</si>
  <si>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</si>
  <si>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</si>
  <si>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</si>
  <si>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</si>
  <si>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</si>
  <si>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</si>
  <si>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</si>
  <si>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</si>
  <si>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</si>
  <si>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</si>
  <si>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</si>
  <si>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</si>
  <si>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</si>
  <si>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</si>
  <si>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</si>
  <si>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</si>
  <si>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</si>
  <si>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</si>
  <si>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</si>
  <si>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</si>
  <si>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</si>
  <si>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</si>
  <si>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</si>
  <si>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</si>
  <si>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</si>
  <si>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</si>
  <si>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</si>
  <si>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</si>
  <si>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</si>
  <si>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</si>
  <si>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</si>
  <si>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</si>
  <si>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</si>
  <si>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</si>
  <si>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</si>
  <si>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</si>
  <si>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</si>
  <si>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</si>
  <si>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</si>
  <si>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</si>
  <si>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</si>
  <si>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</si>
  <si>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</si>
  <si>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</si>
  <si>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</si>
  <si>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</si>
  <si>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</si>
  <si>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</si>
  <si>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</si>
  <si>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</si>
  <si>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</si>
  <si>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</si>
  <si>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</si>
  <si>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</si>
  <si>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</si>
  <si>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</si>
  <si>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</si>
  <si>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</si>
  <si>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</si>
  <si>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</si>
  <si>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</si>
  <si>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</si>
  <si>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</si>
  <si>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</si>
  <si>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</si>
  <si>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</si>
  <si>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</si>
  <si>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</si>
  <si>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</si>
  <si>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</si>
  <si>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</si>
  <si>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</si>
  <si>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</si>
  <si>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</si>
  <si>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</si>
  <si>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</si>
  <si>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</si>
  <si>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</si>
  <si>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</si>
  <si>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</si>
  <si>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</si>
  <si>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</si>
  <si>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</si>
  <si>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</si>
  <si>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</si>
  <si>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</si>
  <si>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</si>
  <si>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</si>
  <si>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</si>
  <si>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</si>
  <si>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</si>
  <si>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</si>
  <si>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</si>
  <si>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</si>
  <si>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</si>
  <si>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</si>
  <si>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</si>
  <si>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</si>
  <si>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</si>
  <si>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</si>
  <si>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</si>
  <si>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</si>
  <si>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</si>
  <si>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</si>
  <si>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</si>
  <si>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</si>
  <si>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</si>
  <si>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</si>
  <si>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</si>
  <si>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</si>
  <si>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</si>
  <si>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</si>
  <si>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</si>
  <si>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</si>
  <si>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</si>
  <si>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</si>
  <si>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</si>
  <si>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</si>
  <si>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</si>
  <si>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</si>
  <si>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</si>
  <si>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</si>
  <si>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</si>
  <si>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</si>
  <si>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</si>
  <si>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</si>
  <si>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</si>
  <si>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</si>
  <si>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</si>
  <si>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</si>
  <si>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</si>
  <si>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</si>
  <si>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</si>
  <si>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</si>
  <si>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</si>
  <si>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</si>
  <si>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</si>
  <si>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</si>
  <si>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</si>
  <si>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</si>
  <si>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</si>
  <si>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</si>
  <si>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</si>
  <si>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</si>
  <si>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</si>
  <si>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</si>
  <si>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</si>
  <si>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</si>
  <si>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</si>
  <si>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</si>
  <si>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</si>
  <si>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</si>
  <si>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</si>
  <si>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</si>
  <si>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</si>
  <si>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</si>
  <si>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</si>
  <si>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</si>
  <si>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</si>
  <si>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</si>
  <si>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</si>
  <si>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</si>
  <si>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</si>
  <si>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</si>
  <si>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</si>
  <si>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</si>
  <si>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</si>
  <si>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</si>
  <si>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</si>
  <si>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</si>
  <si>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</si>
  <si>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</si>
  <si>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</si>
  <si>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</si>
  <si>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</si>
  <si>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</si>
  <si>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</si>
  <si>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</si>
  <si>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</si>
  <si>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</si>
  <si>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</si>
  <si>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</si>
  <si>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</si>
  <si>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</si>
  <si>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</si>
  <si>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</si>
  <si>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</si>
  <si>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</si>
  <si>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</si>
  <si>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</si>
  <si>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</si>
  <si>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</si>
  <si>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</si>
  <si>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</si>
  <si>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</si>
  <si>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</si>
  <si>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</si>
  <si>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</si>
  <si>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</si>
  <si>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</si>
  <si>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</si>
  <si>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</si>
  <si>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</si>
  <si>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</si>
  <si>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</si>
  <si>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</si>
  <si>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</si>
  <si>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</si>
  <si>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</si>
  <si>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</si>
  <si>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</si>
  <si>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</si>
  <si>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</si>
  <si>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</si>
  <si>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</si>
  <si>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</si>
  <si>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</si>
  <si>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</si>
  <si>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</si>
  <si>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</si>
  <si>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</si>
  <si>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</si>
  <si>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</si>
  <si>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</si>
  <si>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</si>
  <si>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</si>
  <si>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</si>
  <si>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</si>
  <si>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</si>
  <si>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</si>
  <si>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</si>
  <si>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</si>
  <si>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</si>
  <si>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</si>
  <si>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</si>
  <si>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</si>
  <si>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</si>
  <si>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</si>
  <si>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</si>
  <si>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</si>
  <si>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</si>
  <si>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</si>
  <si>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</si>
  <si>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</si>
  <si>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</si>
  <si>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</si>
  <si>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</si>
  <si>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</si>
  <si>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</si>
  <si>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</si>
  <si>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</si>
  <si>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</si>
  <si>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</si>
  <si>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</si>
  <si>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</si>
  <si>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</si>
  <si>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</si>
  <si>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</si>
  <si>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</si>
  <si>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</si>
  <si>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</si>
  <si>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</si>
  <si>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</si>
  <si>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</si>
  <si>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</si>
  <si>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</si>
  <si>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</si>
  <si>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</si>
  <si>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</si>
  <si>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</si>
  <si>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</si>
  <si>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</si>
  <si>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</si>
  <si>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</si>
  <si>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</si>
  <si>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</si>
  <si>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</si>
  <si>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</si>
  <si>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</si>
  <si>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</si>
  <si>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</si>
  <si>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</si>
  <si>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</si>
  <si>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</si>
  <si>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</si>
  <si>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</si>
  <si>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</si>
  <si>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</si>
  <si>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</si>
  <si>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</si>
  <si>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</si>
  <si>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</si>
  <si>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</si>
  <si>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</si>
  <si>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</si>
  <si>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</si>
  <si>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</si>
  <si>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</si>
  <si>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</si>
  <si>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</si>
  <si>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</si>
  <si>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</si>
  <si>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</si>
  <si>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</si>
  <si>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</si>
  <si>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</si>
  <si>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</si>
  <si>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</si>
  <si>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</si>
  <si>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</si>
  <si>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</si>
  <si>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</si>
  <si>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</si>
  <si>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</si>
  <si>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</si>
  <si>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</si>
  <si>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</si>
  <si>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</si>
  <si>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</si>
  <si>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</si>
  <si>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</si>
  <si>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</si>
  <si>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</si>
  <si>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</si>
  <si>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</si>
  <si>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</si>
  <si>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</si>
  <si>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</si>
  <si>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</si>
  <si>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</si>
  <si>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</si>
  <si>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</si>
  <si>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</si>
  <si>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</si>
  <si>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</si>
  <si>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</si>
  <si>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</si>
  <si>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</si>
  <si>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</si>
  <si>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</si>
  <si>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</si>
  <si>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</si>
  <si>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</si>
  <si>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</si>
  <si>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</si>
  <si>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</si>
  <si>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</si>
  <si>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</si>
  <si>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</si>
  <si>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</si>
  <si>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</si>
  <si>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</si>
  <si>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</si>
  <si>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</si>
  <si>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</si>
  <si>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</si>
  <si>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</si>
  <si>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</si>
  <si>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</si>
  <si>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</si>
  <si>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</si>
  <si>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</si>
  <si>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</si>
  <si>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</si>
  <si>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</si>
  <si>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</si>
  <si>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</si>
  <si>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</si>
  <si>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</si>
  <si>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</si>
  <si>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</si>
  <si>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</si>
  <si>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</si>
  <si>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</si>
  <si>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</si>
  <si>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</si>
  <si>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</si>
  <si>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</si>
  <si>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</si>
  <si>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</si>
  <si>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</si>
  <si>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</si>
  <si>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</si>
  <si>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</si>
  <si>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</si>
  <si>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</si>
  <si>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</si>
  <si>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</si>
  <si>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</si>
  <si>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</si>
  <si>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</si>
  <si>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</si>
  <si>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</si>
  <si>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</si>
  <si>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</si>
  <si>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</si>
  <si>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</si>
  <si>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</si>
  <si>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</si>
  <si>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</si>
  <si>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</si>
  <si>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</si>
  <si>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</si>
  <si>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</si>
  <si>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</si>
  <si>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</si>
  <si>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</si>
  <si>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</si>
  <si>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</si>
  <si>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</si>
  <si>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</si>
  <si>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</si>
  <si>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</si>
  <si>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</si>
  <si>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</si>
  <si>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</si>
  <si>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</si>
  <si>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</si>
  <si>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</si>
  <si>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</si>
  <si>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</si>
  <si>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</si>
  <si>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</si>
  <si>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</si>
  <si>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</si>
  <si>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</si>
  <si>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</si>
  <si>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</si>
  <si>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</si>
  <si>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</si>
  <si>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</si>
  <si>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</si>
  <si>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</si>
  <si>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</si>
  <si>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</si>
  <si>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</si>
  <si>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</si>
  <si>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</si>
  <si>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</si>
  <si>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</si>
  <si>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</si>
  <si>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</si>
  <si>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</si>
  <si>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</si>
  <si>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</si>
  <si>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</si>
  <si>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</si>
  <si>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</si>
  <si>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</si>
  <si>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</si>
  <si>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</si>
  <si>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</si>
  <si>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</si>
  <si>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</si>
  <si>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</si>
  <si>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</si>
  <si>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</si>
  <si>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</si>
  <si>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</si>
  <si>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</si>
  <si>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</si>
  <si>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</si>
  <si>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</si>
  <si>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</si>
  <si>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</si>
  <si>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</si>
  <si>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</si>
  <si>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</si>
  <si>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</si>
  <si>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</si>
  <si>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</si>
  <si>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</si>
  <si>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</si>
  <si>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</si>
  <si>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</si>
  <si>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</si>
  <si>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</si>
  <si>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</si>
  <si>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</si>
  <si>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</si>
  <si>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</si>
  <si>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</si>
  <si>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</si>
  <si>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</si>
  <si>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</si>
  <si>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</si>
  <si>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</si>
  <si>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</si>
  <si>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</si>
  <si>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</si>
  <si>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</si>
  <si>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</si>
  <si>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</si>
  <si>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</si>
  <si>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</si>
  <si>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</si>
  <si>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</si>
  <si>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</si>
  <si>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</si>
  <si>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</si>
  <si>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</si>
  <si>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</si>
  <si>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</si>
  <si>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</si>
  <si>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</si>
  <si>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</si>
  <si>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</si>
  <si>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</si>
  <si>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</si>
  <si>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</si>
  <si>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</si>
  <si>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</si>
  <si>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</si>
  <si>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</si>
  <si>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</si>
  <si>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</si>
  <si>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</si>
  <si>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</si>
  <si>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</si>
  <si>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</si>
  <si>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</si>
  <si>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</si>
  <si>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</si>
  <si>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</si>
  <si>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</si>
  <si>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</si>
  <si>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</si>
  <si>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</si>
  <si>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</si>
  <si>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</si>
  <si>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</si>
  <si>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</si>
  <si>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</si>
  <si>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</si>
  <si>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</si>
  <si>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</si>
  <si>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</si>
  <si>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</si>
  <si>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</si>
  <si>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</si>
  <si>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</si>
  <si>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</si>
  <si>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</si>
  <si>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</si>
  <si>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</si>
  <si>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</si>
  <si>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</si>
  <si>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</si>
  <si>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</si>
  <si>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</si>
  <si>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</si>
  <si>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</si>
  <si>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</si>
  <si>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</si>
  <si>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</si>
  <si>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</si>
  <si>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</si>
  <si>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</si>
  <si>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</si>
  <si>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</si>
  <si>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</si>
  <si>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</si>
  <si>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</si>
  <si>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</si>
  <si>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</si>
  <si>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</si>
  <si>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</si>
  <si>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</si>
  <si>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</si>
  <si>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</si>
  <si>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</si>
  <si>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</si>
  <si>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</si>
  <si>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</si>
  <si>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</si>
  <si>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</si>
  <si>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</si>
  <si>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</si>
  <si>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</si>
  <si>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</si>
  <si>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</si>
  <si>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</si>
  <si>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</si>
  <si>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</si>
  <si>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</si>
  <si>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</si>
  <si>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</si>
  <si>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</si>
  <si>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</si>
  <si>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</si>
  <si>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</si>
  <si>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</si>
  <si>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</si>
  <si>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</si>
  <si>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</si>
  <si>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</si>
  <si>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</si>
  <si>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</si>
  <si>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</si>
  <si>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</si>
  <si>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</si>
  <si>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</si>
  <si>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</si>
  <si>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</si>
  <si>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</si>
  <si>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</si>
  <si>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</si>
  <si>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</si>
  <si>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</si>
  <si>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</si>
  <si>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</si>
  <si>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</si>
  <si>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</si>
  <si>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</si>
  <si>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</si>
  <si>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</si>
  <si>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</si>
  <si>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</si>
  <si>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</si>
  <si>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</si>
  <si>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</si>
  <si>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</si>
  <si>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</si>
  <si>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</si>
  <si>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</si>
  <si>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</si>
  <si>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</si>
  <si>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</si>
  <si>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</si>
  <si>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</si>
  <si>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</si>
  <si>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</si>
  <si>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</si>
  <si>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</si>
  <si>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</si>
  <si>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</si>
  <si>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</si>
  <si>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</si>
  <si>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</si>
  <si>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</si>
  <si>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</si>
  <si>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</si>
  <si>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</si>
  <si>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</si>
  <si>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</si>
  <si>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</si>
  <si>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</si>
  <si>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</si>
  <si>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</si>
  <si>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</si>
  <si>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</si>
  <si>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</si>
  <si>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</si>
  <si>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</si>
  <si>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</si>
  <si>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</si>
  <si>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</si>
  <si>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</si>
  <si>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</si>
  <si>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</si>
  <si>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</si>
  <si>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</si>
  <si>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</si>
  <si>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</si>
  <si>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</si>
  <si>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</si>
  <si>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</si>
  <si>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</si>
  <si>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</si>
  <si>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</si>
  <si>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</si>
  <si>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</si>
  <si>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</si>
  <si>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</si>
  <si>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</si>
  <si>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</si>
  <si>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</si>
  <si>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</si>
  <si>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</si>
  <si>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</si>
  <si>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</si>
  <si>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</si>
  <si>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</si>
  <si>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</si>
  <si>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</si>
  <si>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</si>
  <si>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</si>
  <si>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</si>
  <si>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</si>
  <si>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</si>
  <si>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</si>
  <si>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</si>
  <si>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</si>
  <si>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</si>
  <si>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</si>
  <si>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</si>
  <si>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</si>
  <si>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</si>
  <si>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</si>
  <si>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</si>
  <si>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</si>
  <si>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</si>
  <si>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</si>
  <si>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</si>
  <si>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</si>
  <si>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</si>
  <si>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</si>
  <si>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</si>
  <si>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</si>
  <si>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</si>
  <si>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</si>
  <si>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</si>
  <si>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</si>
  <si>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</si>
  <si>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</si>
  <si>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</si>
  <si>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</si>
  <si>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</si>
  <si>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</si>
  <si>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</si>
  <si>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</si>
  <si>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</si>
  <si>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</si>
  <si>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</si>
  <si>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</si>
  <si>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</si>
  <si>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</si>
  <si>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</si>
  <si>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</si>
  <si>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</si>
  <si>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</si>
  <si>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</si>
  <si>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</si>
  <si>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</si>
  <si>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</si>
  <si>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</si>
  <si>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</si>
  <si>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</si>
  <si>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</si>
  <si>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</si>
  <si>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</si>
  <si>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</si>
  <si>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</si>
  <si>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</si>
  <si>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</si>
  <si>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</si>
  <si>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</si>
  <si>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</si>
  <si>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</si>
  <si>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</si>
  <si>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</si>
  <si>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</si>
  <si>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</si>
  <si>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</si>
  <si>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</si>
  <si>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</si>
  <si>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</si>
  <si>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</si>
  <si>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</si>
  <si>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</si>
  <si>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</si>
  <si>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</si>
  <si>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</si>
  <si>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</si>
  <si>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</si>
  <si>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</si>
  <si>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</si>
  <si>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</si>
  <si>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</si>
  <si>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</si>
  <si>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</si>
  <si>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</si>
  <si>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</si>
  <si>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</si>
  <si>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</si>
  <si>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</si>
  <si>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</si>
  <si>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</si>
  <si>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</si>
  <si>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</si>
  <si>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</si>
  <si>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</si>
  <si>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</si>
  <si>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</si>
  <si>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</si>
  <si>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</si>
  <si>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</si>
  <si>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</si>
  <si>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</si>
  <si>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</si>
  <si>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</si>
  <si>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</si>
  <si>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</si>
  <si>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</si>
  <si>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</si>
  <si>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</si>
  <si>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</si>
  <si>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</si>
  <si>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</si>
  <si>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</si>
  <si>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</si>
  <si>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</si>
  <si>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</si>
  <si>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</si>
  <si>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</si>
  <si>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</si>
  <si>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</si>
  <si>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</si>
  <si>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</si>
  <si>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</si>
  <si>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</si>
  <si>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</si>
  <si>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</si>
  <si>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</si>
  <si>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</si>
  <si>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</si>
  <si>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</si>
  <si>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</si>
  <si>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</si>
  <si>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</si>
  <si>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</si>
  <si>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</si>
  <si>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</si>
  <si>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</si>
  <si>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</si>
  <si>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</si>
  <si>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</si>
  <si>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</si>
  <si>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</si>
  <si>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</si>
  <si>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</si>
  <si>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</si>
  <si>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</si>
  <si>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</si>
  <si>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</si>
  <si>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</si>
  <si>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</si>
  <si>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</si>
  <si>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</si>
  <si>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</si>
  <si>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</si>
  <si>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</si>
  <si>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</si>
  <si>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</si>
  <si>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</si>
  <si>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</si>
  <si>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</si>
  <si>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</si>
  <si>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</si>
  <si>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</si>
  <si>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</si>
  <si>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</si>
  <si>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</si>
  <si>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</si>
  <si>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</si>
  <si>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</si>
  <si>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</si>
  <si>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</si>
  <si>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</si>
  <si>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</si>
  <si>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</si>
  <si>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</si>
  <si>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</si>
  <si>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</si>
  <si>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</si>
  <si>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</si>
  <si>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</si>
  <si>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</si>
  <si>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</si>
  <si>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</si>
  <si>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</si>
  <si>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</si>
  <si>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</si>
  <si>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</si>
  <si>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</si>
  <si>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</si>
  <si>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</si>
  <si>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</si>
  <si>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</si>
  <si>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</si>
  <si>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</si>
  <si>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</si>
  <si>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</si>
  <si>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</si>
  <si>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</si>
  <si>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</si>
  <si>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</si>
  <si>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</si>
  <si>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</si>
  <si>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</si>
  <si>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</si>
  <si>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</si>
  <si>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</si>
  <si>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</si>
  <si>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</si>
  <si>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</si>
  <si>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</si>
  <si>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</si>
  <si>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</si>
  <si>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</si>
  <si>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</si>
  <si>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</si>
  <si>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</si>
  <si>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</si>
  <si>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</si>
  <si>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</si>
  <si>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</si>
  <si>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</si>
  <si>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</si>
  <si>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</si>
  <si>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</si>
  <si>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</si>
  <si>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</si>
  <si>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</si>
  <si>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</si>
  <si>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</si>
  <si>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</si>
  <si>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</si>
  <si>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</si>
  <si>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</si>
  <si>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</si>
  <si>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</si>
  <si>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</si>
  <si>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</si>
  <si>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</si>
  <si>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</si>
  <si>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</si>
  <si>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</si>
  <si>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</si>
  <si>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</si>
  <si>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</si>
  <si>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</si>
  <si>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</si>
  <si>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</si>
  <si>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</si>
  <si>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</si>
  <si>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</si>
  <si>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</si>
  <si>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</si>
  <si>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</si>
  <si>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</si>
  <si>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</si>
  <si>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</si>
  <si>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</si>
  <si>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</si>
  <si>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</si>
  <si>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</si>
  <si>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</si>
  <si>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</si>
  <si>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</si>
  <si>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</si>
  <si>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</si>
  <si>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</si>
  <si>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</si>
  <si>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</si>
  <si>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</si>
  <si>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</si>
  <si>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</si>
  <si>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</si>
  <si>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</si>
  <si>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</si>
  <si>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</si>
  <si>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</si>
  <si>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</si>
  <si>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</si>
  <si>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</si>
  <si>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</si>
  <si>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</si>
  <si>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</si>
  <si>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</si>
  <si>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</si>
  <si>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</si>
  <si>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</si>
  <si>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</si>
  <si>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</si>
  <si>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</si>
  <si>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</si>
  <si>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</si>
  <si>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</si>
  <si>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</si>
  <si>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</si>
  <si>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</si>
  <si>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</si>
  <si>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</si>
  <si>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</si>
  <si>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</si>
  <si>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</si>
  <si>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</si>
  <si>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</si>
  <si>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</si>
  <si>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</si>
  <si>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</si>
  <si>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</si>
  <si>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</si>
  <si>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</si>
  <si>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</si>
  <si>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</si>
  <si>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</si>
  <si>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</si>
  <si>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</si>
  <si>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</si>
  <si>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</si>
  <si>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</si>
  <si>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</si>
  <si>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</si>
  <si>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</si>
  <si>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</si>
  <si>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</si>
  <si>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</si>
  <si>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</si>
  <si>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</si>
  <si>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</si>
  <si>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</si>
  <si>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</si>
  <si>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</si>
  <si>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</si>
  <si>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</si>
  <si>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</si>
  <si>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</si>
  <si>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</si>
  <si>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</si>
  <si>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</si>
  <si>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</si>
  <si>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</si>
  <si>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</si>
  <si>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</si>
  <si>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</si>
  <si>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</si>
  <si>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</si>
  <si>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</si>
  <si>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</si>
  <si>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</si>
  <si>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</si>
  <si>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</si>
  <si>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</si>
  <si>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</si>
  <si>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</si>
  <si>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</si>
  <si>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</si>
  <si>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</si>
  <si>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</si>
  <si>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</si>
  <si>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</si>
  <si>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</si>
  <si>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</si>
  <si>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</si>
  <si>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</si>
  <si>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</si>
  <si>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</si>
  <si>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</si>
  <si>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</si>
  <si>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</si>
  <si>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</si>
  <si>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</si>
  <si>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</si>
  <si>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</si>
  <si>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</si>
  <si>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</si>
  <si>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</si>
  <si>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</si>
  <si>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</si>
  <si>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</si>
  <si>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</si>
  <si>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</si>
  <si>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</si>
  <si>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</si>
  <si>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</si>
  <si>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</si>
  <si>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</si>
  <si>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</si>
  <si>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</si>
  <si>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</si>
  <si>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</si>
  <si>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</si>
  <si>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</si>
  <si>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</si>
  <si>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</si>
  <si>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</si>
  <si>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</si>
  <si>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</si>
  <si>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</si>
  <si>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</si>
  <si>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</si>
  <si>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</si>
  <si>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</si>
  <si>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</si>
  <si>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</si>
  <si>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</si>
  <si>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</si>
  <si>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</si>
  <si>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</si>
  <si>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</si>
  <si>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</si>
  <si>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</si>
  <si>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</si>
  <si>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</si>
  <si>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</si>
  <si>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</si>
  <si>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</si>
  <si>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</si>
  <si>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</si>
  <si>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</si>
  <si>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</si>
  <si>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</si>
  <si>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</si>
  <si>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</si>
  <si>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</si>
  <si>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</si>
  <si>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</si>
  <si>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</si>
  <si>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</si>
  <si>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</si>
  <si>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</si>
  <si>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</si>
  <si>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</si>
  <si>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</si>
  <si>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</si>
  <si>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</si>
  <si>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</si>
  <si>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</si>
  <si>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</si>
  <si>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</si>
  <si>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</si>
  <si>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</si>
  <si>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</si>
  <si>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</si>
  <si>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</si>
  <si>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</si>
  <si>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</si>
  <si>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</si>
  <si>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</si>
  <si>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</si>
  <si>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</si>
  <si>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</si>
  <si>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</si>
  <si>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</si>
  <si>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</si>
  <si>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</si>
  <si>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</si>
  <si>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</si>
  <si>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</si>
  <si>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</si>
  <si>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</si>
  <si>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</si>
  <si>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</si>
  <si>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</si>
  <si>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</si>
  <si>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</si>
  <si>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</si>
  <si>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</si>
  <si>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</si>
  <si>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</si>
  <si>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</si>
  <si>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</si>
  <si>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</si>
  <si>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</si>
  <si>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</si>
  <si>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</si>
  <si>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</si>
  <si>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</si>
  <si>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</si>
  <si>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</si>
  <si>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</si>
  <si>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</si>
  <si>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</si>
  <si>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</si>
  <si>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</si>
  <si>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</si>
  <si>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</si>
  <si>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</si>
  <si>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</si>
  <si>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</si>
  <si>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</si>
  <si>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</si>
  <si>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</si>
  <si>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</si>
  <si>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</si>
  <si>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</si>
  <si>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</si>
  <si>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</si>
  <si>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</si>
  <si>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</si>
  <si>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</si>
  <si>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</si>
  <si>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</si>
  <si>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</si>
  <si>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</si>
  <si>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</si>
  <si>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</si>
  <si>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</si>
  <si>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</si>
  <si>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</si>
  <si>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</si>
  <si>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</si>
  <si>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</si>
  <si>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</si>
  <si>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</si>
  <si>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</si>
  <si>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</si>
  <si>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</si>
  <si>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</si>
  <si>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</si>
  <si>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</si>
  <si>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</si>
  <si>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</si>
  <si>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</si>
  <si>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</si>
  <si>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</si>
  <si>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</si>
  <si>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</si>
  <si>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</si>
  <si>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</si>
  <si>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</si>
  <si>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</si>
  <si>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</si>
  <si>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</si>
  <si>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</si>
  <si>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</si>
  <si>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</si>
  <si>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</si>
  <si>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</si>
  <si>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</si>
  <si>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</si>
  <si>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</si>
  <si>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</si>
  <si>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</si>
  <si>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</si>
  <si>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</si>
  <si>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</si>
  <si>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</si>
  <si>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</si>
  <si>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</si>
  <si>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</si>
  <si>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</si>
  <si>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</si>
  <si>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</si>
  <si>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</si>
  <si>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</si>
  <si>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</si>
  <si>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</si>
  <si>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</si>
  <si>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</si>
  <si>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</si>
  <si>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</si>
  <si>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</si>
  <si>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</si>
  <si>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</si>
  <si>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</si>
  <si>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</si>
  <si>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</si>
  <si>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</si>
  <si>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</si>
  <si>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</si>
  <si>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</si>
  <si>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</si>
  <si>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</si>
  <si>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</si>
  <si>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</si>
  <si>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</si>
  <si>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</si>
  <si>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</si>
  <si>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</si>
  <si>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</si>
  <si>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</si>
  <si>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</si>
  <si>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</si>
  <si>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</si>
  <si>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</si>
  <si>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</si>
  <si>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</si>
  <si>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</si>
  <si>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</si>
  <si>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</si>
  <si>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</si>
  <si>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</si>
  <si>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</si>
  <si>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</si>
  <si>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</si>
  <si>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</si>
  <si>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</si>
  <si>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</si>
  <si>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</si>
  <si>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</si>
  <si>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</si>
  <si>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</si>
  <si>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</si>
  <si>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</si>
  <si>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</si>
  <si>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</si>
  <si>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</si>
  <si>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</si>
  <si>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</si>
  <si>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</si>
  <si>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</si>
  <si>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</si>
  <si>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</si>
  <si>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</si>
  <si>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</si>
  <si>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</si>
  <si>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</si>
  <si>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</si>
  <si>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</si>
  <si>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</si>
  <si>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</si>
  <si>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</si>
  <si>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</si>
  <si>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</si>
  <si>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</si>
  <si>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</si>
  <si>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</si>
  <si>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</si>
  <si>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</si>
  <si>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</si>
  <si>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</si>
  <si>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</si>
  <si>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</si>
  <si>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</si>
  <si>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</si>
  <si>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</si>
  <si>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</si>
  <si>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</si>
  <si>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</si>
  <si>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</si>
  <si>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</si>
  <si>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</si>
  <si>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</si>
  <si>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</si>
  <si>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</si>
  <si>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</si>
  <si>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</si>
  <si>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</si>
  <si>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</si>
  <si>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</si>
  <si>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</si>
  <si>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</si>
  <si>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</si>
  <si>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</si>
  <si>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</si>
  <si>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</si>
  <si>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</si>
  <si>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</si>
  <si>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</si>
  <si>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</si>
  <si>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</si>
  <si>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</si>
  <si>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</si>
  <si>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</si>
  <si>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</si>
  <si>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</si>
  <si>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</si>
  <si>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</si>
  <si>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</si>
  <si>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</si>
  <si>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</si>
  <si>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</si>
  <si>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</si>
  <si>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</si>
  <si>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</si>
  <si>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</si>
  <si>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</si>
  <si>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</si>
  <si>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</si>
  <si>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</si>
  <si>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</si>
  <si>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</si>
  <si>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</si>
  <si>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</si>
  <si>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</si>
  <si>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</si>
  <si>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</si>
  <si>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</si>
  <si>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</si>
  <si>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</si>
  <si>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</si>
  <si>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</si>
  <si>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</si>
  <si>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</si>
  <si>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</si>
  <si>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</si>
  <si>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</si>
  <si>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</si>
  <si>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</si>
  <si>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</si>
  <si>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</si>
  <si>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</si>
  <si>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</si>
  <si>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</si>
  <si>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</si>
  <si>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</si>
  <si>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</si>
  <si>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</si>
  <si>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</si>
  <si>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</si>
  <si>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</si>
  <si>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</si>
  <si>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</si>
  <si>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</si>
  <si>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</si>
  <si>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</si>
  <si>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</si>
  <si>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</si>
  <si>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</si>
  <si>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</si>
  <si>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</si>
  <si>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</si>
  <si>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</si>
  <si>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</si>
  <si>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</si>
  <si>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</si>
  <si>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</si>
  <si>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</si>
  <si>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</si>
  <si>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</si>
  <si>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</si>
  <si>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</si>
  <si>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</si>
  <si>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</si>
  <si>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</si>
  <si>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</si>
  <si>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</si>
  <si>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</si>
  <si>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</si>
  <si>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</si>
  <si>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</si>
  <si>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</si>
  <si>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</si>
  <si>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</si>
  <si>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</si>
  <si>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</si>
  <si>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</si>
  <si>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</si>
  <si>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</si>
  <si>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</si>
  <si>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</si>
  <si>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</si>
  <si>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</si>
  <si>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</si>
  <si>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</si>
  <si>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</si>
  <si>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</si>
  <si>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</si>
  <si>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</si>
  <si>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</si>
  <si>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</si>
  <si>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</si>
  <si>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</si>
  <si>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</si>
  <si>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</si>
  <si>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</si>
  <si>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</si>
  <si>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</si>
  <si>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</si>
  <si>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</si>
  <si>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</si>
  <si>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</si>
  <si>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</si>
  <si>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</si>
  <si>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</si>
  <si>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</si>
  <si>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</si>
  <si>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</si>
  <si>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</si>
  <si>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</si>
  <si>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</si>
  <si>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</si>
  <si>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</si>
  <si>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</si>
  <si>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</si>
  <si>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</si>
  <si>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</si>
  <si>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</si>
  <si>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</si>
  <si>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</si>
  <si>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</si>
  <si>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</si>
  <si>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</si>
  <si>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</si>
  <si>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</si>
  <si>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</si>
  <si>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</si>
  <si>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</si>
  <si>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</si>
  <si>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</si>
  <si>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</si>
  <si>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</si>
  <si>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</si>
  <si>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</si>
  <si>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</si>
  <si>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</si>
  <si>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</si>
  <si>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</si>
  <si>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</si>
  <si>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</si>
  <si>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</si>
  <si>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</si>
  <si>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</si>
  <si>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</si>
  <si>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</si>
  <si>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</si>
  <si>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</si>
  <si>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</si>
  <si>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</si>
  <si>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</si>
  <si>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</si>
  <si>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</si>
  <si>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</si>
  <si>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</si>
  <si>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</si>
  <si>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</si>
  <si>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</si>
  <si>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</si>
  <si>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</si>
  <si>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</si>
  <si>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</si>
  <si>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</si>
  <si>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</si>
  <si>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</si>
  <si>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</si>
  <si>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</si>
  <si>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</si>
  <si>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</si>
  <si>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</si>
  <si>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</si>
  <si>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</si>
  <si>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</si>
  <si>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</si>
  <si>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</si>
  <si>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</si>
  <si>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</si>
  <si>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</si>
  <si>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</si>
  <si>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</si>
  <si>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</si>
  <si>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</si>
  <si>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</si>
  <si>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</si>
  <si>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</si>
  <si>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</si>
  <si>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</si>
  <si>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</si>
  <si>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</si>
  <si>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</si>
  <si>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</si>
  <si>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</si>
  <si>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</si>
  <si>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</si>
  <si>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</si>
  <si>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</si>
  <si>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</si>
  <si>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</si>
  <si>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</si>
  <si>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</si>
  <si>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</si>
  <si>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</si>
  <si>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</si>
  <si>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</si>
  <si>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</si>
  <si>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</si>
  <si>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</si>
  <si>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</si>
  <si>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</si>
  <si>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</si>
  <si>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</si>
  <si>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</si>
  <si>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</si>
  <si>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</si>
  <si>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</si>
  <si>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</si>
  <si>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</si>
  <si>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</si>
  <si>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</si>
  <si>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</si>
  <si>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</si>
  <si>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</si>
  <si>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</si>
  <si>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</si>
  <si>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</si>
  <si>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</si>
  <si>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</si>
  <si>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</si>
  <si>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</si>
  <si>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</si>
  <si>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</si>
  <si>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</si>
  <si>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</si>
  <si>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</si>
  <si>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</si>
  <si>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</si>
  <si>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</si>
  <si>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</si>
  <si>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</si>
  <si>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</si>
  <si>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</si>
  <si>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</si>
  <si>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</si>
  <si>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</si>
  <si>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</si>
  <si>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</si>
  <si>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</si>
  <si>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</si>
  <si>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</si>
  <si>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</si>
  <si>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</si>
  <si>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</si>
  <si>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</si>
  <si>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</si>
  <si>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</si>
  <si>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</si>
  <si>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</si>
  <si>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</si>
  <si>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</si>
  <si>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</si>
  <si>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</si>
  <si>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</si>
  <si>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</si>
  <si>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</si>
  <si>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</si>
  <si>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</si>
  <si>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</si>
  <si>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</si>
  <si>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</si>
  <si>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</si>
  <si>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</si>
  <si>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</si>
  <si>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</si>
  <si>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</si>
  <si>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</si>
  <si>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</si>
  <si>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</si>
  <si>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</si>
  <si>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</si>
  <si>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</si>
  <si>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</si>
  <si>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</si>
  <si>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</si>
  <si>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</si>
  <si>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</si>
  <si>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</si>
  <si>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</si>
  <si>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</si>
  <si>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</si>
  <si>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</si>
  <si>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</si>
  <si>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</si>
  <si>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</si>
  <si>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</si>
  <si>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</si>
  <si>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</si>
  <si>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</si>
  <si>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</si>
  <si>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</si>
  <si>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</si>
  <si>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</si>
  <si>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</si>
  <si>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</si>
  <si>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</si>
  <si>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</si>
  <si>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</si>
  <si>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</si>
  <si>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</si>
  <si>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</si>
  <si>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</si>
  <si>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</si>
  <si>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</si>
  <si>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</si>
  <si>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</si>
  <si>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</si>
  <si>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</si>
  <si>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</si>
  <si>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</si>
  <si>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</si>
  <si>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</si>
  <si>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</si>
  <si>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</si>
  <si>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</si>
  <si>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</si>
  <si>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</si>
  <si>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</si>
  <si>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</si>
  <si>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</si>
  <si>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</si>
  <si>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</si>
  <si>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</si>
  <si>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</si>
  <si>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</si>
  <si>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</si>
  <si>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</si>
  <si>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</si>
  <si>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</si>
  <si>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</si>
  <si>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</si>
  <si>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</si>
  <si>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</si>
  <si>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</si>
  <si>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</si>
  <si>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</si>
  <si>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</si>
  <si>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</si>
  <si>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</si>
  <si>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</si>
  <si>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</si>
  <si>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</si>
  <si>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</si>
  <si>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</si>
  <si>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</si>
  <si>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</si>
  <si>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</si>
  <si>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</si>
  <si>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</si>
  <si>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</si>
  <si>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</si>
  <si>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</si>
  <si>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</si>
  <si>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</si>
  <si>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</si>
  <si>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</si>
  <si>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</si>
  <si>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</si>
  <si>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</si>
  <si>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</si>
  <si>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</si>
  <si>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</si>
  <si>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</si>
  <si>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</si>
  <si>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</si>
  <si>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</si>
  <si>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</si>
  <si>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</si>
  <si>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</si>
  <si>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</si>
  <si>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</si>
  <si>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</si>
  <si>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</si>
  <si>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</si>
  <si>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</si>
  <si>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</si>
  <si>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</si>
  <si>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</si>
  <si>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</si>
  <si>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</si>
  <si>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</si>
  <si>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</si>
  <si>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</si>
  <si>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</si>
  <si>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</si>
  <si>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</si>
  <si>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</si>
  <si>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</si>
  <si>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</si>
  <si>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</si>
  <si>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</si>
  <si>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</si>
  <si>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</si>
  <si>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</si>
  <si>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</si>
  <si>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</si>
  <si>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</si>
  <si>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</si>
  <si>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</si>
  <si>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</si>
  <si>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</si>
  <si>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</si>
  <si>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</si>
  <si>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</si>
  <si>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</si>
  <si>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</si>
  <si>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</si>
  <si>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</si>
  <si>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</si>
  <si>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</si>
  <si>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</si>
  <si>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</si>
  <si>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</si>
  <si>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</si>
  <si>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</si>
  <si>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</si>
  <si>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</si>
  <si>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</si>
  <si>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</si>
  <si>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</si>
  <si>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</si>
  <si>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</si>
  <si>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</si>
  <si>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</si>
  <si>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</si>
  <si>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</si>
  <si>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</si>
  <si>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</si>
  <si>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</si>
  <si>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</si>
  <si>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</si>
  <si>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</si>
  <si>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</si>
  <si>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</si>
  <si>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</si>
  <si>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</si>
  <si>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</si>
  <si>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</si>
  <si>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</si>
  <si>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</si>
  <si>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</si>
  <si>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</si>
  <si>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</si>
  <si>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</si>
  <si>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</si>
  <si>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</si>
  <si>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</si>
  <si>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</si>
  <si>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</si>
  <si>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</si>
  <si>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</si>
  <si>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</si>
  <si>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</si>
  <si>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</si>
  <si>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</si>
  <si>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</si>
  <si>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</si>
  <si>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</si>
  <si>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</si>
  <si>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</si>
  <si>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</si>
  <si>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</si>
  <si>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</si>
  <si>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</si>
  <si>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</si>
  <si>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</si>
  <si>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</si>
  <si>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</si>
  <si>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</si>
  <si>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</si>
  <si>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</si>
  <si>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</si>
  <si>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</si>
  <si>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</si>
  <si>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</si>
  <si>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</si>
  <si>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</si>
  <si>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</si>
  <si>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</si>
  <si>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</si>
  <si>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</si>
  <si>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</si>
  <si>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</si>
  <si>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</si>
  <si>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</si>
  <si>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</si>
  <si>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</si>
  <si>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</si>
  <si>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</si>
  <si>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</si>
  <si>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</si>
  <si>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</si>
  <si>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</si>
  <si>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</si>
  <si>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</si>
  <si>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</si>
  <si>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</si>
  <si>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</si>
  <si>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</si>
  <si>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</si>
  <si>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</si>
  <si>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</si>
  <si>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</si>
  <si>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</si>
  <si>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</si>
  <si>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</si>
  <si>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</si>
  <si>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</si>
  <si>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</si>
  <si>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</si>
  <si>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</si>
  <si>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</si>
  <si>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</si>
  <si>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</si>
  <si>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</si>
  <si>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</si>
  <si>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</si>
  <si>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</si>
  <si>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</si>
  <si>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</si>
  <si>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</si>
  <si>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</si>
  <si>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</si>
  <si>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</si>
  <si>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</si>
  <si>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</si>
  <si>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</si>
  <si>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</si>
  <si>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</si>
  <si>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</si>
  <si>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</si>
  <si>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</si>
  <si>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</si>
  <si>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</si>
  <si>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</si>
  <si>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</si>
  <si>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</si>
  <si>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</si>
  <si>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</si>
  <si>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</si>
  <si>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</si>
  <si>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</si>
  <si>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</si>
  <si>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</si>
  <si>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</si>
  <si>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</si>
  <si>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</si>
  <si>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</si>
  <si>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</si>
  <si>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</si>
  <si>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</si>
  <si>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</si>
  <si>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</si>
  <si>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</si>
  <si>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</si>
  <si>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</si>
  <si>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</si>
  <si>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</si>
  <si>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</si>
  <si>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</si>
  <si>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</si>
  <si>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</si>
  <si>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</si>
  <si>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</si>
  <si>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</si>
  <si>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</si>
  <si>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</si>
  <si>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</si>
  <si>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</si>
  <si>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</si>
  <si>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</si>
  <si>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</si>
  <si>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</si>
  <si>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</si>
  <si>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</si>
  <si>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</si>
  <si>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</si>
  <si>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</si>
  <si>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</si>
  <si>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</si>
  <si>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</si>
  <si>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</si>
  <si>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</si>
  <si>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</si>
  <si>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</si>
  <si>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</si>
  <si>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</si>
  <si>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</si>
  <si>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</si>
  <si>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</si>
  <si>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</si>
  <si>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</si>
  <si>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</si>
  <si>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</si>
  <si>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</si>
  <si>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</si>
  <si>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</si>
  <si>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</si>
  <si>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</si>
  <si>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</si>
  <si>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</si>
  <si>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</si>
  <si>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</si>
  <si>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</si>
  <si>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</si>
  <si>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</si>
  <si>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</si>
  <si>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</si>
  <si>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</si>
  <si>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</si>
  <si>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</si>
  <si>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</si>
  <si>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</si>
  <si>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</si>
  <si>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</si>
  <si>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</si>
  <si>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</si>
  <si>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</si>
  <si>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</si>
  <si>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</si>
  <si>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</si>
  <si>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</si>
  <si>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</si>
  <si>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</si>
  <si>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</si>
  <si>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</si>
  <si>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</si>
  <si>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</si>
  <si>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</si>
  <si>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</si>
  <si>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</si>
  <si>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</si>
  <si>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</si>
  <si>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</si>
  <si>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</si>
  <si>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</si>
  <si>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</si>
  <si>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</si>
  <si>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</si>
  <si>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</si>
  <si>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</si>
  <si>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</si>
  <si>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</si>
  <si>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</si>
  <si>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</si>
  <si>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</si>
  <si>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</si>
  <si>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</si>
  <si>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</si>
  <si>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</si>
  <si>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</si>
  <si>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</si>
  <si>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</si>
  <si>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</si>
  <si>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</si>
  <si>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</si>
  <si>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</si>
  <si>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</si>
  <si>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</si>
  <si>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</si>
  <si>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</si>
  <si>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</si>
  <si>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</si>
  <si>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</si>
  <si>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</si>
  <si>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</si>
  <si>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</si>
  <si>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</si>
  <si>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</si>
  <si>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</si>
  <si>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</si>
  <si>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</si>
  <si>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</si>
  <si>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</si>
  <si>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</si>
  <si>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</si>
  <si>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</si>
  <si>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</si>
  <si>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</si>
  <si>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</si>
  <si>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</si>
  <si>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</si>
  <si>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</si>
  <si>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</si>
  <si>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</si>
  <si>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</si>
  <si>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</si>
  <si>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</si>
  <si>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</si>
  <si>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</si>
  <si>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</si>
  <si>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</si>
  <si>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</si>
  <si>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</si>
  <si>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</si>
  <si>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</si>
  <si>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</si>
  <si>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</si>
  <si>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</si>
  <si>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</si>
  <si>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</si>
  <si>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</si>
  <si>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</si>
  <si>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</si>
  <si>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</si>
  <si>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</si>
  <si>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</si>
  <si>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</si>
  <si>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</si>
  <si>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</si>
  <si>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</si>
  <si>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</si>
  <si>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</si>
  <si>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</si>
  <si>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</si>
  <si>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</si>
  <si>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</si>
  <si>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</si>
  <si>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</si>
  <si>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</si>
  <si>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</si>
  <si>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</si>
  <si>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</si>
  <si>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</si>
  <si>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</si>
  <si>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</si>
  <si>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</si>
  <si>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</si>
  <si>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</si>
  <si>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</si>
  <si>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</si>
  <si>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</si>
  <si>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</si>
  <si>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</si>
  <si>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</si>
  <si>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</si>
  <si>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</si>
  <si>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</si>
  <si>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</si>
  <si>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</si>
  <si>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</si>
  <si>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</si>
  <si>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</si>
  <si>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</si>
  <si>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</si>
  <si>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</si>
  <si>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</si>
  <si>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</si>
  <si>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</si>
  <si>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</si>
  <si>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</si>
  <si>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</si>
  <si>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</si>
  <si>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</si>
  <si>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</si>
  <si>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</si>
  <si>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</si>
  <si>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</si>
  <si>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</si>
  <si>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</si>
  <si>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</si>
  <si>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</si>
  <si>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</si>
  <si>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</si>
  <si>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</si>
  <si>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</si>
  <si>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</si>
  <si>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</si>
  <si>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</si>
  <si>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</si>
  <si>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</si>
  <si>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</si>
  <si>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</si>
  <si>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</si>
  <si>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</si>
  <si>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</si>
  <si>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</si>
  <si>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</si>
  <si>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</si>
  <si>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</si>
  <si>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</si>
  <si>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</si>
  <si>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</si>
  <si>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</si>
  <si>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</si>
  <si>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</si>
  <si>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</si>
  <si>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</si>
  <si>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</si>
  <si>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</si>
  <si>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</si>
  <si>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</si>
  <si>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</si>
  <si>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</si>
  <si>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</si>
  <si>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</si>
  <si>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</si>
  <si>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</si>
  <si>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</si>
  <si>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</si>
  <si>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</si>
  <si>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</si>
  <si>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</si>
  <si>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</si>
  <si>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</si>
  <si>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</si>
  <si>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</si>
  <si>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</si>
  <si>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</si>
  <si>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</si>
  <si>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</si>
  <si>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</si>
  <si>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</si>
  <si>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</si>
  <si>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</si>
  <si>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</si>
  <si>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</si>
  <si>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</si>
  <si>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</si>
  <si>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</si>
  <si>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</si>
  <si>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</si>
  <si>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</si>
  <si>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</si>
  <si>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</si>
  <si>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</si>
  <si>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</si>
  <si>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</si>
  <si>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</si>
  <si>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</si>
  <si>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</si>
  <si>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</si>
  <si>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</si>
  <si>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</si>
  <si>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</si>
  <si>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</si>
  <si>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</si>
  <si>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</si>
  <si>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</si>
  <si>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</si>
  <si>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</si>
  <si>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</si>
  <si>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</si>
  <si>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</si>
  <si>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</si>
  <si>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</si>
  <si>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</si>
  <si>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</si>
  <si>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</si>
  <si>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</si>
  <si>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</si>
  <si>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</si>
  <si>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</si>
  <si>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</si>
  <si>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</si>
  <si>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</si>
  <si>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</si>
  <si>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</si>
  <si>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</si>
  <si>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</si>
  <si>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</si>
  <si>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</si>
  <si>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</si>
  <si>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</si>
  <si>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</si>
  <si>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</si>
  <si>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</si>
  <si>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</si>
  <si>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</si>
  <si>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</si>
  <si>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</si>
  <si>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</si>
  <si>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</si>
  <si>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</si>
  <si>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</si>
  <si>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</si>
  <si>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</si>
  <si>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</si>
  <si>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</si>
  <si>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</si>
  <si>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</si>
  <si>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</si>
  <si>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</si>
  <si>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</si>
  <si>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</si>
  <si>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</si>
  <si>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</si>
  <si>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</si>
  <si>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</si>
  <si>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</si>
  <si>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</si>
  <si>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</si>
  <si>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</si>
  <si>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</si>
  <si>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</si>
  <si>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</si>
  <si>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</si>
  <si>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</si>
  <si>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</si>
  <si>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</si>
  <si>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</si>
  <si>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</si>
  <si>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</si>
  <si>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</si>
  <si>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</si>
  <si>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</si>
  <si>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</si>
  <si>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</si>
  <si>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</si>
  <si>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</si>
  <si>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</si>
  <si>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</si>
  <si>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</si>
  <si>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</si>
  <si>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</si>
  <si>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</si>
  <si>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</si>
  <si>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</si>
  <si>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</si>
  <si>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</si>
  <si>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</si>
  <si>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</si>
  <si>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</si>
  <si>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</si>
  <si>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</si>
  <si>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</si>
  <si>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</si>
  <si>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</si>
  <si>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</si>
  <si>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</si>
  <si>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</si>
  <si>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</si>
  <si>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</si>
  <si>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</si>
  <si>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</si>
  <si>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</si>
  <si>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</si>
  <si>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</si>
  <si>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</si>
  <si>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</si>
  <si>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</si>
  <si>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</si>
  <si>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</si>
  <si>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</si>
  <si>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</si>
  <si>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</si>
  <si>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</si>
  <si>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</si>
  <si>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</si>
  <si>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</si>
  <si>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</si>
  <si>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</si>
  <si>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</si>
  <si>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</si>
  <si>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</si>
  <si>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</si>
  <si>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</si>
  <si>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</si>
  <si>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</si>
  <si>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</si>
  <si>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</si>
  <si>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</si>
  <si>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</si>
  <si>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</si>
  <si>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</si>
  <si>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</si>
  <si>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</si>
  <si>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</si>
  <si>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</si>
  <si>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</si>
  <si>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</si>
  <si>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</si>
  <si>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</si>
  <si>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</si>
  <si>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</si>
  <si>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</si>
  <si>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</si>
  <si>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</si>
  <si>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</si>
  <si>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</si>
  <si>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</si>
  <si>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</si>
  <si>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</si>
  <si>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</si>
  <si>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</si>
  <si>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</si>
  <si>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</si>
  <si>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</si>
  <si>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</si>
  <si>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</si>
  <si>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</si>
  <si>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</si>
  <si>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</si>
  <si>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</si>
  <si>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</si>
  <si>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</si>
  <si>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</si>
  <si>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</si>
  <si>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</si>
  <si>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</si>
  <si>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</si>
  <si>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</si>
  <si>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</si>
  <si>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</si>
  <si>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</si>
  <si>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</si>
  <si>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</si>
  <si>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</si>
  <si>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</si>
  <si>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</si>
  <si>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</si>
  <si>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</si>
  <si>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</si>
  <si>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</si>
  <si>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</si>
  <si>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</si>
  <si>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</si>
  <si>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</si>
  <si>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</si>
  <si>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</si>
  <si>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</si>
  <si>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</si>
  <si>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</si>
  <si>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</si>
  <si>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</si>
  <si>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</si>
  <si>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</si>
  <si>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</si>
  <si>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</si>
  <si>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</si>
  <si>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</si>
  <si>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</si>
  <si>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</si>
  <si>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</si>
  <si>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</si>
  <si>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</si>
  <si>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</si>
  <si>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</si>
  <si>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</si>
  <si>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</si>
  <si>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</si>
  <si>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</si>
  <si>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</si>
  <si>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</si>
  <si>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</si>
  <si>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</si>
  <si>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</si>
  <si>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</si>
  <si>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</si>
  <si>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</si>
  <si>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</si>
  <si>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</si>
  <si>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</si>
  <si>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</si>
  <si>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</si>
  <si>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</si>
  <si>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</si>
  <si>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</si>
  <si>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</si>
  <si>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</si>
  <si>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</si>
  <si>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</si>
  <si>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</si>
  <si>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</si>
  <si>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</si>
  <si>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</si>
  <si>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</si>
  <si>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</si>
  <si>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</si>
  <si>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</si>
  <si>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</si>
  <si>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</si>
  <si>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</si>
  <si>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</si>
  <si>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</si>
  <si>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</si>
  <si>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</si>
  <si>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</si>
  <si>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</si>
  <si>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</si>
  <si>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</si>
  <si>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</si>
  <si>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</si>
  <si>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</si>
  <si>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</si>
  <si>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</si>
  <si>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</si>
  <si>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</si>
  <si>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</si>
  <si>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</si>
  <si>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</si>
  <si>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</si>
  <si>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</si>
  <si>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</si>
  <si>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</si>
  <si>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</si>
  <si>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</si>
  <si>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</si>
  <si>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</si>
  <si>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</si>
  <si>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</si>
  <si>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</si>
  <si>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</si>
  <si>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</si>
  <si>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</si>
  <si>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</si>
  <si>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</si>
  <si>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</si>
  <si>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</si>
  <si>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</si>
  <si>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</si>
  <si>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</si>
  <si>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</si>
  <si>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</si>
  <si>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</si>
  <si>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</si>
  <si>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</si>
  <si>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</si>
  <si>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</si>
  <si>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</si>
  <si>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</si>
  <si>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</si>
  <si>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</si>
  <si>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</si>
  <si>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</si>
  <si>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</si>
  <si>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</si>
  <si>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</si>
  <si>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</si>
  <si>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</si>
  <si>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</si>
  <si>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</si>
  <si>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</si>
  <si>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</si>
  <si>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</si>
  <si>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</si>
  <si>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</si>
  <si>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</si>
  <si>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</si>
  <si>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</si>
  <si>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</si>
  <si>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</si>
  <si>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</si>
  <si>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</si>
  <si>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</si>
  <si>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</si>
  <si>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</si>
  <si>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</si>
  <si>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</si>
  <si>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</si>
  <si>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</si>
  <si>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</si>
  <si>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</si>
  <si>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</si>
  <si>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</si>
  <si>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</si>
  <si>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</si>
  <si>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</si>
  <si>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</si>
  <si>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</si>
  <si>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</si>
  <si>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</si>
  <si>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</si>
  <si>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</si>
  <si>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</si>
  <si>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</si>
  <si>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</si>
  <si>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</si>
  <si>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</si>
  <si>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</si>
  <si>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</si>
  <si>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</si>
  <si>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</si>
  <si>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</si>
  <si>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</si>
  <si>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</si>
  <si>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</si>
  <si>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</si>
  <si>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</si>
  <si>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</si>
  <si>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</si>
  <si>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</si>
  <si>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</si>
  <si>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</si>
  <si>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</si>
  <si>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</si>
  <si>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</si>
  <si>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</si>
  <si>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</si>
  <si>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</si>
  <si>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</si>
  <si>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</si>
  <si>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</si>
  <si>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</si>
  <si>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</si>
  <si>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</si>
  <si>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</si>
  <si>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</si>
  <si>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</si>
  <si>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</si>
  <si>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</si>
  <si>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</si>
  <si>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</si>
  <si>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</si>
  <si>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</si>
  <si>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</si>
  <si>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</si>
  <si>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</si>
  <si>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</si>
  <si>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</si>
  <si>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</si>
  <si>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</si>
  <si>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</si>
  <si>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</si>
  <si>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</si>
  <si>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</si>
  <si>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</si>
  <si>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</si>
  <si>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</si>
  <si>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</si>
  <si>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</si>
  <si>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</si>
  <si>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</si>
  <si>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</si>
  <si>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</si>
  <si>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</si>
  <si>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</si>
  <si>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</si>
  <si>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</si>
  <si>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</si>
  <si>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</si>
  <si>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</si>
  <si>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</si>
  <si>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</si>
  <si>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</si>
  <si>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</si>
  <si>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</si>
  <si>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</si>
  <si>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</si>
  <si>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</si>
  <si>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</si>
  <si>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</si>
  <si>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</si>
  <si>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</si>
  <si>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</si>
  <si>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</si>
  <si>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</si>
  <si>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</si>
  <si>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</si>
  <si>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</si>
  <si>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</si>
  <si>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</si>
  <si>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</si>
  <si>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</si>
  <si>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</si>
  <si>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</si>
  <si>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</si>
  <si>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</si>
  <si>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</si>
  <si>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</si>
  <si>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</si>
  <si>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</si>
  <si>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</si>
  <si>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</si>
  <si>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</si>
  <si>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</si>
  <si>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</si>
  <si>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</si>
  <si>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</si>
  <si>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</si>
  <si>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</si>
  <si>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</si>
  <si>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</si>
  <si>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</si>
  <si>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</si>
  <si>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</si>
  <si>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</si>
  <si>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</si>
  <si>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</si>
  <si>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</si>
  <si>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</si>
  <si>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</si>
  <si>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</si>
  <si>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</si>
  <si>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</si>
  <si>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</si>
  <si>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</si>
  <si>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</si>
  <si>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</si>
  <si>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</si>
  <si>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</si>
  <si>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</si>
  <si>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</si>
  <si>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</si>
  <si>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</si>
  <si>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</si>
  <si>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</si>
  <si>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</si>
  <si>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</si>
  <si>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</si>
  <si>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</si>
  <si>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</si>
  <si>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</si>
  <si>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</si>
  <si>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</si>
  <si>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</si>
  <si>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</si>
  <si>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</si>
  <si>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</si>
  <si>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</si>
  <si>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</si>
  <si>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</si>
  <si>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</si>
  <si>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</si>
  <si>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</si>
  <si>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</si>
  <si>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</si>
  <si>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</si>
  <si>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</si>
  <si>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</si>
  <si>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</si>
  <si>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</si>
  <si>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</si>
  <si>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</si>
  <si>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</si>
  <si>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</si>
  <si>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</si>
  <si>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</si>
  <si>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</si>
  <si>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</si>
  <si>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</si>
  <si>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</si>
  <si>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</si>
  <si>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</si>
  <si>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</si>
  <si>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</si>
  <si>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</si>
  <si>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</si>
  <si>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</si>
  <si>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</si>
  <si>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</si>
  <si>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</si>
  <si>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</si>
  <si>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</si>
  <si>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</si>
  <si>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</si>
  <si>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</si>
  <si>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</si>
  <si>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</si>
  <si>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</si>
  <si>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</si>
  <si>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</si>
  <si>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</si>
  <si>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</si>
  <si>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</si>
  <si>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</si>
  <si>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</si>
  <si>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</si>
  <si>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</si>
  <si>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</si>
  <si>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</si>
  <si>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</si>
  <si>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</si>
  <si>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</si>
  <si>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</si>
  <si>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</si>
  <si>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</si>
  <si>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</si>
  <si>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</si>
  <si>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</si>
  <si>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</si>
  <si>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</si>
  <si>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</si>
  <si>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</si>
  <si>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</si>
  <si>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</si>
  <si>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</si>
  <si>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</si>
  <si>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</si>
  <si>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</si>
  <si>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</si>
  <si>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</si>
  <si>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</si>
  <si>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</si>
  <si>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</si>
  <si>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</si>
  <si>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</si>
  <si>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</si>
  <si>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</si>
  <si>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</si>
  <si>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</si>
  <si>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</si>
  <si>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</si>
  <si>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</si>
  <si>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</si>
  <si>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</si>
  <si>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</si>
  <si>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</si>
  <si>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</si>
  <si>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</si>
  <si>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</si>
  <si>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</si>
  <si>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</si>
  <si>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</si>
  <si>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</si>
  <si>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</si>
  <si>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</si>
  <si>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</si>
  <si>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</si>
  <si>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</si>
  <si>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</si>
  <si>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</si>
  <si>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</si>
  <si>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</si>
  <si>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</si>
  <si>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</si>
  <si>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</si>
  <si>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</si>
  <si>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</si>
  <si>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</si>
  <si>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</si>
  <si>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</si>
  <si>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</si>
  <si>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</si>
  <si>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</si>
  <si>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</si>
  <si>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</si>
  <si>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</si>
  <si>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</si>
  <si>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</si>
  <si>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</si>
  <si>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</si>
  <si>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</si>
  <si>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</si>
  <si>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</si>
  <si>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</si>
  <si>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</si>
  <si>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</si>
  <si>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</si>
  <si>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</si>
  <si>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</si>
  <si>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</si>
  <si>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</si>
  <si>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</si>
  <si>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</si>
  <si>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</si>
  <si>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</si>
  <si>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</si>
  <si>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</si>
  <si>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</si>
  <si>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</si>
  <si>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</si>
  <si>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</si>
  <si>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</si>
  <si>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</si>
  <si>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</si>
  <si>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</si>
  <si>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</si>
  <si>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</si>
  <si>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</si>
  <si>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</si>
  <si>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</si>
  <si>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</si>
  <si>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</si>
  <si>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</si>
  <si>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</si>
  <si>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</si>
  <si>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</si>
  <si>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</si>
  <si>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</si>
  <si>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</si>
  <si>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</si>
  <si>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</si>
  <si>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</si>
  <si>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</si>
  <si>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</si>
  <si>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</si>
  <si>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</si>
  <si>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</si>
  <si>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</si>
  <si>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</si>
  <si>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</si>
  <si>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</si>
  <si>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</si>
  <si>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</si>
  <si>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</si>
  <si>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</si>
  <si>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</si>
  <si>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</si>
  <si>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</si>
  <si>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</si>
  <si>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</si>
  <si>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</si>
  <si>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</si>
  <si>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</si>
  <si>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</si>
  <si>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</si>
  <si>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</si>
  <si>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</si>
  <si>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</si>
  <si>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</si>
  <si>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</si>
  <si>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</si>
  <si>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</si>
  <si>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</si>
  <si>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</si>
  <si>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</si>
  <si>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</si>
  <si>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</si>
  <si>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</si>
  <si>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</si>
  <si>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</si>
  <si>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</si>
  <si>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</si>
  <si>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</si>
  <si>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</si>
  <si>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</si>
  <si>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</si>
  <si>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</si>
  <si>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</si>
  <si>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</si>
  <si>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</si>
  <si>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</si>
  <si>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</si>
  <si>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</si>
  <si>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</si>
  <si>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</si>
  <si>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</si>
  <si>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</si>
  <si>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</si>
  <si>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</si>
  <si>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</si>
  <si>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</si>
  <si>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</si>
  <si>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</si>
  <si>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</si>
  <si>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</si>
  <si>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</si>
  <si>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</si>
  <si>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</si>
  <si>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</si>
  <si>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</si>
  <si>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</si>
  <si>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</si>
  <si>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</si>
  <si>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</si>
  <si>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</si>
  <si>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</si>
  <si>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</si>
  <si>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</si>
  <si>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</si>
  <si>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</si>
  <si>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</si>
  <si>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</si>
  <si>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</si>
  <si>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</si>
  <si>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</si>
  <si>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</si>
  <si>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</si>
  <si>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</si>
  <si>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</si>
  <si>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</si>
  <si>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</si>
  <si>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</si>
  <si>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</si>
  <si>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</si>
  <si>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</si>
  <si>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</si>
  <si>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</si>
  <si>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</si>
  <si>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</si>
  <si>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</si>
  <si>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</si>
  <si>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</si>
  <si>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</si>
  <si>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</si>
  <si>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</si>
  <si>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</si>
  <si>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</si>
  <si>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</si>
  <si>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</si>
  <si>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</si>
  <si>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</si>
  <si>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</si>
  <si>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</si>
  <si>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</si>
  <si>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</si>
  <si>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</si>
  <si>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</si>
  <si>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</si>
  <si>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</si>
  <si>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</si>
  <si>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</si>
  <si>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</si>
  <si>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</si>
  <si>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</si>
  <si>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</si>
  <si>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</si>
  <si>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</si>
  <si>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</si>
  <si>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</si>
  <si>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</si>
  <si>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</si>
  <si>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</si>
  <si>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</si>
  <si>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</si>
  <si>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</si>
  <si>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</si>
  <si>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</si>
  <si>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</si>
  <si>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</si>
  <si>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</si>
  <si>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</si>
  <si>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</si>
  <si>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</si>
  <si>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</si>
  <si>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</si>
  <si>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</si>
  <si>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</si>
  <si>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</si>
  <si>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</si>
  <si>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</si>
  <si>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</si>
  <si>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</si>
  <si>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</si>
  <si>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</si>
  <si>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</si>
  <si>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</si>
  <si>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</si>
  <si>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</si>
  <si>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</si>
  <si>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</si>
  <si>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</si>
  <si>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</si>
  <si>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</si>
  <si>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</si>
  <si>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</si>
  <si>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</si>
  <si>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</si>
  <si>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</si>
  <si>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</si>
  <si>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</si>
  <si>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</si>
  <si>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</si>
  <si>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</si>
  <si>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</si>
  <si>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</si>
  <si>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</si>
  <si>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</si>
  <si>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</si>
  <si>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</si>
  <si>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</si>
  <si>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</si>
  <si>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</si>
  <si>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</si>
  <si>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</si>
  <si>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</si>
  <si>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</si>
  <si>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</si>
  <si>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</si>
  <si>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</si>
  <si>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</si>
  <si>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</si>
  <si>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</si>
  <si>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</si>
  <si>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</si>
  <si>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</si>
  <si>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</si>
  <si>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</si>
  <si>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</si>
  <si>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</si>
  <si>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</si>
  <si>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</si>
  <si>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</si>
  <si>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</si>
  <si>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</si>
  <si>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</si>
  <si>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</si>
  <si>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</si>
  <si>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</si>
  <si>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</si>
  <si>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</si>
  <si>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</si>
  <si>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</si>
  <si>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</si>
  <si>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</si>
  <si>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</si>
  <si>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</si>
  <si>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</si>
  <si>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</si>
  <si>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</si>
  <si>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</si>
  <si>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</si>
  <si>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</si>
  <si>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</si>
  <si>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</si>
  <si>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</si>
  <si>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</si>
  <si>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</si>
  <si>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</si>
  <si>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</si>
  <si>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</si>
  <si>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</si>
  <si>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</si>
  <si>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</si>
  <si>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</si>
  <si>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</si>
  <si>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</si>
  <si>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</si>
  <si>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</si>
  <si>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</si>
  <si>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</si>
  <si>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</si>
  <si>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</si>
  <si>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</si>
  <si>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</si>
  <si>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</si>
  <si>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</si>
  <si>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</si>
  <si>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</si>
  <si>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</si>
  <si>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</si>
  <si>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</si>
  <si>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</si>
  <si>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</si>
  <si>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</si>
  <si>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</si>
  <si>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</si>
  <si>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</si>
  <si>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</si>
  <si>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</si>
  <si>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</si>
  <si>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</si>
  <si>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</si>
  <si>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</si>
  <si>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</si>
  <si>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</si>
  <si>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</si>
  <si>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</si>
  <si>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</si>
  <si>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</si>
  <si>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</si>
  <si>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</si>
  <si>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</si>
  <si>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</si>
  <si>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</si>
  <si>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</si>
  <si>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</si>
  <si>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</si>
  <si>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</si>
  <si>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</si>
  <si>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</si>
  <si>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</si>
  <si>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</si>
  <si>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</si>
  <si>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</si>
  <si>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</si>
  <si>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</si>
  <si>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</si>
  <si>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</si>
  <si>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</si>
  <si>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</si>
  <si>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</si>
  <si>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</si>
  <si>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</si>
  <si>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</si>
  <si>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</si>
  <si>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</si>
  <si>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</si>
  <si>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</si>
  <si>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</si>
  <si>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</si>
  <si>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</si>
  <si>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</si>
  <si>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</si>
  <si>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</si>
  <si>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</si>
  <si>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</si>
  <si>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</si>
  <si>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</si>
  <si>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</si>
  <si>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</si>
  <si>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</si>
  <si>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</si>
  <si>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</si>
  <si>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</si>
  <si>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</si>
  <si>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</si>
  <si>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</si>
  <si>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</si>
  <si>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</si>
  <si>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</si>
  <si>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</si>
  <si>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</si>
  <si>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</si>
  <si>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</si>
  <si>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</si>
  <si>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</si>
  <si>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</si>
  <si>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</si>
  <si>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</si>
  <si>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</si>
  <si>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</si>
  <si>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</si>
  <si>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</si>
  <si>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</si>
  <si>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</si>
  <si>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</si>
  <si>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</si>
  <si>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</si>
  <si>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</si>
  <si>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</si>
  <si>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</si>
  <si>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</si>
  <si>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</si>
  <si>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</si>
  <si>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</si>
  <si>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</si>
  <si>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</si>
  <si>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</si>
  <si>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</si>
  <si>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</si>
  <si>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</si>
  <si>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</si>
  <si>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</si>
  <si>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</si>
  <si>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</si>
  <si>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</si>
  <si>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</si>
  <si>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</si>
  <si>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</si>
  <si>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</si>
  <si>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</si>
  <si>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</si>
  <si>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</si>
  <si>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</si>
  <si>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</si>
  <si>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</si>
  <si>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</si>
  <si>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</si>
  <si>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</si>
  <si>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</si>
  <si>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</si>
  <si>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</si>
  <si>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</si>
  <si>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</si>
  <si>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</si>
  <si>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</si>
  <si>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</si>
  <si>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</si>
  <si>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</si>
  <si>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</si>
  <si>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</si>
  <si>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</si>
  <si>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</si>
  <si>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</si>
  <si>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</si>
  <si>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</si>
  <si>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</si>
  <si>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</si>
  <si>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</si>
  <si>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</si>
  <si>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</si>
  <si>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</si>
  <si>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</si>
  <si>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</si>
  <si>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</si>
  <si>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</si>
  <si>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</si>
  <si>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</si>
  <si>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</si>
  <si>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</si>
  <si>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</si>
  <si>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</si>
  <si>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</si>
  <si>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</si>
  <si>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</si>
  <si>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</si>
  <si>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</si>
  <si>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</si>
  <si>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</si>
  <si>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</si>
  <si>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</si>
  <si>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</si>
  <si>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</si>
  <si>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</si>
  <si>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</si>
  <si>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</si>
  <si>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</si>
  <si>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</si>
  <si>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</si>
  <si>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</si>
  <si>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</si>
  <si>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</si>
  <si>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</si>
  <si>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</si>
  <si>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</si>
  <si>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</si>
  <si>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</si>
  <si>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</si>
  <si>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</si>
  <si>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</si>
  <si>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</si>
  <si>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</si>
  <si>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</si>
  <si>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</si>
  <si>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</si>
  <si>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</si>
  <si>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</si>
  <si>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</si>
  <si>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</si>
  <si>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</si>
  <si>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</si>
  <si>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</si>
  <si>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</si>
  <si>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</si>
  <si>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</si>
  <si>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</si>
  <si>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</si>
  <si>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</si>
  <si>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</si>
  <si>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</si>
  <si>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</si>
  <si>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</si>
  <si>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</si>
  <si>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</si>
  <si>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</si>
  <si>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</si>
  <si>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</si>
  <si>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</si>
  <si>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</si>
  <si>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</si>
  <si>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</si>
  <si>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</si>
  <si>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</si>
  <si>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</si>
  <si>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</si>
  <si>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</si>
  <si>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</si>
  <si>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</si>
  <si>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</si>
  <si>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</si>
  <si>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</si>
  <si>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</si>
  <si>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</si>
  <si>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</si>
  <si>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</si>
  <si>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</si>
  <si>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</si>
  <si>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</si>
  <si>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</si>
  <si>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</si>
  <si>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</si>
  <si>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</si>
  <si>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</si>
  <si>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</si>
  <si>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</si>
  <si>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</si>
  <si>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</si>
  <si>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</si>
  <si>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</si>
  <si>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</si>
  <si>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</si>
  <si>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</si>
  <si>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</si>
  <si>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</si>
  <si>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</si>
  <si>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</si>
  <si>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</si>
  <si>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</si>
  <si>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</si>
  <si>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</si>
  <si>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</si>
  <si>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</si>
  <si>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</si>
  <si>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</si>
  <si>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</si>
  <si>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</si>
  <si>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</si>
  <si>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</si>
  <si>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</si>
  <si>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</si>
  <si>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</si>
  <si>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</si>
  <si>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</si>
  <si>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</si>
  <si>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</si>
  <si>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</si>
  <si>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</si>
  <si>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</si>
  <si>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</si>
  <si>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</si>
  <si>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</si>
  <si>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</si>
  <si>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</si>
  <si>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</si>
  <si>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</si>
  <si>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</si>
  <si>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</si>
  <si>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</si>
  <si>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</si>
  <si>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</si>
  <si>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</si>
  <si>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</si>
  <si>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</si>
  <si>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</si>
  <si>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</si>
  <si>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</si>
  <si>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</si>
  <si>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</si>
  <si>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</si>
  <si>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</si>
  <si>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</si>
  <si>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</si>
  <si>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</si>
  <si>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</si>
  <si>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</si>
  <si>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</si>
  <si>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</si>
  <si>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</si>
  <si>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</si>
  <si>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</si>
  <si>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</si>
  <si>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</si>
  <si>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</si>
  <si>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</si>
  <si>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</si>
  <si>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</si>
  <si>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</si>
  <si>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</si>
  <si>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</si>
  <si>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</si>
  <si>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</si>
  <si>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</si>
  <si>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</si>
  <si>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</si>
  <si>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</si>
  <si>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</si>
  <si>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</si>
  <si>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</si>
  <si>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</si>
  <si>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</si>
  <si>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</si>
  <si>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</si>
  <si>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</si>
  <si>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</si>
  <si>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</si>
  <si>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</si>
  <si>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</si>
  <si>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</si>
  <si>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</si>
  <si>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</si>
  <si>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</si>
  <si>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</si>
  <si>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</si>
  <si>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</si>
  <si>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</si>
  <si>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</si>
  <si>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</si>
  <si>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</si>
  <si>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</si>
  <si>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</si>
  <si>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</si>
  <si>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</si>
  <si>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</si>
  <si>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</si>
  <si>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</si>
  <si>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</si>
  <si>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</si>
  <si>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</si>
  <si>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</si>
  <si>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</si>
  <si>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</si>
  <si>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</si>
  <si>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</si>
  <si>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</si>
  <si>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</si>
  <si>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</si>
  <si>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</si>
  <si>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</si>
  <si>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</si>
  <si>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</si>
  <si>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</si>
  <si>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</si>
  <si>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</si>
  <si>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</si>
  <si>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</si>
  <si>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</si>
  <si>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</si>
  <si>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</si>
  <si>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</si>
  <si>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</si>
  <si>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</si>
  <si>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</si>
  <si>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</si>
  <si>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</si>
  <si>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</si>
  <si>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</si>
  <si>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</si>
  <si>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</si>
  <si>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</si>
  <si>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</si>
  <si>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</si>
  <si>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</si>
  <si>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</si>
  <si>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</si>
  <si>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</si>
  <si>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</si>
  <si>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</si>
  <si>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</si>
  <si>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</si>
  <si>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</si>
  <si>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</si>
  <si>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</si>
  <si>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</si>
  <si>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</si>
  <si>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</si>
  <si>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</si>
  <si>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</si>
  <si>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</si>
  <si>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</si>
  <si>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</si>
  <si>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</si>
  <si>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</si>
  <si>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</si>
  <si>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</si>
  <si>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</si>
  <si>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</si>
  <si>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</si>
  <si>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</si>
  <si>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</si>
  <si>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</si>
  <si>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</si>
  <si>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</si>
  <si>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</si>
  <si>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</si>
  <si>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</si>
  <si>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</si>
  <si>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</si>
  <si>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</si>
  <si>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</si>
  <si>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</si>
  <si>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</si>
  <si>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</si>
  <si>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</si>
  <si>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</si>
  <si>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</si>
  <si>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</si>
  <si>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</si>
  <si>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</si>
  <si>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</si>
  <si>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</si>
  <si>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</si>
  <si>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</si>
  <si>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</si>
  <si>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</si>
  <si>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</si>
  <si>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</si>
  <si>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</si>
  <si>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</si>
  <si>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</si>
  <si>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</si>
  <si>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</si>
  <si>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</si>
  <si>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</si>
  <si>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</si>
  <si>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</si>
  <si>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</si>
  <si>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</si>
  <si>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</si>
  <si>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</si>
  <si>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</si>
  <si>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</si>
  <si>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</si>
  <si>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</si>
  <si>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</si>
  <si>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</si>
  <si>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</si>
  <si>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</si>
  <si>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</si>
  <si>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</si>
  <si>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</si>
  <si>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</si>
  <si>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</si>
  <si>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</si>
  <si>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</si>
  <si>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</si>
  <si>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</si>
  <si>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</si>
  <si>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</si>
  <si>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</si>
  <si>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</si>
  <si>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</si>
  <si>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</si>
  <si>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</si>
  <si>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</si>
  <si>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</si>
  <si>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</si>
  <si>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</si>
  <si>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</si>
  <si>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</si>
  <si>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</si>
  <si>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</si>
  <si>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</si>
  <si>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</si>
  <si>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</si>
  <si>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</si>
  <si>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</si>
  <si>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</si>
  <si>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</si>
  <si>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</si>
  <si>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</si>
  <si>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</si>
  <si>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</si>
  <si>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</si>
  <si>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</si>
  <si>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</si>
  <si>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</si>
  <si>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</si>
  <si>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</si>
  <si>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</si>
  <si>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</si>
  <si>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</si>
  <si>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</si>
  <si>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</si>
  <si>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</si>
  <si>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</si>
  <si>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</si>
  <si>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</si>
  <si>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</si>
  <si>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</si>
  <si>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</si>
  <si>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</si>
  <si>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</si>
  <si>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</si>
  <si>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</si>
  <si>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</si>
  <si>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</si>
  <si>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</si>
  <si>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</si>
  <si>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</si>
  <si>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</si>
  <si>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</si>
  <si>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</si>
  <si>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</si>
  <si>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</si>
  <si>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</si>
  <si>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</si>
  <si>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</si>
  <si>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</si>
  <si>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</si>
  <si>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</si>
  <si>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</si>
  <si>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</si>
  <si>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</si>
  <si>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</si>
  <si>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</si>
  <si>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</si>
  <si>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</si>
  <si>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</si>
  <si>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</si>
  <si>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</si>
  <si>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</si>
  <si>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</si>
  <si>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</si>
  <si>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</si>
  <si>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</si>
  <si>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</si>
  <si>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</si>
  <si>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</si>
  <si>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</si>
  <si>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</si>
  <si>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</si>
  <si>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</si>
  <si>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</si>
  <si>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</si>
  <si>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</si>
  <si>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</si>
  <si>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</si>
  <si>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</si>
  <si>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</si>
  <si>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</si>
  <si>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</si>
  <si>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</si>
  <si>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</si>
  <si>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</si>
  <si>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</si>
  <si>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</si>
  <si>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</si>
  <si>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</si>
  <si>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</si>
  <si>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</si>
  <si>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</si>
  <si>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</si>
  <si>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</si>
  <si>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</si>
  <si>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</si>
  <si>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</si>
  <si>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</si>
  <si>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</si>
  <si>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</si>
  <si>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</si>
  <si>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</si>
  <si>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</si>
  <si>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</si>
  <si>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</si>
  <si>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</si>
  <si>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</si>
  <si>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</si>
  <si>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</si>
  <si>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</si>
  <si>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</si>
  <si>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</si>
  <si>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</si>
  <si>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</si>
  <si>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</si>
  <si>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</si>
  <si>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</si>
  <si>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</si>
  <si>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</si>
  <si>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</si>
  <si>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</si>
  <si>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</si>
  <si>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</si>
  <si>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</si>
  <si>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</si>
  <si>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</si>
  <si>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</si>
  <si>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</si>
  <si>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</si>
  <si>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</si>
  <si>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</si>
  <si>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</si>
  <si>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</si>
  <si>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</si>
  <si>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</si>
  <si>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</si>
  <si>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</si>
  <si>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</si>
  <si>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</si>
  <si>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</si>
  <si>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</si>
  <si>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</si>
  <si>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</si>
  <si>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</si>
  <si>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</si>
  <si>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</si>
  <si>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</si>
  <si>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</si>
  <si>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</si>
  <si>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</si>
  <si>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</si>
  <si>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</si>
  <si>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</si>
  <si>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</si>
  <si>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</si>
  <si>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</si>
  <si>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</si>
  <si>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</si>
  <si>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</si>
  <si>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</si>
  <si>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</si>
  <si>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</si>
  <si>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</si>
  <si>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</si>
  <si>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</si>
  <si>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</si>
  <si>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</si>
  <si>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</si>
  <si>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</si>
  <si>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</si>
  <si>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</si>
  <si>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</si>
  <si>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</si>
  <si>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</si>
  <si>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</si>
  <si>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</si>
  <si>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</si>
  <si>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</si>
  <si>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</si>
  <si>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</si>
  <si>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</si>
  <si>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</si>
  <si>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</si>
  <si>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</si>
  <si>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</si>
  <si>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</si>
  <si>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</si>
  <si>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</si>
  <si>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</si>
  <si>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</si>
  <si>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</si>
  <si>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</si>
  <si>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</si>
  <si>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</si>
  <si>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</si>
  <si>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</si>
  <si>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</si>
  <si>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</si>
  <si>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</si>
  <si>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</si>
  <si>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</si>
  <si>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</si>
  <si>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</si>
  <si>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</si>
  <si>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</si>
  <si>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</si>
  <si>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</si>
  <si>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</si>
  <si>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</si>
  <si>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</si>
  <si>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</si>
  <si>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</si>
  <si>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</si>
  <si>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</si>
  <si>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</si>
  <si>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</si>
  <si>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</si>
  <si>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</si>
  <si>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</si>
  <si>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</si>
  <si>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</si>
  <si>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</si>
  <si>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</si>
  <si>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</si>
  <si>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</si>
  <si>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</si>
  <si>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</si>
  <si>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</si>
  <si>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</si>
  <si>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</si>
  <si>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</si>
  <si>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</si>
  <si>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</si>
  <si>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</si>
  <si>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</si>
  <si>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</si>
  <si>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</si>
  <si>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</si>
  <si>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</si>
  <si>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</si>
  <si>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</si>
  <si>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</si>
  <si>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</si>
  <si>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</si>
  <si>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</si>
  <si>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</si>
  <si>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</si>
  <si>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</si>
  <si>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</si>
  <si>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</si>
  <si>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</si>
  <si>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</si>
  <si>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</si>
  <si>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</si>
  <si>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</si>
  <si>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</si>
  <si>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</si>
  <si>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</si>
  <si>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</si>
  <si>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</si>
  <si>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</si>
  <si>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</si>
  <si>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</si>
  <si>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</si>
  <si>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</si>
  <si>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</si>
  <si>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</si>
  <si>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</si>
  <si>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</si>
  <si>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</si>
  <si>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</si>
  <si>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</si>
  <si>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</si>
  <si>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</si>
  <si>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</si>
  <si>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</si>
  <si>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</si>
  <si>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</si>
  <si>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</si>
  <si>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</si>
  <si>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</si>
  <si>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</si>
  <si>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</si>
  <si>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</si>
  <si>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</si>
  <si>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</si>
  <si>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</si>
  <si>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</si>
  <si>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</si>
  <si>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</si>
  <si>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</si>
  <si>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</si>
  <si>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</si>
  <si>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</si>
  <si>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</si>
  <si>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</si>
  <si>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</si>
  <si>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</si>
  <si>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</si>
  <si>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</si>
  <si>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</si>
  <si>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</si>
  <si>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</si>
  <si>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</si>
  <si>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</si>
  <si>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</si>
  <si>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</si>
  <si>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</si>
  <si>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</si>
  <si>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</si>
  <si>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</si>
  <si>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</si>
  <si>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</si>
  <si>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</si>
  <si>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</si>
  <si>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</si>
  <si>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</si>
  <si>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</si>
  <si>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</si>
  <si>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</si>
  <si>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</si>
  <si>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</si>
  <si>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</si>
  <si>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</si>
  <si>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</si>
  <si>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</si>
  <si>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</si>
  <si>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</si>
  <si>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</si>
  <si>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</si>
  <si>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</si>
  <si>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</si>
  <si>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</si>
  <si>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</si>
  <si>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</si>
  <si>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</si>
  <si>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</si>
  <si>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</si>
  <si>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</si>
  <si>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</si>
  <si>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</si>
  <si>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</si>
  <si>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</si>
  <si>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</si>
  <si>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</si>
  <si>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</si>
  <si>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</si>
  <si>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</si>
  <si>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</si>
  <si>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</si>
  <si>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</si>
  <si>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</si>
  <si>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</si>
  <si>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</si>
  <si>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</si>
  <si>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</si>
  <si>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</si>
  <si>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</si>
  <si>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</si>
  <si>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</si>
  <si>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</si>
  <si>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</si>
  <si>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</si>
  <si>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</si>
  <si>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</si>
  <si>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</si>
  <si>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</si>
  <si>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</si>
  <si>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</si>
  <si>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</si>
  <si>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</si>
  <si>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</si>
  <si>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</si>
  <si>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</si>
  <si>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</si>
  <si>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</si>
  <si>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</si>
  <si>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</si>
  <si>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</si>
  <si>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</si>
  <si>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</si>
  <si>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</si>
  <si>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</si>
  <si>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</si>
  <si>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</si>
  <si>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</si>
  <si>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</si>
  <si>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</si>
  <si>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</si>
  <si>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</si>
  <si>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</si>
  <si>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</si>
  <si>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</si>
  <si>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</si>
  <si>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</si>
  <si>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</si>
  <si>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</si>
  <si>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</si>
  <si>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</si>
  <si>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</si>
  <si>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</si>
  <si>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</si>
  <si>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</si>
  <si>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</si>
  <si>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</si>
  <si>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</si>
  <si>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</si>
  <si>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</si>
  <si>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</si>
  <si>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</si>
  <si>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</si>
  <si>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</si>
  <si>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</si>
  <si>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</si>
  <si>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</si>
  <si>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</si>
  <si>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</si>
  <si>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</si>
  <si>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</si>
  <si>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</si>
  <si>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</si>
  <si>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</si>
  <si>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</si>
  <si>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</si>
  <si>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</si>
  <si>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</si>
  <si>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</si>
  <si>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</si>
  <si>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</si>
  <si>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</si>
  <si>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</si>
  <si>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</si>
  <si>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</si>
  <si>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</si>
  <si>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</si>
  <si>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</si>
  <si>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</si>
  <si>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</si>
  <si>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</si>
  <si>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</si>
  <si>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</si>
  <si>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</si>
  <si>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</si>
  <si>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</si>
  <si>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</si>
  <si>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</si>
  <si>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</si>
  <si>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</si>
  <si>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</si>
  <si>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</si>
  <si>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</si>
  <si>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</si>
  <si>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</si>
  <si>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</si>
  <si>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</si>
  <si>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</si>
  <si>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</si>
  <si>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</si>
  <si>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</si>
  <si>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</si>
  <si>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</si>
  <si>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</si>
  <si>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</si>
  <si>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</si>
  <si>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</si>
  <si>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</si>
  <si>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</si>
  <si>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</si>
  <si>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</si>
  <si>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</si>
  <si>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</si>
  <si>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</si>
  <si>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</si>
  <si>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</si>
  <si>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</si>
  <si>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</si>
  <si>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</si>
  <si>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</si>
  <si>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</si>
  <si>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</si>
  <si>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</si>
  <si>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</si>
  <si>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</si>
  <si>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</si>
  <si>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</si>
  <si>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</si>
  <si>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</si>
  <si>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</si>
  <si>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</si>
  <si>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</si>
  <si>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</si>
  <si>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</si>
  <si>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</si>
  <si>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</si>
  <si>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</si>
  <si>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</si>
  <si>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</si>
  <si>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</si>
  <si>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</si>
  <si>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</si>
  <si>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</si>
  <si>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</si>
  <si>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</si>
  <si>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</si>
  <si>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</si>
  <si>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</si>
  <si>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</si>
  <si>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</si>
  <si>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</si>
  <si>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</si>
  <si>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</si>
  <si>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</si>
  <si>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</si>
  <si>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</si>
  <si>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</si>
  <si>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</si>
  <si>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</si>
  <si>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</si>
  <si>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</si>
  <si>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</si>
  <si>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</si>
  <si>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</si>
  <si>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</si>
  <si>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</si>
  <si>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</si>
  <si>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</si>
  <si>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</si>
  <si>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</si>
  <si>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</si>
  <si>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</si>
  <si>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</si>
  <si>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</si>
  <si>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</si>
  <si>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</si>
  <si>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</si>
  <si>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</si>
  <si>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</si>
  <si>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</si>
  <si>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</si>
  <si>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</si>
  <si>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</si>
  <si>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</si>
  <si>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</si>
  <si>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</si>
  <si>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</si>
  <si>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</si>
  <si>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</si>
  <si>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</si>
  <si>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</si>
  <si>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</si>
  <si>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</si>
  <si>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</si>
  <si>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</si>
  <si>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</si>
  <si>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</si>
  <si>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</si>
  <si>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</si>
  <si>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</si>
  <si>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</si>
  <si>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</si>
  <si>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</si>
  <si>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</si>
  <si>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</si>
  <si>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</si>
  <si>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</si>
  <si>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</si>
  <si>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</si>
  <si>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</si>
  <si>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</si>
  <si>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</si>
  <si>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</si>
  <si>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</si>
  <si>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</si>
  <si>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</si>
  <si>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</si>
  <si>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</si>
  <si>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</si>
  <si>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</si>
  <si>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</si>
  <si>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</si>
  <si>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</si>
  <si>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</si>
  <si>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</si>
  <si>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</si>
  <si>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</si>
  <si>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</si>
  <si>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</si>
  <si>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</si>
  <si>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</si>
  <si>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</si>
  <si>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</si>
  <si>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</si>
  <si>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</si>
  <si>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</si>
  <si>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</si>
  <si>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</si>
  <si>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</si>
  <si>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</si>
  <si>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</si>
  <si>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</si>
  <si>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</si>
  <si>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</si>
  <si>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</si>
  <si>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</si>
  <si>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</si>
  <si>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</si>
  <si>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</si>
  <si>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</si>
  <si>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</si>
  <si>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</si>
  <si>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</si>
  <si>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</si>
  <si>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</si>
  <si>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</si>
  <si>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</si>
  <si>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</si>
  <si>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</si>
  <si>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</si>
  <si>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</si>
  <si>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</si>
  <si>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</si>
  <si>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</si>
  <si>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</si>
  <si>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</si>
  <si>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</si>
  <si>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</si>
  <si>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</si>
  <si>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</si>
  <si>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</si>
  <si>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</si>
  <si>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</si>
  <si>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</si>
  <si>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</si>
  <si>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</si>
  <si>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</si>
  <si>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</si>
  <si>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</si>
  <si>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</si>
  <si>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</si>
  <si>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</si>
  <si>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</si>
  <si>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</si>
  <si>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</si>
  <si>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</si>
  <si>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</si>
  <si>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</si>
  <si>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</si>
  <si>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</si>
  <si>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</si>
  <si>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</si>
  <si>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</si>
  <si>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</si>
  <si>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</si>
  <si>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</si>
  <si>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</si>
  <si>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</si>
  <si>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</si>
  <si>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</si>
  <si>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</si>
  <si>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</si>
  <si>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</si>
  <si>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</si>
  <si>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</si>
  <si>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</si>
  <si>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</si>
  <si>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</si>
  <si>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</si>
  <si>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</si>
  <si>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</si>
  <si>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</si>
  <si>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</si>
  <si>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</si>
  <si>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</si>
  <si>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</si>
  <si>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</si>
  <si>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</si>
  <si>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</si>
  <si>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</si>
  <si>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</si>
  <si>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</si>
  <si>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</si>
  <si>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</si>
  <si>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</si>
  <si>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</si>
  <si>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</si>
  <si>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</si>
  <si>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</si>
  <si>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</si>
  <si>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</si>
  <si>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</si>
  <si>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</si>
  <si>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</si>
  <si>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</si>
  <si>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</si>
  <si>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</si>
  <si>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</si>
  <si>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</si>
  <si>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</si>
  <si>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</si>
  <si>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</si>
  <si>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</si>
  <si>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</si>
  <si>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</si>
  <si>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</si>
  <si>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</si>
  <si>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</si>
  <si>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</si>
  <si>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</si>
  <si>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</si>
  <si>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</si>
  <si>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</si>
  <si>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</si>
  <si>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</si>
  <si>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</si>
  <si>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</si>
  <si>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</si>
  <si>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</si>
  <si>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</si>
  <si>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</si>
  <si>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</si>
  <si>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</si>
  <si>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</si>
  <si>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</si>
  <si>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</si>
  <si>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</si>
  <si>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</si>
  <si>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</si>
  <si>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</si>
  <si>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</si>
  <si>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</si>
  <si>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</si>
  <si>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</si>
  <si>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</si>
  <si>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</si>
  <si>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</si>
  <si>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</si>
  <si>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</si>
  <si>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</si>
  <si>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</si>
  <si>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</si>
  <si>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</si>
  <si>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</si>
  <si>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</si>
  <si>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</si>
  <si>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</si>
  <si>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</si>
  <si>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</si>
  <si>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</si>
  <si>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</si>
  <si>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</si>
  <si>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</si>
  <si>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</si>
  <si>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</si>
  <si>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</si>
  <si>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</si>
  <si>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</si>
  <si>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</si>
  <si>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</si>
  <si>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</si>
  <si>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</si>
  <si>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</si>
  <si>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</si>
  <si>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</si>
  <si>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</si>
  <si>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</si>
  <si>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</si>
  <si>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</si>
  <si>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</si>
  <si>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</si>
  <si>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</si>
  <si>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</si>
  <si>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</si>
  <si>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</si>
  <si>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</si>
  <si>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</si>
  <si>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</si>
  <si>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</si>
  <si>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</si>
  <si>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</si>
  <si>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</si>
  <si>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</si>
  <si>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</si>
  <si>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</si>
  <si>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</si>
  <si>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</si>
  <si>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</si>
  <si>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</si>
  <si>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</si>
  <si>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</si>
  <si>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</si>
  <si>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</si>
  <si>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</si>
  <si>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</si>
  <si>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</si>
  <si>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</si>
  <si>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</si>
  <si>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</si>
  <si>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</si>
  <si>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</si>
  <si>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</si>
  <si>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</si>
  <si>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</si>
  <si>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</si>
  <si>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</si>
  <si>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</si>
  <si>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</si>
  <si>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</si>
  <si>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</si>
  <si>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</si>
  <si>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</si>
  <si>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</si>
  <si>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</si>
  <si>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</si>
  <si>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</si>
  <si>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</si>
  <si>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</si>
  <si>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</si>
  <si>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</si>
  <si>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</si>
  <si>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</si>
  <si>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</si>
  <si>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</si>
  <si>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</si>
  <si>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</si>
  <si>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</si>
  <si>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</si>
  <si>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</si>
  <si>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</si>
  <si>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</si>
  <si>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</si>
  <si>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</si>
  <si>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</si>
  <si>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</si>
  <si>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</si>
  <si>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</si>
  <si>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</si>
  <si>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</si>
  <si>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</si>
  <si>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</si>
  <si>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</si>
  <si>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</si>
  <si>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</si>
  <si>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</si>
  <si>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</si>
  <si>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</si>
  <si>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</si>
  <si>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</si>
  <si>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</si>
  <si>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</si>
  <si>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</si>
  <si>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</si>
  <si>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</si>
  <si>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</si>
  <si>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</si>
  <si>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</si>
  <si>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</si>
  <si>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</si>
  <si>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</si>
  <si>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</si>
  <si>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</si>
  <si>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</si>
  <si>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</si>
  <si>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</si>
  <si>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</si>
  <si>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</si>
  <si>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</si>
  <si>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</si>
  <si>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</si>
  <si>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</si>
  <si>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</si>
  <si>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</si>
  <si>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</si>
  <si>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</si>
  <si>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</si>
  <si>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</si>
  <si>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</si>
  <si>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</si>
  <si>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</si>
  <si>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</si>
  <si>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</si>
  <si>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</si>
  <si>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</si>
  <si>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</si>
  <si>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</si>
  <si>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</si>
  <si>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</si>
  <si>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</si>
  <si>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</si>
  <si>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</si>
  <si>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</si>
  <si>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</si>
  <si>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</si>
  <si>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</si>
  <si>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</si>
  <si>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</si>
  <si>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</si>
  <si>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</si>
  <si>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</si>
  <si>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</si>
  <si>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</si>
  <si>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</si>
  <si>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</si>
  <si>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</si>
  <si>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</si>
  <si>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</si>
  <si>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</si>
  <si>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</si>
  <si>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</si>
  <si>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</si>
  <si>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</si>
  <si>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</si>
  <si>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</si>
  <si>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</si>
  <si>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</si>
  <si>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</si>
  <si>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</si>
  <si>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</si>
  <si>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</si>
  <si>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</si>
  <si>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</si>
  <si>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</si>
  <si>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</si>
  <si>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</si>
  <si>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</si>
  <si>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</si>
  <si>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</si>
  <si>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</si>
  <si>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</si>
  <si>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</si>
  <si>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</si>
  <si>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</si>
  <si>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</si>
  <si>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</si>
  <si>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</si>
  <si>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</si>
  <si>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</si>
  <si>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</si>
  <si>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</si>
  <si>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</si>
  <si>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</si>
  <si>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</si>
  <si>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</si>
  <si>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</si>
  <si>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</si>
  <si>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</si>
  <si>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</si>
  <si>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</si>
  <si>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</si>
  <si>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</si>
  <si>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</si>
  <si>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</si>
  <si>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</si>
  <si>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</si>
  <si>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</si>
  <si>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</si>
  <si>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</si>
  <si>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</si>
  <si>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</si>
  <si>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</si>
  <si>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</si>
  <si>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</si>
  <si>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</si>
  <si>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</si>
  <si>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</si>
  <si>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</si>
  <si>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</si>
  <si>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</si>
  <si>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</si>
  <si>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</si>
  <si>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</si>
  <si>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</si>
  <si>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</si>
  <si>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</si>
  <si>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</si>
  <si>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</si>
  <si>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</si>
  <si>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</si>
  <si>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</si>
  <si>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</si>
  <si>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</si>
  <si>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</si>
  <si>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</si>
  <si>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</si>
  <si>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</si>
  <si>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</si>
  <si>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</si>
  <si>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</si>
  <si>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</si>
  <si>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</si>
  <si>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</si>
  <si>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</si>
  <si>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</si>
  <si>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</si>
  <si>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</si>
  <si>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</si>
  <si>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</si>
  <si>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</si>
  <si>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</si>
  <si>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</si>
  <si>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</si>
  <si>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</si>
  <si>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</si>
  <si>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</si>
  <si>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</si>
  <si>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</si>
  <si>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</si>
  <si>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</si>
  <si>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</si>
  <si>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</si>
  <si>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</si>
  <si>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</si>
  <si>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</si>
  <si>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</si>
  <si>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</si>
  <si>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</si>
  <si>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</si>
  <si>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</si>
  <si>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</si>
  <si>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</si>
  <si>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</si>
  <si>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</si>
  <si>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</si>
  <si>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</si>
  <si>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</si>
  <si>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</si>
  <si>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</si>
  <si>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</si>
  <si>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</si>
  <si>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</si>
  <si>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</si>
  <si>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</si>
  <si>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</si>
  <si>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</si>
  <si>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</si>
  <si>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</si>
  <si>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</si>
  <si>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</si>
  <si>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</si>
  <si>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</si>
  <si>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</si>
  <si>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</si>
  <si>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</si>
  <si>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</si>
  <si>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</si>
  <si>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</si>
  <si>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</si>
  <si>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</si>
  <si>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</si>
  <si>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</si>
  <si>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</si>
  <si>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</si>
  <si>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</si>
  <si>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</si>
  <si>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</si>
  <si>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</si>
  <si>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</si>
  <si>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</si>
  <si>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</si>
  <si>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</si>
  <si>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</si>
  <si>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</si>
  <si>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</si>
  <si>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</si>
  <si>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</si>
  <si>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</si>
  <si>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</si>
  <si>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</si>
  <si>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</si>
  <si>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</si>
  <si>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</si>
  <si>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</si>
  <si>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</si>
  <si>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</si>
  <si>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</si>
  <si>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</si>
  <si>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</si>
  <si>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</si>
  <si>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</si>
  <si>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</si>
  <si>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</si>
  <si>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</si>
  <si>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</si>
  <si>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</si>
  <si>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</si>
  <si>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</si>
  <si>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</si>
  <si>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</si>
  <si>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</si>
  <si>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</si>
  <si>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</si>
  <si>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</si>
  <si>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</si>
  <si>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</si>
  <si>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</si>
  <si>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</si>
  <si>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</si>
  <si>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</si>
  <si>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</si>
  <si>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</si>
  <si>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</si>
  <si>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</si>
  <si>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</si>
  <si>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</si>
  <si>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</si>
  <si>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</si>
  <si>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</si>
  <si>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</si>
  <si>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</si>
  <si>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</si>
  <si>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</si>
  <si>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</si>
  <si>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</si>
  <si>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</si>
  <si>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</si>
  <si>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</si>
  <si>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</si>
  <si>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</si>
  <si>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</si>
  <si>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</si>
  <si>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</si>
  <si>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</si>
  <si>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</si>
  <si>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</si>
  <si>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</si>
  <si>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</si>
  <si>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</si>
  <si>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</si>
  <si>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</si>
  <si>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</si>
  <si>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</si>
  <si>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</si>
  <si>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</si>
  <si>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</si>
  <si>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</si>
  <si>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</si>
  <si>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</si>
  <si>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</si>
  <si>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</si>
  <si>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</si>
  <si>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</si>
  <si>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</si>
  <si>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</si>
  <si>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</si>
  <si>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</si>
  <si>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</si>
  <si>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</si>
  <si>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</si>
  <si>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</si>
  <si>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</si>
  <si>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</si>
  <si>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</si>
  <si>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</si>
  <si>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</si>
  <si>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</si>
  <si>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</si>
  <si>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</si>
  <si>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</si>
  <si>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</si>
  <si>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</si>
  <si>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</si>
  <si>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</si>
  <si>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</si>
  <si>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</si>
  <si>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</si>
  <si>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</si>
  <si>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</si>
  <si>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</si>
  <si>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</si>
  <si>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</si>
  <si>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</si>
  <si>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</si>
  <si>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</si>
  <si>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</si>
  <si>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</si>
  <si>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</si>
  <si>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</si>
  <si>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</si>
  <si>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</si>
  <si>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</si>
  <si>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</si>
  <si>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</si>
  <si>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</si>
  <si>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</si>
  <si>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</si>
  <si>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</si>
  <si>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</si>
  <si>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</si>
  <si>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</si>
  <si>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</si>
  <si>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</si>
  <si>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</si>
  <si>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</si>
  <si>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</si>
  <si>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</si>
  <si>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</si>
  <si>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</si>
  <si>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</si>
  <si>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</si>
  <si>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</si>
  <si>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</si>
  <si>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</si>
  <si>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</si>
  <si>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</si>
  <si>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</si>
  <si>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</si>
  <si>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</si>
  <si>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</si>
  <si>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</si>
  <si>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</si>
  <si>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</si>
  <si>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</si>
  <si>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</si>
  <si>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</si>
  <si>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</si>
  <si>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</si>
  <si>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</si>
  <si>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</si>
  <si>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</si>
  <si>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</si>
  <si>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</si>
  <si>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</si>
  <si>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</si>
  <si>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</si>
  <si>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</si>
  <si>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</si>
  <si>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</si>
  <si>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</si>
  <si>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</si>
  <si>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</si>
  <si>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</si>
  <si>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</si>
  <si>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</si>
  <si>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</si>
  <si>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</si>
  <si>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</si>
  <si>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</si>
  <si>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</si>
  <si>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</si>
  <si>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</si>
  <si>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</si>
  <si>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</si>
  <si>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</si>
  <si>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</si>
  <si>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</si>
  <si>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</si>
  <si>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</si>
  <si>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</si>
  <si>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</si>
  <si>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</si>
  <si>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</si>
  <si>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</si>
  <si>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</si>
  <si>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</si>
  <si>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</si>
  <si>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</si>
  <si>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</si>
  <si>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</si>
  <si>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</si>
  <si>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</si>
  <si>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</si>
  <si>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</si>
  <si>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</si>
  <si>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</si>
  <si>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</si>
  <si>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</si>
  <si>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</si>
  <si>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</si>
  <si>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</si>
  <si>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</si>
  <si>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</si>
  <si>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</si>
  <si>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</si>
  <si>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</si>
  <si>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</si>
  <si>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</si>
  <si>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</si>
  <si>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</si>
  <si>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</si>
  <si>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</si>
  <si>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</si>
  <si>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</si>
  <si>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</si>
  <si>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</si>
  <si>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</si>
  <si>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</si>
  <si>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</si>
  <si>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</si>
  <si>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</si>
  <si>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</si>
  <si>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</si>
  <si>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</si>
  <si>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</si>
  <si>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</si>
  <si>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</si>
  <si>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</si>
  <si>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</si>
  <si>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</si>
  <si>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</si>
  <si>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</si>
  <si>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</si>
  <si>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</si>
  <si>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</si>
  <si>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</si>
  <si>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</si>
  <si>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</si>
  <si>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</si>
  <si>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</si>
  <si>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</si>
  <si>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</si>
  <si>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</si>
  <si>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</si>
  <si>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</si>
  <si>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</si>
  <si>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</si>
  <si>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</si>
  <si>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</si>
  <si>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</si>
  <si>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</si>
  <si>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</si>
  <si>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</si>
  <si>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</si>
  <si>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</si>
  <si>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</si>
  <si>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</si>
  <si>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</si>
  <si>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</si>
  <si>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</si>
  <si>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</si>
  <si>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</si>
  <si>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</si>
  <si>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</si>
  <si>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</si>
  <si>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</si>
  <si>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</si>
  <si>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</si>
  <si>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</si>
  <si>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</si>
  <si>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</si>
  <si>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</si>
  <si>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</si>
  <si>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</si>
  <si>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</si>
  <si>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</si>
  <si>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</si>
  <si>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</si>
  <si>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</si>
  <si>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</si>
  <si>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</si>
  <si>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</si>
  <si>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</si>
  <si>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</si>
  <si>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</si>
  <si>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</si>
  <si>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</si>
  <si>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</si>
  <si>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</si>
  <si>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</si>
  <si>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</si>
  <si>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</si>
  <si>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</si>
  <si>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</si>
  <si>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</si>
  <si>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</si>
  <si>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</si>
  <si>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</si>
  <si>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</si>
  <si>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</si>
  <si>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</si>
  <si>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</si>
  <si>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</si>
  <si>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</si>
  <si>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</si>
  <si>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</si>
  <si>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</si>
  <si>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</si>
  <si>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</si>
  <si>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</si>
  <si>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</si>
  <si>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</si>
  <si>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</si>
  <si>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</si>
  <si>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</si>
  <si>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</si>
  <si>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</si>
  <si>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</si>
  <si>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</si>
  <si>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</si>
  <si>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</si>
  <si>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</si>
  <si>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</si>
  <si>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</si>
  <si>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</si>
  <si>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</si>
  <si>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</si>
  <si>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</si>
  <si>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</si>
  <si>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</si>
  <si>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</si>
  <si>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</si>
  <si>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</si>
  <si>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</si>
  <si>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</si>
  <si>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</si>
  <si>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</si>
  <si>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</si>
  <si>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</si>
  <si>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</si>
  <si>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</si>
  <si>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</si>
  <si>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</si>
  <si>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</si>
  <si>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</si>
  <si>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</si>
  <si>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</si>
  <si>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</si>
  <si>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</si>
  <si>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</si>
  <si>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</si>
  <si>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</si>
  <si>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</si>
  <si>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</si>
  <si>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</si>
  <si>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</si>
  <si>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</si>
  <si>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</si>
  <si>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</si>
  <si>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</si>
  <si>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</si>
  <si>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</si>
  <si>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</si>
  <si>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</si>
  <si>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</si>
  <si>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</si>
  <si>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</si>
  <si>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</si>
  <si>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</si>
  <si>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</si>
  <si>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</si>
  <si>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</si>
  <si>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</si>
  <si>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</si>
  <si>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</si>
  <si>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</si>
  <si>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</si>
  <si>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</si>
  <si>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</si>
  <si>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</si>
  <si>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</si>
  <si>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</si>
  <si>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</si>
  <si>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</si>
  <si>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</si>
  <si>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</si>
  <si>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</si>
  <si>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</si>
  <si>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</si>
  <si>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</si>
  <si>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</si>
  <si>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</si>
  <si>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</si>
  <si>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</si>
  <si>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</si>
  <si>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</si>
  <si>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</si>
  <si>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</si>
  <si>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</si>
  <si>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</si>
  <si>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</si>
  <si>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</si>
  <si>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</si>
  <si>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</si>
  <si>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</si>
  <si>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</si>
  <si>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</si>
  <si>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</si>
  <si>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</si>
  <si>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</si>
  <si>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</si>
  <si>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</si>
  <si>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</si>
  <si>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</si>
  <si>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</si>
  <si>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</si>
  <si>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</si>
  <si>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</si>
  <si>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</si>
  <si>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</si>
  <si>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</si>
  <si>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</si>
  <si>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</si>
  <si>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</si>
  <si>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</si>
  <si>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</si>
  <si>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</si>
  <si>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</si>
  <si>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</si>
  <si>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</si>
  <si>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</si>
  <si>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</si>
  <si>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</si>
  <si>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</si>
  <si>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</si>
  <si>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</si>
  <si>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</si>
  <si>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</si>
  <si>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</si>
  <si>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</si>
  <si>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</si>
  <si>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</si>
  <si>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</si>
  <si>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</si>
  <si>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</si>
  <si>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</si>
  <si>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</si>
  <si>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</si>
  <si>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</si>
  <si>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</si>
  <si>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</si>
  <si>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</si>
  <si>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</si>
  <si>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</si>
  <si>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</si>
  <si>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</si>
  <si>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</si>
  <si>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</si>
  <si>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</si>
  <si>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</si>
  <si>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</si>
  <si>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</si>
  <si>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</si>
  <si>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</si>
  <si>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</si>
  <si>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</si>
  <si>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</si>
  <si>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</si>
  <si>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</si>
  <si>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</si>
  <si>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</si>
  <si>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</si>
  <si>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</si>
  <si>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</si>
  <si>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</si>
  <si>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</si>
  <si>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</si>
  <si>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</si>
  <si>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</si>
  <si>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</si>
  <si>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</si>
  <si>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</si>
  <si>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</si>
  <si>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</si>
  <si>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</si>
  <si>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</si>
  <si>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</si>
  <si>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</si>
  <si>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</si>
  <si>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</si>
  <si>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</si>
  <si>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</si>
  <si>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</si>
  <si>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</si>
  <si>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</si>
  <si>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</si>
  <si>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</si>
  <si>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</si>
  <si>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</si>
  <si>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</si>
  <si>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</si>
  <si>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</si>
  <si>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</si>
  <si>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</si>
  <si>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</si>
  <si>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</si>
  <si>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</si>
  <si>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</si>
  <si>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</si>
  <si>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</si>
  <si>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</si>
  <si>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</si>
  <si>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</si>
  <si>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</si>
  <si>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</si>
  <si>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</si>
  <si>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</si>
  <si>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</si>
  <si>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</si>
  <si>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</si>
  <si>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</si>
  <si>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</si>
  <si>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</si>
  <si>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</si>
  <si>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</si>
  <si>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</si>
  <si>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</si>
  <si>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</si>
  <si>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</si>
  <si>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</si>
  <si>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</si>
  <si>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</si>
  <si>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</si>
  <si>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</si>
  <si>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</si>
  <si>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</si>
  <si>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</si>
  <si>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</si>
  <si>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</si>
  <si>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</si>
  <si>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</si>
  <si>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</si>
  <si>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</si>
  <si>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</si>
  <si>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</si>
  <si>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</si>
  <si>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</si>
  <si>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</si>
  <si>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</si>
  <si>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</si>
  <si>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</si>
  <si>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</si>
  <si>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</si>
  <si>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</si>
  <si>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</si>
  <si>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</si>
  <si>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</si>
  <si>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</si>
  <si>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</si>
  <si>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</si>
  <si>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</si>
  <si>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</si>
  <si>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</si>
  <si>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</si>
  <si>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</si>
  <si>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</si>
  <si>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</si>
  <si>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</si>
  <si>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</si>
  <si>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</si>
  <si>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</si>
  <si>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</si>
  <si>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</si>
  <si>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</si>
  <si>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</si>
  <si>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</si>
  <si>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</si>
  <si>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</si>
  <si>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</si>
  <si>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</si>
  <si>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</si>
  <si>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</si>
  <si>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</si>
  <si>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</si>
  <si>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</si>
  <si>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</si>
  <si>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</si>
  <si>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</si>
  <si>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</si>
  <si>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</si>
  <si>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</si>
  <si>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</si>
  <si>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</si>
  <si>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</si>
  <si>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</si>
  <si>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</si>
  <si>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</si>
  <si>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</si>
  <si>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</si>
  <si>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</si>
  <si>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</si>
  <si>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</si>
  <si>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</si>
  <si>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</si>
  <si>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</si>
  <si>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</si>
  <si>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</si>
  <si>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</si>
  <si>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</si>
  <si>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</si>
  <si>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</si>
  <si>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</si>
  <si>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</si>
  <si>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</si>
  <si>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</si>
  <si>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</si>
  <si>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</si>
  <si>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</si>
  <si>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</si>
  <si>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</si>
  <si>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</si>
  <si>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</si>
  <si>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</si>
  <si>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</si>
  <si>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</si>
  <si>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</si>
  <si>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</si>
  <si>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</si>
  <si>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</si>
  <si>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</si>
  <si>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</si>
  <si>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</si>
  <si>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</si>
  <si>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</si>
  <si>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</si>
  <si>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</si>
  <si>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</si>
  <si>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</si>
  <si>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</si>
  <si>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</si>
  <si>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</si>
  <si>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</si>
  <si>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</si>
  <si>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</si>
  <si>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</si>
  <si>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</si>
  <si>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</si>
  <si>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</si>
  <si>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</si>
  <si>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</si>
  <si>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</si>
  <si>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</si>
  <si>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</si>
  <si>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</si>
  <si>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</si>
  <si>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</si>
  <si>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</si>
  <si>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</si>
  <si>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</si>
  <si>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</si>
  <si>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</si>
  <si>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</si>
  <si>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</si>
  <si>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</si>
  <si>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</si>
  <si>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</si>
  <si>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</si>
  <si>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</si>
  <si>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</si>
  <si>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</si>
  <si>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</si>
  <si>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</si>
  <si>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</si>
  <si>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</si>
  <si>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</si>
  <si>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</si>
  <si>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</si>
  <si>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</si>
  <si>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</si>
  <si>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</si>
  <si>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</si>
  <si>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</si>
  <si>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</si>
  <si>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</si>
  <si>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</si>
  <si>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</si>
  <si>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</si>
  <si>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</si>
  <si>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</si>
  <si>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</si>
  <si>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</si>
  <si>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</si>
  <si>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</si>
  <si>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</si>
  <si>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</si>
  <si>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</si>
  <si>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</si>
  <si>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</si>
  <si>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</si>
  <si>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</si>
  <si>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</si>
  <si>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</si>
  <si>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</si>
  <si>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</si>
  <si>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</si>
  <si>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</si>
  <si>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</si>
  <si>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</si>
  <si>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</si>
  <si>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</si>
  <si>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</si>
  <si>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</si>
  <si>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</si>
  <si>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</si>
  <si>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</si>
  <si>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</si>
  <si>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</si>
  <si>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</si>
  <si>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</si>
  <si>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</si>
  <si>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</si>
  <si>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</si>
  <si>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</si>
  <si>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</si>
  <si>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</si>
  <si>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</si>
  <si>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</si>
  <si>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</si>
  <si>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</si>
  <si>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</si>
  <si>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</si>
  <si>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</si>
  <si>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</si>
  <si>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</si>
  <si>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</si>
  <si>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</si>
  <si>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</si>
  <si>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</si>
  <si>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</si>
  <si>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</si>
  <si>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</si>
  <si>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</si>
  <si>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</si>
  <si>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</si>
  <si>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</si>
  <si>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</si>
  <si>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</si>
  <si>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</si>
  <si>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</si>
  <si>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</si>
  <si>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</si>
  <si>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</si>
  <si>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</si>
  <si>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</si>
  <si>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</si>
  <si>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</si>
  <si>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</si>
  <si>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</si>
  <si>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</si>
  <si>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</si>
  <si>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</si>
  <si>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</si>
  <si>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</si>
  <si>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</si>
  <si>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</si>
  <si>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</si>
  <si>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</si>
  <si>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</si>
  <si>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</si>
  <si>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</si>
  <si>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</si>
  <si>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</si>
  <si>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</si>
  <si>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</si>
  <si>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</si>
  <si>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</si>
  <si>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</si>
  <si>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</si>
  <si>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</si>
  <si>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</si>
  <si>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</si>
  <si>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</si>
  <si>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</si>
  <si>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</si>
  <si>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</si>
  <si>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</si>
  <si>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</si>
  <si>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</si>
  <si>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</si>
  <si>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</si>
  <si>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</si>
  <si>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</si>
  <si>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</si>
  <si>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</si>
  <si>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</si>
  <si>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</si>
  <si>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</si>
  <si>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</si>
  <si>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</si>
  <si>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</si>
  <si>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</si>
  <si>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</si>
  <si>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</si>
  <si>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</si>
  <si>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</si>
  <si>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</si>
  <si>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</si>
  <si>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</si>
  <si>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</si>
  <si>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</si>
  <si>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</si>
  <si>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</si>
  <si>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</si>
  <si>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</si>
  <si>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</si>
  <si>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</si>
  <si>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</si>
  <si>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</si>
  <si>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</si>
  <si>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</si>
  <si>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</si>
  <si>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</si>
  <si>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</si>
  <si>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</si>
  <si>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</si>
  <si>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</si>
  <si>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</si>
  <si>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</si>
  <si>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</si>
  <si>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</si>
  <si>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</si>
  <si>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</si>
  <si>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</si>
  <si>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</si>
  <si>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</si>
  <si>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</si>
  <si>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</si>
  <si>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</si>
  <si>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</si>
  <si>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</si>
  <si>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</si>
  <si>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</si>
  <si>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</si>
  <si>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</si>
  <si>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</si>
  <si>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</si>
  <si>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</si>
  <si>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</si>
  <si>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</si>
  <si>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</si>
  <si>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</si>
  <si>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</si>
  <si>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</si>
  <si>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</si>
  <si>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</si>
  <si>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</si>
  <si>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</si>
  <si>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</si>
  <si>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</si>
  <si>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</si>
  <si>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</si>
  <si>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</si>
  <si>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</si>
  <si>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</si>
  <si>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</si>
  <si>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</si>
  <si>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</si>
  <si>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</si>
  <si>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</si>
  <si>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</si>
  <si>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</si>
  <si>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</si>
  <si>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</si>
  <si>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</si>
  <si>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</si>
  <si>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</si>
  <si>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</si>
  <si>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</si>
  <si>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</si>
  <si>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</si>
  <si>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</si>
  <si>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</si>
  <si>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</si>
  <si>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</si>
  <si>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</si>
  <si>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</si>
  <si>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</si>
  <si>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</si>
  <si>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</si>
  <si>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</si>
  <si>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</si>
  <si>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</si>
  <si>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</si>
  <si>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</si>
  <si>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</si>
  <si>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</si>
  <si>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</si>
  <si>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</si>
  <si>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</si>
  <si>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</si>
  <si>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</si>
  <si>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</si>
  <si>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</si>
  <si>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</si>
  <si>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</si>
  <si>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</si>
  <si>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</si>
  <si>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</si>
  <si>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</si>
  <si>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</si>
  <si>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</si>
  <si>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</si>
  <si>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</si>
  <si>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</si>
  <si>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</si>
  <si>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</si>
  <si>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</si>
  <si>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</si>
  <si>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</si>
  <si>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</si>
  <si>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</si>
  <si>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</si>
  <si>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</si>
  <si>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</si>
  <si>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</si>
  <si>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</si>
  <si>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</si>
  <si>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</si>
  <si>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</si>
  <si>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</si>
  <si>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</si>
  <si>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</si>
  <si>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</si>
  <si>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</si>
  <si>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</si>
  <si>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</si>
  <si>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</si>
  <si>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</si>
  <si>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</si>
  <si>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</si>
  <si>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</si>
  <si>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</si>
  <si>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</si>
  <si>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</si>
  <si>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</si>
  <si>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</si>
  <si>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</si>
  <si>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</si>
  <si>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</si>
  <si>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</si>
  <si>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</si>
  <si>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</si>
  <si>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</si>
  <si>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</si>
  <si>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</si>
  <si>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</si>
  <si>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</si>
  <si>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</si>
  <si>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</si>
  <si>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</si>
  <si>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</si>
  <si>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</si>
  <si>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</si>
  <si>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</si>
  <si>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</si>
  <si>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</si>
  <si>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</si>
  <si>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</si>
  <si>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</si>
  <si>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</si>
  <si>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</si>
  <si>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</si>
  <si>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</si>
  <si>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</si>
  <si>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</si>
  <si>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</si>
  <si>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</si>
  <si>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</si>
  <si>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</si>
  <si>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</si>
  <si>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</si>
  <si>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</si>
  <si>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</si>
  <si>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</si>
  <si>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</si>
  <si>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</si>
  <si>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</si>
  <si>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</si>
  <si>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</si>
  <si>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</si>
  <si>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</si>
  <si>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</si>
  <si>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</si>
  <si>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</si>
  <si>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</si>
  <si>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</si>
  <si>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</si>
  <si>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</si>
  <si>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</si>
  <si>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</si>
  <si>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</si>
  <si>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</si>
  <si>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</si>
  <si>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</si>
  <si>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</si>
  <si>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</si>
  <si>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</si>
  <si>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</si>
  <si>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</si>
  <si>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</si>
  <si>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</si>
  <si>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</si>
  <si>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</si>
  <si>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</si>
  <si>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</si>
  <si>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</si>
  <si>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</si>
  <si>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</si>
  <si>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</si>
  <si>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</si>
  <si>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</si>
  <si>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</si>
  <si>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</si>
  <si>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</si>
  <si>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</si>
  <si>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</si>
  <si>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</si>
  <si>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</si>
  <si>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</si>
  <si>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</si>
  <si>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</si>
  <si>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</si>
  <si>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</si>
  <si>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</si>
  <si>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</si>
  <si>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</si>
  <si>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</si>
  <si>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</si>
  <si>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</si>
  <si>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</si>
  <si>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</si>
  <si>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</si>
  <si>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</si>
  <si>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</si>
  <si>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</si>
  <si>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</si>
  <si>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</si>
  <si>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</si>
  <si>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</si>
  <si>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</si>
  <si>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</si>
  <si>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</si>
  <si>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</si>
  <si>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</si>
  <si>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</si>
  <si>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</si>
  <si>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</si>
  <si>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</si>
  <si>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</si>
  <si>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</si>
  <si>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</si>
  <si>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</si>
  <si>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</si>
  <si>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</si>
  <si>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</si>
  <si>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</si>
  <si>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</si>
  <si>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</si>
  <si>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</si>
  <si>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</si>
  <si>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</si>
  <si>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</si>
  <si>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</si>
  <si>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</si>
  <si>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</si>
  <si>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</si>
  <si>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</si>
  <si>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</si>
  <si>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</si>
  <si>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</si>
  <si>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</si>
  <si>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</si>
  <si>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</si>
  <si>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</si>
  <si>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</si>
  <si>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</si>
  <si>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</si>
  <si>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</si>
  <si>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</si>
  <si>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</si>
  <si>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</si>
  <si>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</si>
  <si>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</si>
  <si>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</si>
  <si>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</si>
  <si>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</si>
  <si>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</si>
  <si>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</si>
  <si>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</si>
  <si>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</si>
  <si>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</si>
  <si>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</si>
  <si>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</si>
  <si>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</si>
  <si>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</si>
  <si>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</si>
  <si>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</si>
  <si>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</si>
  <si>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</si>
  <si>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</si>
  <si>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</si>
  <si>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</si>
  <si>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</si>
  <si>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</si>
  <si>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</si>
  <si>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</si>
  <si>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</si>
  <si>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</si>
  <si>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</si>
  <si>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</si>
  <si>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</si>
  <si>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</si>
  <si>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</si>
  <si>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</si>
  <si>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</si>
  <si>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</si>
  <si>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</si>
  <si>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</si>
  <si>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</si>
  <si>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</si>
  <si>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</si>
  <si>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</si>
  <si>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</si>
  <si>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</si>
  <si>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</si>
  <si>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</si>
  <si>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</si>
  <si>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</si>
  <si>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</si>
  <si>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</si>
  <si>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</si>
  <si>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</si>
  <si>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</si>
  <si>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</si>
  <si>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</si>
  <si>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</si>
  <si>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</si>
  <si>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</si>
  <si>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</si>
  <si>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</si>
  <si>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</si>
  <si>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</si>
  <si>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</si>
  <si>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</si>
  <si>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</si>
  <si>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</si>
  <si>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</si>
  <si>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</si>
  <si>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</si>
  <si>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</si>
  <si>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</si>
  <si>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</si>
  <si>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</si>
  <si>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</si>
  <si>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</si>
  <si>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</si>
  <si>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</si>
  <si>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</si>
  <si>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</si>
  <si>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</si>
  <si>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</si>
  <si>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</si>
  <si>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</si>
  <si>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</si>
  <si>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</si>
  <si>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</si>
  <si>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</si>
  <si>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</si>
  <si>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</si>
  <si>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</si>
  <si>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</si>
  <si>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</si>
  <si>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</si>
  <si>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</si>
  <si>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</si>
  <si>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</si>
  <si>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</si>
  <si>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</si>
  <si>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</si>
  <si>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</si>
  <si>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</si>
  <si>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</si>
  <si>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</si>
  <si>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</si>
  <si>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</si>
  <si>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</si>
  <si>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</si>
  <si>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</si>
  <si>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</si>
  <si>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</si>
  <si>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</si>
  <si>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</si>
  <si>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</si>
  <si>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</si>
  <si>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</si>
  <si>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</si>
  <si>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</si>
  <si>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</si>
  <si>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</si>
  <si>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</si>
  <si>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</si>
  <si>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</si>
  <si>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</si>
  <si>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</si>
  <si>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</si>
  <si>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</si>
  <si>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</si>
  <si>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</si>
  <si>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</si>
  <si>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</si>
  <si>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</si>
  <si>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</si>
  <si>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</si>
  <si>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</si>
  <si>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</si>
  <si>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</si>
  <si>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</si>
  <si>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</si>
  <si>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</si>
  <si>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</si>
  <si>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</si>
  <si>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</si>
  <si>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</si>
  <si>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</si>
  <si>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</si>
  <si>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</si>
  <si>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</si>
  <si>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</si>
  <si>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</si>
  <si>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</si>
  <si>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</si>
  <si>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</si>
  <si>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</si>
  <si>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</si>
  <si>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</si>
  <si>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</si>
  <si>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</si>
  <si>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</si>
  <si>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</si>
  <si>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</si>
  <si>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</si>
  <si>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</si>
  <si>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</si>
  <si>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</si>
  <si>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</si>
  <si>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</si>
  <si>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</si>
  <si>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</si>
  <si>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</si>
  <si>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</si>
  <si>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</si>
  <si>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</si>
  <si>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</si>
  <si>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</si>
  <si>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</si>
  <si>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</si>
  <si>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</si>
  <si>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</si>
  <si>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</si>
  <si>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</si>
  <si>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</si>
  <si>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</si>
  <si>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</si>
  <si>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</si>
  <si>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</si>
  <si>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</si>
  <si>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</si>
  <si>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</si>
  <si>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</si>
  <si>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</si>
  <si>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</si>
  <si>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</si>
  <si>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</si>
  <si>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</si>
  <si>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</si>
  <si>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</si>
  <si>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</si>
  <si>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</si>
  <si>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</si>
  <si>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</si>
  <si>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</si>
  <si>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</si>
  <si>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</si>
  <si>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</si>
  <si>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</si>
  <si>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</si>
  <si>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</si>
  <si>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</si>
  <si>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</si>
  <si>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</si>
  <si>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</si>
  <si>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</si>
  <si>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</si>
  <si>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</si>
  <si>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</si>
  <si>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</si>
  <si>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</si>
  <si>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</si>
  <si>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</si>
  <si>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</si>
  <si>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</si>
  <si>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</si>
  <si>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</si>
  <si>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</si>
  <si>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</si>
  <si>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</si>
  <si>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</si>
  <si>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</si>
  <si>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</si>
  <si>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</si>
  <si>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</si>
  <si>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</si>
  <si>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</si>
  <si>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</si>
  <si>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</si>
  <si>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</si>
  <si>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</si>
  <si>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</si>
  <si>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</si>
  <si>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</si>
  <si>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</si>
  <si>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</si>
  <si>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</si>
  <si>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</si>
  <si>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</si>
  <si>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</si>
  <si>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</si>
  <si>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</si>
  <si>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</si>
  <si>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</si>
  <si>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</si>
  <si>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</si>
  <si>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</si>
  <si>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</si>
  <si>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</si>
  <si>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</si>
  <si>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</si>
  <si>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</si>
  <si>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</si>
  <si>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</si>
  <si>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</si>
  <si>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</si>
  <si>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</si>
  <si>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</si>
  <si>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</si>
  <si>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</si>
  <si>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</si>
  <si>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</si>
  <si>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</si>
  <si>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</si>
  <si>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</si>
  <si>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</si>
  <si>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</si>
  <si>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</si>
  <si>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</si>
  <si>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</si>
  <si>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</si>
  <si>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</si>
  <si>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</si>
  <si>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</si>
  <si>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</si>
  <si>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</si>
  <si>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</si>
  <si>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</si>
  <si>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</si>
  <si>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</si>
  <si>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</si>
  <si>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</si>
  <si>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</si>
  <si>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</si>
  <si>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</si>
  <si>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</si>
  <si>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</si>
  <si>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</si>
  <si>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</si>
  <si>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</si>
  <si>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</si>
  <si>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</si>
  <si>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</si>
  <si>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</si>
  <si>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</si>
  <si>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</si>
  <si>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</si>
  <si>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</si>
  <si>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</si>
  <si>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</si>
  <si>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</si>
  <si>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</si>
  <si>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</si>
  <si>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</si>
  <si>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</si>
  <si>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</si>
  <si>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</si>
  <si>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</si>
  <si>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</si>
  <si>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</si>
  <si>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</si>
  <si>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</si>
  <si>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</si>
  <si>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</si>
  <si>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</si>
  <si>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</si>
  <si>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</si>
  <si>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</si>
  <si>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</si>
  <si>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</si>
  <si>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</si>
  <si>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</si>
  <si>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</si>
  <si>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</si>
  <si>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</si>
  <si>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</si>
  <si>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</si>
  <si>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</si>
  <si>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</si>
  <si>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</si>
  <si>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</si>
  <si>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</si>
  <si>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</si>
  <si>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</si>
  <si>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</si>
  <si>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</si>
  <si>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</si>
  <si>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</si>
  <si>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</si>
  <si>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</si>
  <si>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</si>
  <si>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</si>
  <si>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</si>
  <si>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</si>
  <si>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</si>
  <si>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</si>
  <si>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</si>
  <si>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</si>
  <si>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</si>
  <si>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</si>
  <si>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</si>
  <si>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</si>
  <si>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</si>
  <si>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</si>
  <si>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</si>
  <si>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</si>
  <si>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</si>
  <si>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</si>
  <si>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</si>
  <si>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</si>
  <si>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</si>
  <si>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</si>
  <si>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</si>
  <si>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</si>
  <si>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</si>
  <si>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</si>
  <si>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</si>
  <si>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</si>
  <si>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</si>
  <si>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</si>
  <si>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</si>
  <si>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</si>
  <si>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</si>
  <si>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</si>
  <si>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</si>
  <si>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</si>
  <si>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</si>
  <si>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</si>
  <si>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</si>
  <si>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</si>
  <si>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</si>
  <si>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</si>
  <si>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</si>
  <si>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</si>
  <si>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</si>
  <si>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</si>
  <si>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</si>
  <si>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</si>
  <si>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</si>
  <si>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</si>
  <si>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</si>
  <si>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</si>
  <si>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</si>
  <si>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</si>
  <si>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</si>
  <si>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</si>
  <si>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</si>
  <si>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</si>
  <si>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</si>
  <si>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</si>
  <si>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</si>
  <si>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</si>
  <si>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</si>
  <si>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</si>
  <si>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</si>
  <si>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</si>
  <si>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</si>
  <si>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</si>
  <si>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</si>
  <si>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</si>
  <si>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</si>
  <si>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</si>
  <si>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</si>
  <si>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</si>
  <si>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</si>
  <si>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</si>
  <si>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</si>
  <si>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</si>
  <si>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</si>
  <si>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</si>
  <si>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</si>
  <si>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</si>
  <si>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</si>
  <si>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</si>
  <si>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</si>
  <si>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</si>
  <si>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</si>
  <si>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</si>
  <si>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</si>
  <si>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</si>
  <si>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</si>
  <si>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</si>
  <si>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</si>
  <si>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</si>
  <si>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</si>
  <si>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</si>
  <si>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</si>
  <si>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</si>
  <si>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</si>
  <si>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</si>
  <si>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</si>
  <si>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</si>
  <si>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</si>
  <si>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</si>
  <si>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</si>
  <si>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</si>
  <si>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</si>
  <si>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</si>
  <si>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</si>
  <si>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</si>
  <si>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</si>
  <si>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</si>
  <si>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</si>
  <si>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</si>
  <si>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</si>
  <si>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</si>
  <si>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</si>
  <si>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</si>
  <si>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</si>
  <si>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</si>
  <si>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</si>
  <si>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</si>
  <si>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</si>
  <si>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</si>
  <si>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</si>
  <si>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</si>
  <si>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</si>
  <si>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</si>
  <si>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</si>
  <si>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</si>
  <si>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</si>
  <si>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</si>
  <si>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</si>
  <si>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</si>
  <si>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</si>
  <si>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</si>
  <si>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</si>
  <si>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</si>
  <si>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</si>
  <si>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</si>
  <si>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</si>
  <si>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</si>
  <si>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</si>
  <si>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</si>
  <si>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</si>
  <si>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</si>
  <si>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</si>
  <si>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</si>
  <si>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</si>
  <si>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</si>
  <si>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</si>
  <si>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</si>
  <si>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</si>
  <si>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</si>
  <si>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</si>
  <si>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</si>
  <si>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</si>
  <si>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</si>
  <si>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</si>
  <si>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</si>
  <si>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</si>
  <si>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</si>
  <si>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</si>
  <si>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</si>
  <si>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</si>
  <si>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</si>
  <si>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</si>
  <si>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</si>
  <si>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</si>
  <si>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</si>
  <si>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</si>
  <si>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</si>
  <si>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</si>
  <si>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</si>
  <si>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</si>
  <si>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</si>
  <si>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</si>
  <si>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</si>
  <si>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</si>
  <si>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</si>
  <si>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</si>
  <si>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</si>
  <si>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</si>
  <si>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</si>
  <si>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</si>
  <si>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</si>
  <si>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</si>
  <si>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</si>
  <si>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</si>
  <si>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</si>
  <si>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</si>
  <si>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</si>
  <si>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</si>
  <si>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</si>
  <si>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</si>
  <si>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</si>
  <si>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</si>
  <si>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</si>
  <si>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</si>
  <si>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</si>
  <si>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</si>
  <si>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</si>
  <si>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</si>
  <si>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</si>
  <si>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</si>
  <si>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</si>
  <si>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</si>
  <si>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</si>
  <si>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</si>
  <si>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</si>
  <si>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</si>
  <si>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</si>
  <si>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</si>
  <si>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</si>
  <si>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</si>
  <si>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</si>
  <si>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</si>
  <si>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</si>
  <si>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</si>
  <si>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</si>
  <si>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</si>
  <si>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</si>
  <si>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</si>
  <si>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</si>
  <si>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</si>
  <si>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</si>
  <si>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</si>
  <si>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</si>
  <si>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</si>
  <si>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</si>
  <si>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</si>
  <si>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</si>
  <si>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</si>
  <si>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</si>
  <si>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</si>
  <si>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</si>
  <si>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</si>
  <si>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</si>
  <si>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</si>
  <si>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</si>
  <si>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</si>
  <si>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</si>
  <si>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</si>
  <si>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</si>
  <si>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</si>
  <si>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</si>
  <si>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</si>
  <si>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</si>
  <si>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</si>
  <si>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</si>
  <si>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</si>
  <si>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</si>
  <si>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</si>
  <si>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</si>
  <si>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</si>
  <si>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</si>
  <si>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</si>
  <si>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</si>
  <si>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</si>
  <si>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</si>
  <si>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</si>
  <si>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</si>
  <si>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</si>
  <si>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</si>
  <si>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</si>
  <si>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</si>
  <si>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</si>
  <si>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</si>
  <si>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</si>
  <si>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</si>
  <si>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</si>
  <si>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</si>
  <si>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</si>
  <si>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</si>
  <si>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</si>
  <si>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</si>
  <si>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</si>
  <si>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</si>
  <si>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</si>
  <si>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</si>
  <si>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</si>
  <si>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</si>
  <si>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</si>
  <si>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</si>
  <si>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</si>
  <si>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</si>
  <si>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</si>
  <si>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</si>
  <si>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</si>
  <si>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</si>
  <si>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</si>
  <si>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</si>
  <si>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</si>
  <si>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</si>
  <si>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</si>
  <si>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</si>
  <si>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</si>
  <si>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</si>
  <si>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</si>
  <si>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</si>
  <si>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</si>
  <si>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</si>
  <si>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</si>
  <si>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</si>
  <si>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</si>
  <si>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</si>
  <si>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</si>
  <si>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</si>
  <si>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</si>
  <si>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</si>
  <si>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</si>
  <si>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</si>
  <si>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</si>
  <si>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</si>
  <si>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</si>
  <si>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</si>
  <si>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</si>
  <si>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</si>
  <si>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</si>
  <si>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</si>
  <si>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</si>
  <si>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</si>
  <si>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</si>
  <si>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</si>
  <si>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</si>
  <si>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</si>
  <si>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</si>
  <si>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</si>
  <si>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</si>
  <si>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</si>
  <si>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</si>
  <si>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</si>
  <si>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</si>
  <si>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</si>
  <si>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</si>
  <si>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</si>
  <si>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</si>
  <si>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</si>
  <si>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</si>
  <si>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</si>
  <si>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</si>
  <si>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</si>
  <si>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</si>
  <si>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</si>
  <si>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</si>
  <si>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</si>
  <si>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</si>
  <si>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</si>
  <si>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</si>
  <si>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</si>
  <si>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</si>
  <si>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</si>
  <si>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</si>
  <si>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</si>
  <si>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</si>
  <si>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</si>
  <si>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</si>
  <si>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</si>
  <si>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</si>
  <si>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</si>
  <si>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</si>
  <si>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</si>
  <si>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</si>
  <si>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</si>
  <si>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</si>
  <si>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</si>
  <si>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</si>
  <si>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</si>
  <si>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</si>
  <si>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</si>
  <si>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</si>
  <si>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</si>
  <si>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</si>
  <si>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</si>
  <si>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</si>
  <si>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</si>
  <si>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</si>
  <si>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</si>
  <si>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</si>
  <si>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</si>
  <si>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</si>
  <si>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</si>
  <si>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</si>
  <si>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</si>
  <si>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</si>
  <si>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</si>
  <si>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</si>
  <si>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</si>
  <si>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</si>
  <si>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</si>
  <si>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</si>
  <si>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</si>
  <si>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</si>
  <si>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</si>
  <si>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</si>
  <si>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</si>
  <si>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</si>
  <si>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</si>
  <si>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</si>
  <si>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</si>
  <si>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</si>
  <si>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</si>
  <si>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</si>
  <si>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</si>
  <si>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</si>
  <si>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</si>
  <si>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</si>
  <si>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</si>
  <si>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</si>
  <si>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</si>
  <si>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</si>
  <si>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</si>
  <si>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</si>
  <si>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</si>
  <si>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</si>
  <si>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</si>
  <si>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</si>
  <si>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</si>
  <si>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</si>
  <si>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</si>
  <si>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</si>
  <si>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</si>
  <si>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</si>
  <si>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</si>
  <si>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</si>
  <si>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</si>
  <si>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</si>
  <si>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</si>
  <si>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</si>
  <si>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</si>
  <si>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</si>
  <si>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</si>
  <si>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</si>
  <si>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</si>
  <si>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</si>
  <si>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</si>
  <si>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</si>
  <si>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</si>
  <si>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</si>
  <si>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</si>
  <si>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</si>
  <si>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</si>
  <si>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</si>
  <si>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</si>
  <si>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</si>
  <si>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</si>
  <si>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</si>
  <si>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</si>
  <si>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</si>
  <si>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</si>
  <si>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</si>
  <si>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</si>
  <si>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</si>
  <si>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</si>
  <si>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</si>
  <si>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</si>
  <si>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</si>
  <si>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</si>
  <si>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</si>
  <si>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</si>
  <si>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</si>
  <si>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</si>
  <si>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</si>
  <si>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</si>
  <si>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</si>
  <si>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</si>
  <si>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</si>
  <si>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</si>
  <si>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</si>
  <si>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</si>
  <si>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</si>
  <si>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</si>
  <si>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</si>
  <si>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</si>
  <si>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</si>
  <si>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</si>
  <si>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</si>
  <si>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</si>
  <si>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</si>
  <si>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</si>
  <si>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</si>
  <si>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</si>
  <si>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</si>
  <si>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</si>
  <si>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</si>
  <si>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</si>
  <si>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</si>
  <si>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State per Category</t>
  </si>
  <si>
    <t>State Per Sub-Category</t>
  </si>
  <si>
    <t>(All)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</si>
  <si>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</si>
  <si>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</si>
  <si>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</si>
  <si>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</si>
  <si>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</si>
  <si>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</si>
  <si>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</si>
  <si>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</si>
  <si>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</si>
  <si>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</si>
  <si>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40,000 to 44,999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</si>
  <si>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</si>
  <si>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</si>
  <si>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</si>
  <si>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</si>
  <si>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</si>
  <si>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</si>
  <si>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</si>
  <si>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</si>
  <si>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</si>
  <si>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45,000 to 49,999</t>
  </si>
  <si>
    <t>50,000+</t>
  </si>
  <si>
    <t>Outcome</t>
  </si>
  <si>
    <t>Backers Count</t>
  </si>
  <si>
    <t>Mean</t>
  </si>
  <si>
    <t>Median</t>
  </si>
  <si>
    <t>Successful</t>
  </si>
  <si>
    <t>Unsuccessful</t>
  </si>
  <si>
    <t>Minimum</t>
  </si>
  <si>
    <t>Maximum</t>
  </si>
  <si>
    <t>Variance</t>
  </si>
  <si>
    <t>Standard Deviation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</si>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</sst>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1" fillId="2" borderId="0" xfId="0" applyFont="1" applyFill="1" applyAlignment="1">
      <alignment horizontal="center"/>
    </xf>
    <xf numFmtId="1" fontId="1" fillId="2" borderId="0" xfId="0" applyNumberFormat="1" applyFont="1" applyFill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2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[excel_challenge.xlsx]State Per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E7-428A-9595-B47FAFA59692}"/>
            </c:ext>
          </c:extLst>
        </c:ser>
        <c:ser>
          <c:idx val="1"/>
          <c:order val="1"/>
          <c:tx>
            <c:strRef>
              <c:f>'State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E7-428A-9595-B47FAFA59692}"/>
            </c:ext>
          </c:extLst>
        </c:ser>
        <c:ser>
          <c:idx val="2"/>
          <c:order val="2"/>
          <c:tx>
            <c:strRef>
              <c:f>'State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E7-428A-9595-B47FAFA59692}"/>
            </c:ext>
          </c:extLst>
        </c:ser>
        <c:ser>
          <c:idx val="3"/>
          <c:order val="3"/>
          <c:tx>
            <c:strRef>
              <c:f>'State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E7-428A-9595-B47FAFA59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5351008"/>
        <c:axId val="345346416"/>
      </c:barChart>
      <c:catAx>
        <c:axId val="34535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46416"/>
        <c:crosses val="autoZero"/>
        <c:auto val="1"/>
        <c:lblAlgn val="ctr"/>
        <c:lblOffset val="100"/>
        <c:noMultiLvlLbl val="0"/>
      </c:catAx>
      <c:valAx>
        <c:axId val="34534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5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[excel_challenge.xlsx]State Per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8D-485F-AE0B-2617599639ED}"/>
            </c:ext>
          </c:extLst>
        </c:ser>
        <c:ser>
          <c:idx val="1"/>
          <c:order val="1"/>
          <c:tx>
            <c:strRef>
              <c:f>'State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8D-485F-AE0B-2617599639ED}"/>
            </c:ext>
          </c:extLst>
        </c:ser>
        <c:ser>
          <c:idx val="2"/>
          <c:order val="2"/>
          <c:tx>
            <c:strRef>
              <c:f>'State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8D-485F-AE0B-2617599639ED}"/>
            </c:ext>
          </c:extLst>
        </c:ser>
        <c:ser>
          <c:idx val="3"/>
          <c:order val="3"/>
          <c:tx>
            <c:strRef>
              <c:f>'State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8D-485F-AE0B-261759963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5354616"/>
        <c:axId val="345356256"/>
      </c:barChart>
      <c:catAx>
        <c:axId val="345354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56256"/>
        <c:crosses val="autoZero"/>
        <c:auto val="1"/>
        <c:lblAlgn val="ctr"/>
        <c:lblOffset val="100"/>
        <c:noMultiLvlLbl val="0"/>
      </c:catAx>
      <c:valAx>
        <c:axId val="34535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54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44-4694-BDB7-629A15E9C67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44-4694-BDB7-629A15E9C67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44-4694-BDB7-629A15E9C67B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44-4694-BDB7-629A15E9C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270416"/>
        <c:axId val="403271728"/>
      </c:lineChart>
      <c:catAx>
        <c:axId val="40327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271728"/>
        <c:crosses val="autoZero"/>
        <c:auto val="1"/>
        <c:lblAlgn val="ctr"/>
        <c:lblOffset val="100"/>
        <c:noMultiLvlLbl val="0"/>
      </c:catAx>
      <c:valAx>
        <c:axId val="4032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27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 of Success Per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'Bonus 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50,000+</c:v>
                </c:pt>
              </c:strCache>
            </c:strRef>
          </c:cat>
          <c:val>
            <c:numRef>
              <c:f>'Bonus 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61-48BC-AF22-333B6A0E35B7}"/>
            </c:ext>
          </c:extLst>
        </c:ser>
        <c:ser>
          <c:idx val="1"/>
          <c:order val="1"/>
          <c:tx>
            <c:strRef>
              <c:f>'Bonus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'Bonus 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50,000+</c:v>
                </c:pt>
              </c:strCache>
            </c:strRef>
          </c:cat>
          <c:val>
            <c:numRef>
              <c:f>'Bonus 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1-48BC-AF22-333B6A0E35B7}"/>
            </c:ext>
          </c:extLst>
        </c:ser>
        <c:ser>
          <c:idx val="2"/>
          <c:order val="2"/>
          <c:tx>
            <c:strRef>
              <c:f>'Bonus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'Bonus 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50,000+</c:v>
                </c:pt>
              </c:strCache>
            </c:strRef>
          </c:cat>
          <c:val>
            <c:numRef>
              <c:f>'Bonus 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61-48BC-AF22-333B6A0E3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154168"/>
        <c:axId val="414157448"/>
      </c:lineChart>
      <c:catAx>
        <c:axId val="414154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57448"/>
        <c:crosses val="autoZero"/>
        <c:auto val="1"/>
        <c:lblAlgn val="ctr"/>
        <c:lblOffset val="100"/>
        <c:noMultiLvlLbl val="0"/>
      </c:catAx>
      <c:valAx>
        <c:axId val="414157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54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4762</xdr:rowOff>
    </xdr:from>
    <xdr:to>
      <xdr:col>17</xdr:col>
      <xdr:colOff>590550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7DEA32-FE6B-480F-83C7-C8750C00B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3</xdr:row>
      <xdr:rowOff>14286</xdr:rowOff>
    </xdr:from>
    <xdr:to>
      <xdr:col>20</xdr:col>
      <xdr:colOff>571500</xdr:colOff>
      <xdr:row>25</xdr:row>
      <xdr:rowOff>10583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18D749-0230-45C7-93E0-1E8BF04E6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4761</xdr:rowOff>
    </xdr:from>
    <xdr:to>
      <xdr:col>18</xdr:col>
      <xdr:colOff>590550</xdr:colOff>
      <xdr:row>20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1BA18A-D14C-4281-9B3C-B437345B18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14</xdr:row>
      <xdr:rowOff>4761</xdr:rowOff>
    </xdr:from>
    <xdr:to>
      <xdr:col>8</xdr:col>
      <xdr:colOff>9525</xdr:colOff>
      <xdr:row>35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BA36F7-C7CB-45F4-ACE9-D9A22F8C0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Jr" refreshedDate="44085.72589976852" createdVersion="6" refreshedVersion="6" minRefreshableVersion="3" recordCount="4114" xr:uid="{D725DDCF-302F-4616-A316-C7B63FFFAE5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Jr" refreshedDate="44085.74122974537" createdVersion="6" refreshedVersion="6" minRefreshableVersion="3" recordCount="4114" xr:uid="{E36730B2-8A62-43DB-93F4-E328DCC08344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7A7F8A-CE8A-4D8A-A97E-F91800C6226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tate per Category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8D2E77-7894-4C12-A887-B68892C46D2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State Per Sub-Category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1A9768-ABE7-4B60-9276-72BAD9BE880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4105" zoomScale="60" zoomScaleNormal="60" workbookViewId="0">
      <selection activeCell="L162" sqref="L162:L4115"/>
    </sheetView>
  </sheetViews>
  <sheetFormatPr defaultRowHeight="15" x14ac:dyDescent="0.25"/>
  <cols>
    <col min="1" max="1" width="9.140625" customWidth="1"/>
    <col min="2" max="2" width="38.42578125" style="3" customWidth="1"/>
    <col min="3" max="3" width="40.28515625" style="3" customWidth="1"/>
    <col min="5" max="5" width="16.42578125" customWidth="1"/>
    <col min="6" max="6" width="15.85546875" bestFit="1" customWidth="1"/>
    <col min="7" max="7" width="18.7109375" bestFit="1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7.7109375" bestFit="1" customWidth="1"/>
    <col min="13" max="13" width="20.42578125" bestFit="1" customWidth="1"/>
    <col min="14" max="14" width="41.140625" customWidth="1"/>
    <col min="15" max="15" width="41.140625" style="5" customWidth="1"/>
    <col min="16" max="16" width="24.42578125" bestFit="1" customWidth="1"/>
    <col min="17" max="17" width="25.7109375" customWidth="1"/>
    <col min="18" max="18" width="28" customWidth="1"/>
    <col min="19" max="19" width="33.7109375" bestFit="1" customWidth="1"/>
    <col min="20" max="20" width="31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6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6" t="s">
        <v>8307</v>
      </c>
      <c r="Q1" s="6" t="s">
        <v>8308</v>
      </c>
      <c r="R1" s="6" t="s">
        <v>8309</v>
      </c>
      <c r="S1" s="6" t="s">
        <v>8367</v>
      </c>
      <c r="T1" s="6" t="s">
        <v>8368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8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8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8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8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8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8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8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8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8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8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8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8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8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8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8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8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8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8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8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8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8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8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8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8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8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8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8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8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8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8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8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8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8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8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8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8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8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8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8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8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8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8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8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8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8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8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8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8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8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8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8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8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8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8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8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8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8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8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8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8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8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8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8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8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8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8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8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8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8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8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8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8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8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8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8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8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8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8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8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8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8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8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8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8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8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8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8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8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8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8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8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8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8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8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8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8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8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8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8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8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8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8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8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8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8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8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8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8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8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8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8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8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8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8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8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8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8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8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8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8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8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8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8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8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8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8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8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8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8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8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8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8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8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8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8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8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8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8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8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8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8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8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8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8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8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8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8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8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8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8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8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8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8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8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8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8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8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8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8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8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8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8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8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8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8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8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8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8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8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8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8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8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8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8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8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8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8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8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8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8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8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8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8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8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8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8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8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8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8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8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8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8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8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8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8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8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8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8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8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8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8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8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8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8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8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8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8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8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8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8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8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8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8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8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8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8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8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8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8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8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8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8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8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8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8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8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8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8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8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8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8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8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8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8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8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8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8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8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8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8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8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8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8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8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8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8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8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8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8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8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8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8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8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8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8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8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8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8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8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8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8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8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8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8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8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8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8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8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8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8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8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8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8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8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8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8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8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8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8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8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8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8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8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8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8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8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8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8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8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8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8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8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8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8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8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8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8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8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8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8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8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8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8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8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8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8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8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8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8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8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8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8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8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8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8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8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8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8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8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8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8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8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8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8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8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8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8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8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8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8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8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8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8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8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8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8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8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8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8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8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8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8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8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8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8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8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8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8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8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8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8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8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8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8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8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8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8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8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8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8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8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8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8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8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8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8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8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8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8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8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8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8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8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8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8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8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8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8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8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8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8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8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8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8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8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8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8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8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8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8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8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8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8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8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8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8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8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8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8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8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8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8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8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8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8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8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8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8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8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8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8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8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8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8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8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8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8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8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8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8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8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8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8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8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8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8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8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8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8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8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8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8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8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8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8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8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8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8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8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8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8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8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8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8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8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8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8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8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8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8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8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8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8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8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8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8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8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8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8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8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8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8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8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8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8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8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8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8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8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8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8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8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8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8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8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8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8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8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8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8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8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8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8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8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8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8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8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8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8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8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8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8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8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8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8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8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8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8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8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8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8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8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8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8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8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8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8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8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8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8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8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8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8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8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8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8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8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8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8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8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8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8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8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8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8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8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8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8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8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8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8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8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8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8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8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8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8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8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8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8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8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8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8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8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8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8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8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8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8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8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8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8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8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8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8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8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8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8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8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8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8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8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8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8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8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8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8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8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8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8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8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8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8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8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8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8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8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8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8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8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8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8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8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8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8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8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8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8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8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8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8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8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8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8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8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8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8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8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8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8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8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8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8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8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8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8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8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8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8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8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8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8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8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8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8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8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8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8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8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8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8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8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8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8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8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8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8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8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8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8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8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8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8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8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8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8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8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8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8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8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8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8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8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8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8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8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8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8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8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8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8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8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8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8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8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8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8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8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8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8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8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8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8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8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8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8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8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8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8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8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8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8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8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8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8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8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8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8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8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8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8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8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8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8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8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8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8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8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8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8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67C43169-3D87-4E01-8114-F1D00C79ED20}">
    <filterColumn colId="5">
      <filters>
        <filter val="failed"/>
      </filters>
    </filterColumn>
  </autoFilter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71A71-E4C3-4326-8727-321CE9A3166C}">
  <sheetPr>
    <tabColor rgb="FFFFFF00"/>
  </sheetPr>
  <dimension ref="A1:F14"/>
  <sheetViews>
    <sheetView workbookViewId="0"/>
  </sheetViews>
  <sheetFormatPr defaultRowHeight="15" x14ac:dyDescent="0.25"/>
  <cols>
    <col min="1" max="1" width="17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8366</v>
      </c>
    </row>
    <row r="3" spans="1:6" x14ac:dyDescent="0.25">
      <c r="A3" s="9" t="s">
        <v>8364</v>
      </c>
      <c r="B3" s="9" t="s">
        <v>8362</v>
      </c>
    </row>
    <row r="4" spans="1:6" x14ac:dyDescent="0.25">
      <c r="A4" s="9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7F4A4-D25A-4ACD-9148-65C0CFA6365F}">
  <sheetPr>
    <tabColor rgb="FFFFFF00"/>
  </sheetPr>
  <dimension ref="A1:F47"/>
  <sheetViews>
    <sheetView zoomScale="90" zoomScaleNormal="90" workbookViewId="0">
      <selection activeCell="A4" sqref="A4"/>
    </sheetView>
  </sheetViews>
  <sheetFormatPr defaultRowHeight="15" x14ac:dyDescent="0.25"/>
  <cols>
    <col min="1" max="1" width="21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8366</v>
      </c>
    </row>
    <row r="2" spans="1:6" x14ac:dyDescent="0.25">
      <c r="A2" s="9" t="s">
        <v>8308</v>
      </c>
      <c r="B2" t="s">
        <v>8366</v>
      </c>
    </row>
    <row r="4" spans="1:6" x14ac:dyDescent="0.25">
      <c r="A4" s="9" t="s">
        <v>8365</v>
      </c>
      <c r="B4" s="9" t="s">
        <v>8362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D42F7-9C15-4B08-AA54-058EDE8F0FB7}">
  <sheetPr>
    <tabColor rgb="FFFFFF00"/>
  </sheetPr>
  <dimension ref="A1:F18"/>
  <sheetViews>
    <sheetView tabSelected="1" workbookViewId="0">
      <selection activeCell="H11" sqref="H1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t="s">
        <v>8366</v>
      </c>
    </row>
    <row r="2" spans="1:6" x14ac:dyDescent="0.25">
      <c r="A2" s="9" t="s">
        <v>8411</v>
      </c>
      <c r="B2" t="s">
        <v>8366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4" t="s">
        <v>8399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4" t="s">
        <v>8400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4" t="s">
        <v>8401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4" t="s">
        <v>8402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4" t="s">
        <v>8403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4" t="s">
        <v>8404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4" t="s">
        <v>8405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4" t="s">
        <v>8406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4" t="s">
        <v>8407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4" t="s">
        <v>8408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4" t="s">
        <v>8409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4" t="s">
        <v>8410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4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F4EB0-253D-4A56-BCC9-61B7BC899565}">
  <sheetPr>
    <tabColor rgb="FFFFFF00"/>
  </sheetPr>
  <dimension ref="A1:H13"/>
  <sheetViews>
    <sheetView workbookViewId="0">
      <selection activeCell="I5" sqref="I5"/>
    </sheetView>
  </sheetViews>
  <sheetFormatPr defaultRowHeight="15" x14ac:dyDescent="0.25"/>
  <cols>
    <col min="1" max="1" width="18.425781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8369</v>
      </c>
      <c r="B1" t="s">
        <v>8370</v>
      </c>
      <c r="C1" t="s">
        <v>8371</v>
      </c>
      <c r="D1" t="s">
        <v>8372</v>
      </c>
      <c r="E1" t="s">
        <v>8373</v>
      </c>
      <c r="F1" t="s">
        <v>8374</v>
      </c>
      <c r="G1" t="s">
        <v>8375</v>
      </c>
      <c r="H1" t="s">
        <v>8376</v>
      </c>
    </row>
    <row r="2" spans="1:8" x14ac:dyDescent="0.25">
      <c r="A2" t="s">
        <v>8378</v>
      </c>
      <c r="B2">
        <f>COUNTIFS(Goal, "&lt;1000",State,"successful")</f>
        <v>322</v>
      </c>
      <c r="C2">
        <f>COUNTIFS(Goal, "&lt;1000",State,"failed")</f>
        <v>113</v>
      </c>
      <c r="D2">
        <f>COUNTIFS(Goal, "&lt;1000",State,"canceled")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8379</v>
      </c>
      <c r="B3">
        <f>COUNTIFS(Goal,"&gt;=1000",Goal, "&lt;=4999",State,"successful")</f>
        <v>932</v>
      </c>
      <c r="C3">
        <f>COUNTIFS(Goal,"&gt;=1000",Goal, "&lt;=4999",State,"failed")</f>
        <v>420</v>
      </c>
      <c r="D3">
        <f>COUNTIFS(Goal,"&gt;=1000",Goal, "&lt;=4999",State,"canceled")</f>
        <v>60</v>
      </c>
      <c r="E3">
        <f>SUM(B3:D3)</f>
        <v>1412</v>
      </c>
      <c r="F3" s="13">
        <f t="shared" ref="F3:F13" si="0">B3/E3</f>
        <v>0.66005665722379603</v>
      </c>
      <c r="G3" s="13">
        <f t="shared" ref="G3:G13" si="1">C3/E3</f>
        <v>0.29745042492917845</v>
      </c>
      <c r="H3" s="13">
        <f t="shared" ref="H3:H13" si="2">D3/E3</f>
        <v>4.2492917847025496E-2</v>
      </c>
    </row>
    <row r="4" spans="1:8" x14ac:dyDescent="0.25">
      <c r="A4" t="s">
        <v>8380</v>
      </c>
      <c r="B4">
        <f>COUNTIFS(Goal,"&gt;=5000",Goal, "&lt;=9999",State,"successful")</f>
        <v>381</v>
      </c>
      <c r="C4">
        <f>COUNTIFS(Goal,"&gt;=5000",Goal, "&lt;=9999",State,"failed")</f>
        <v>283</v>
      </c>
      <c r="D4">
        <f>COUNTIFS(Goal,"&gt;=5000",Goal, "&lt;=9999",State,"canceled")</f>
        <v>52</v>
      </c>
      <c r="E4">
        <f t="shared" ref="E4:E13" si="3">SUM(B4:D4)</f>
        <v>716</v>
      </c>
      <c r="F4" s="13">
        <f t="shared" si="0"/>
        <v>0.53212290502793291</v>
      </c>
      <c r="G4" s="13">
        <f t="shared" si="1"/>
        <v>0.39525139664804471</v>
      </c>
      <c r="H4" s="13">
        <f t="shared" si="2"/>
        <v>7.2625698324022353E-2</v>
      </c>
    </row>
    <row r="5" spans="1:8" x14ac:dyDescent="0.25">
      <c r="A5" t="s">
        <v>8381</v>
      </c>
      <c r="B5">
        <f>COUNTIFS(Goal,"&gt;=10000",Goal, "&lt;=14999",State,"successful")</f>
        <v>168</v>
      </c>
      <c r="C5">
        <f>COUNTIFS(Goal,"&gt;=10000",Goal, "&lt;=14999",State,"failed")</f>
        <v>144</v>
      </c>
      <c r="D5">
        <f>COUNTIFS(Goal,"&gt;=10000",Goal, "&lt;=14999",State,"canceled")</f>
        <v>40</v>
      </c>
      <c r="E5">
        <f t="shared" si="3"/>
        <v>352</v>
      </c>
      <c r="F5" s="13">
        <f t="shared" si="0"/>
        <v>0.47727272727272729</v>
      </c>
      <c r="G5" s="13">
        <f t="shared" si="1"/>
        <v>0.40909090909090912</v>
      </c>
      <c r="H5" s="13">
        <f t="shared" si="2"/>
        <v>0.11363636363636363</v>
      </c>
    </row>
    <row r="6" spans="1:8" x14ac:dyDescent="0.25">
      <c r="A6" t="s">
        <v>8382</v>
      </c>
      <c r="B6">
        <f>COUNTIFS(Goal,"&gt;=15000",Goal, "&lt;=19999",State,"successful")</f>
        <v>94</v>
      </c>
      <c r="C6">
        <f>COUNTIFS(Goal,"&gt;=15000",Goal, "&lt;=19999",State,"failed")</f>
        <v>90</v>
      </c>
      <c r="D6">
        <f>COUNTIFS(Goal,"&gt;=15000",Goal, "&lt;=19999",State,"canceled")</f>
        <v>17</v>
      </c>
      <c r="E6">
        <f t="shared" si="3"/>
        <v>201</v>
      </c>
      <c r="F6" s="13">
        <f t="shared" si="0"/>
        <v>0.46766169154228854</v>
      </c>
      <c r="G6" s="13">
        <f t="shared" si="1"/>
        <v>0.44776119402985076</v>
      </c>
      <c r="H6" s="13">
        <f t="shared" si="2"/>
        <v>8.45771144278607E-2</v>
      </c>
    </row>
    <row r="7" spans="1:8" x14ac:dyDescent="0.25">
      <c r="A7" t="s">
        <v>8383</v>
      </c>
      <c r="B7">
        <f>COUNTIFS(Goal,"&gt;=20000",Goal, "&lt;=24999",State,"successful")</f>
        <v>62</v>
      </c>
      <c r="C7">
        <f>COUNTIFS(Goal,"&gt;=20000",Goal, "&lt;=24999",State,"failed")</f>
        <v>72</v>
      </c>
      <c r="D7">
        <f>COUNTIFS(Goal,"&gt;=20000",Goal, "&lt;=24999",State,"canceled")</f>
        <v>14</v>
      </c>
      <c r="E7">
        <f t="shared" si="3"/>
        <v>148</v>
      </c>
      <c r="F7" s="13">
        <f t="shared" si="0"/>
        <v>0.41891891891891891</v>
      </c>
      <c r="G7" s="13">
        <f t="shared" si="1"/>
        <v>0.48648648648648651</v>
      </c>
      <c r="H7" s="13">
        <f t="shared" si="2"/>
        <v>9.45945945945946E-2</v>
      </c>
    </row>
    <row r="8" spans="1:8" x14ac:dyDescent="0.25">
      <c r="A8" t="s">
        <v>8384</v>
      </c>
      <c r="B8">
        <f>COUNTIFS(Goal,"&gt;=25000",Goal, "&lt;=29999",State,"successful")</f>
        <v>55</v>
      </c>
      <c r="C8">
        <f>COUNTIFS(Goal,"&gt;=25000",Goal, "&lt;=29999",State,"failed")</f>
        <v>64</v>
      </c>
      <c r="D8">
        <f>COUNTIFS(Goal,"&gt;=25000",Goal, "&lt;=29999",State,"canceled")</f>
        <v>18</v>
      </c>
      <c r="E8">
        <f t="shared" si="3"/>
        <v>137</v>
      </c>
      <c r="F8" s="13">
        <f t="shared" si="0"/>
        <v>0.40145985401459855</v>
      </c>
      <c r="G8" s="13">
        <f t="shared" si="1"/>
        <v>0.46715328467153283</v>
      </c>
      <c r="H8" s="13">
        <f t="shared" si="2"/>
        <v>0.13138686131386862</v>
      </c>
    </row>
    <row r="9" spans="1:8" x14ac:dyDescent="0.25">
      <c r="A9" t="s">
        <v>8385</v>
      </c>
      <c r="B9">
        <f>COUNTIFS(Goal,"&gt;=30000",Goal, "&lt;=34999",State,"successful")</f>
        <v>32</v>
      </c>
      <c r="C9">
        <f>COUNTIFS(Goal,"&gt;=30000",Goal, "&lt;=34999",State,"failed")</f>
        <v>37</v>
      </c>
      <c r="D9">
        <f>COUNTIFS(Goal,"&gt;=30000",Goal, "&lt;=34999",State,"canceled")</f>
        <v>13</v>
      </c>
      <c r="E9">
        <f t="shared" si="3"/>
        <v>82</v>
      </c>
      <c r="F9" s="13">
        <f t="shared" si="0"/>
        <v>0.3902439024390244</v>
      </c>
      <c r="G9" s="13">
        <f t="shared" si="1"/>
        <v>0.45121951219512196</v>
      </c>
      <c r="H9" s="13">
        <f t="shared" si="2"/>
        <v>0.15853658536585366</v>
      </c>
    </row>
    <row r="10" spans="1:8" x14ac:dyDescent="0.25">
      <c r="A10" t="s">
        <v>8386</v>
      </c>
      <c r="B10">
        <f>COUNTIFS(Goal,"&gt;=35000",Goal, "&lt;=39999",State,"successful")</f>
        <v>26</v>
      </c>
      <c r="C10">
        <f>COUNTIFS(Goal,"&gt;=35000",Goal, "&lt;=39999",State,"failed")</f>
        <v>22</v>
      </c>
      <c r="D10">
        <f>COUNTIFS(Goal,"&gt;=35000",Goal, "&lt;=39999",State,"canceled")</f>
        <v>7</v>
      </c>
      <c r="E10">
        <f t="shared" si="3"/>
        <v>55</v>
      </c>
      <c r="F10" s="13">
        <f t="shared" si="0"/>
        <v>0.47272727272727272</v>
      </c>
      <c r="G10" s="13">
        <f t="shared" si="1"/>
        <v>0.4</v>
      </c>
      <c r="H10" s="13">
        <f t="shared" si="2"/>
        <v>0.12727272727272726</v>
      </c>
    </row>
    <row r="11" spans="1:8" x14ac:dyDescent="0.25">
      <c r="A11" t="s">
        <v>8377</v>
      </c>
      <c r="B11">
        <f>COUNTIFS(Goal,"&gt;=40000",Goal, "&lt;=44999",State,"successful")</f>
        <v>21</v>
      </c>
      <c r="C11">
        <f>COUNTIFS(Goal,"&gt;=40000",Goal, "&lt;=44999",State,"failed")</f>
        <v>16</v>
      </c>
      <c r="D11">
        <f>COUNTIFS(Goal,"&gt;=40000",Goal, "&lt;=44999",State,"canceled")</f>
        <v>6</v>
      </c>
      <c r="E11">
        <f t="shared" si="3"/>
        <v>43</v>
      </c>
      <c r="F11" s="13">
        <f t="shared" si="0"/>
        <v>0.48837209302325579</v>
      </c>
      <c r="G11" s="13">
        <f t="shared" si="1"/>
        <v>0.37209302325581395</v>
      </c>
      <c r="H11" s="13">
        <f t="shared" si="2"/>
        <v>0.13953488372093023</v>
      </c>
    </row>
    <row r="12" spans="1:8" x14ac:dyDescent="0.25">
      <c r="A12" t="s">
        <v>8387</v>
      </c>
      <c r="B12">
        <f>COUNTIFS(Goal,"&gt;=45000",Goal, "&lt;=49999",State,"successful")</f>
        <v>6</v>
      </c>
      <c r="C12">
        <f>COUNTIFS(Goal,"&gt;=45000",Goal, "&lt;=49999",State,"failed")</f>
        <v>11</v>
      </c>
      <c r="D12">
        <f>COUNTIFS(Goal,"&gt;=45000",Goal, "&lt;=49999",State,"canceled")</f>
        <v>4</v>
      </c>
      <c r="E12">
        <f t="shared" si="3"/>
        <v>21</v>
      </c>
      <c r="F12" s="13">
        <f t="shared" si="0"/>
        <v>0.2857142857142857</v>
      </c>
      <c r="G12" s="13">
        <f t="shared" si="1"/>
        <v>0.52380952380952384</v>
      </c>
      <c r="H12" s="13">
        <f t="shared" si="2"/>
        <v>0.19047619047619047</v>
      </c>
    </row>
    <row r="13" spans="1:8" x14ac:dyDescent="0.25">
      <c r="A13" t="s">
        <v>8388</v>
      </c>
      <c r="B13">
        <f>COUNTIFS(Goal, "&gt;=50000",State,"successful")</f>
        <v>86</v>
      </c>
      <c r="C13">
        <f>COUNTIFS(Goal, "&gt;=50000",State,"failed")</f>
        <v>258</v>
      </c>
      <c r="D13">
        <f>COUNTIFS(Goal, "&gt;=50000",State,"canceled")</f>
        <v>100</v>
      </c>
      <c r="E13">
        <f t="shared" si="3"/>
        <v>444</v>
      </c>
      <c r="F13" s="13">
        <f t="shared" si="0"/>
        <v>0.19369369369369369</v>
      </c>
      <c r="G13" s="13">
        <f t="shared" si="1"/>
        <v>0.58108108108108103</v>
      </c>
      <c r="H13" s="13">
        <f t="shared" si="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6DA63-0E59-4234-8D2E-5C7B15B119D7}">
  <sheetPr>
    <tabColor rgb="FFFFFF00"/>
  </sheetPr>
  <dimension ref="A1:J2186"/>
  <sheetViews>
    <sheetView workbookViewId="0">
      <selection activeCell="J8" sqref="J8"/>
    </sheetView>
  </sheetViews>
  <sheetFormatPr defaultRowHeight="15" x14ac:dyDescent="0.25"/>
  <cols>
    <col min="2" max="2" width="13.5703125" bestFit="1" customWidth="1"/>
    <col min="5" max="5" width="13.5703125" bestFit="1" customWidth="1"/>
    <col min="8" max="8" width="18.140625" bestFit="1" customWidth="1"/>
    <col min="9" max="9" width="13.42578125" customWidth="1"/>
    <col min="10" max="10" width="15.42578125" customWidth="1"/>
  </cols>
  <sheetData>
    <row r="1" spans="1:10" x14ac:dyDescent="0.25">
      <c r="A1" t="s">
        <v>8389</v>
      </c>
      <c r="B1" t="s">
        <v>8390</v>
      </c>
      <c r="D1" t="s">
        <v>8389</v>
      </c>
      <c r="E1" t="s">
        <v>8390</v>
      </c>
      <c r="I1" t="s">
        <v>8393</v>
      </c>
      <c r="J1" t="s">
        <v>8394</v>
      </c>
    </row>
    <row r="2" spans="1:10" x14ac:dyDescent="0.25">
      <c r="A2" t="s">
        <v>8219</v>
      </c>
      <c r="B2">
        <v>182</v>
      </c>
      <c r="D2" t="s">
        <v>8221</v>
      </c>
      <c r="E2">
        <v>0</v>
      </c>
      <c r="H2" t="s">
        <v>8391</v>
      </c>
      <c r="I2">
        <f>AVERAGE(B2:B2186)</f>
        <v>194.42517162471395</v>
      </c>
      <c r="J2">
        <f>AVERAGE(E2:E1531)</f>
        <v>17.709803921568628</v>
      </c>
    </row>
    <row r="3" spans="1:10" x14ac:dyDescent="0.25">
      <c r="A3" t="s">
        <v>8219</v>
      </c>
      <c r="B3">
        <v>79</v>
      </c>
      <c r="D3" t="s">
        <v>8221</v>
      </c>
      <c r="E3">
        <v>1</v>
      </c>
      <c r="H3" t="s">
        <v>8392</v>
      </c>
      <c r="I3">
        <f>MEDIAN(B2:B2186)</f>
        <v>62</v>
      </c>
      <c r="J3">
        <f>MEDIAN(E2:E1531)</f>
        <v>4</v>
      </c>
    </row>
    <row r="4" spans="1:10" x14ac:dyDescent="0.25">
      <c r="A4" t="s">
        <v>8219</v>
      </c>
      <c r="B4">
        <v>35</v>
      </c>
      <c r="D4" t="s">
        <v>8221</v>
      </c>
      <c r="E4">
        <v>10</v>
      </c>
      <c r="H4" t="s">
        <v>8395</v>
      </c>
      <c r="I4">
        <f>MIN(B2:B2186)</f>
        <v>1</v>
      </c>
      <c r="J4">
        <f>MIN(E2:E1531)</f>
        <v>0</v>
      </c>
    </row>
    <row r="5" spans="1:10" x14ac:dyDescent="0.25">
      <c r="A5" t="s">
        <v>8219</v>
      </c>
      <c r="B5">
        <v>150</v>
      </c>
      <c r="D5" t="s">
        <v>8221</v>
      </c>
      <c r="E5">
        <v>0</v>
      </c>
      <c r="H5" t="s">
        <v>8396</v>
      </c>
      <c r="I5">
        <f>MAX(B2:B2186)</f>
        <v>26457</v>
      </c>
      <c r="J5">
        <f>MAX(E2:E1531)</f>
        <v>1293</v>
      </c>
    </row>
    <row r="6" spans="1:10" x14ac:dyDescent="0.25">
      <c r="A6" t="s">
        <v>8219</v>
      </c>
      <c r="B6">
        <v>284</v>
      </c>
      <c r="D6" t="s">
        <v>8221</v>
      </c>
      <c r="E6">
        <v>7</v>
      </c>
      <c r="H6" t="s">
        <v>8397</v>
      </c>
      <c r="I6">
        <f>_xlfn.VAR.P(B2:B2186)</f>
        <v>712840.9867348104</v>
      </c>
      <c r="J6">
        <f>_xlfn.VAR.P(E2:E1531)</f>
        <v>3773.2216685890044</v>
      </c>
    </row>
    <row r="7" spans="1:10" x14ac:dyDescent="0.25">
      <c r="A7" t="s">
        <v>8219</v>
      </c>
      <c r="B7">
        <v>47</v>
      </c>
      <c r="D7" t="s">
        <v>8221</v>
      </c>
      <c r="E7">
        <v>0</v>
      </c>
      <c r="H7" t="s">
        <v>8398</v>
      </c>
      <c r="I7">
        <f>_xlfn.STDEV.P(B2:B2186)</f>
        <v>844.29910975602149</v>
      </c>
      <c r="J7">
        <f>_xlfn.STDEV.P(E2:E1531)</f>
        <v>61.426555076684906</v>
      </c>
    </row>
    <row r="8" spans="1:10" x14ac:dyDescent="0.25">
      <c r="A8" t="s">
        <v>8219</v>
      </c>
      <c r="B8">
        <v>58</v>
      </c>
      <c r="D8" t="s">
        <v>8221</v>
      </c>
      <c r="E8">
        <v>1</v>
      </c>
    </row>
    <row r="9" spans="1:10" x14ac:dyDescent="0.25">
      <c r="A9" t="s">
        <v>8219</v>
      </c>
      <c r="B9">
        <v>57</v>
      </c>
      <c r="D9" t="s">
        <v>8221</v>
      </c>
      <c r="E9">
        <v>2</v>
      </c>
    </row>
    <row r="10" spans="1:10" x14ac:dyDescent="0.25">
      <c r="A10" t="s">
        <v>8219</v>
      </c>
      <c r="B10">
        <v>12</v>
      </c>
      <c r="D10" t="s">
        <v>8221</v>
      </c>
      <c r="E10">
        <v>3</v>
      </c>
    </row>
    <row r="11" spans="1:10" x14ac:dyDescent="0.25">
      <c r="A11" t="s">
        <v>8219</v>
      </c>
      <c r="B11">
        <v>20</v>
      </c>
      <c r="D11" t="s">
        <v>8221</v>
      </c>
      <c r="E11">
        <v>10</v>
      </c>
    </row>
    <row r="12" spans="1:10" x14ac:dyDescent="0.25">
      <c r="A12" t="s">
        <v>8219</v>
      </c>
      <c r="B12">
        <v>19</v>
      </c>
      <c r="D12" t="s">
        <v>8221</v>
      </c>
      <c r="E12">
        <v>10</v>
      </c>
    </row>
    <row r="13" spans="1:10" x14ac:dyDescent="0.25">
      <c r="A13" t="s">
        <v>8219</v>
      </c>
      <c r="B13">
        <v>75</v>
      </c>
      <c r="D13" t="s">
        <v>8221</v>
      </c>
      <c r="E13">
        <v>1</v>
      </c>
    </row>
    <row r="14" spans="1:10" x14ac:dyDescent="0.25">
      <c r="A14" t="s">
        <v>8219</v>
      </c>
      <c r="B14">
        <v>827</v>
      </c>
      <c r="D14" t="s">
        <v>8221</v>
      </c>
      <c r="E14">
        <v>0</v>
      </c>
    </row>
    <row r="15" spans="1:10" x14ac:dyDescent="0.25">
      <c r="A15" t="s">
        <v>8219</v>
      </c>
      <c r="B15">
        <v>51</v>
      </c>
      <c r="D15" t="s">
        <v>8221</v>
      </c>
      <c r="E15">
        <v>0</v>
      </c>
    </row>
    <row r="16" spans="1:10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State Per Category</vt:lpstr>
      <vt:lpstr>State Per Sub-Category</vt:lpstr>
      <vt:lpstr>Sheet4</vt:lpstr>
      <vt:lpstr>Bonus </vt:lpstr>
      <vt:lpstr>Bonus Statistics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Jr</cp:lastModifiedBy>
  <dcterms:created xsi:type="dcterms:W3CDTF">2017-04-20T15:17:24Z</dcterms:created>
  <dcterms:modified xsi:type="dcterms:W3CDTF">2020-09-15T00:05:29Z</dcterms:modified>
</cp:coreProperties>
</file>