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flori\PycharmProjects\flexigrid\input\"/>
    </mc:Choice>
  </mc:AlternateContent>
  <xr:revisionPtr revIDLastSave="0" documentId="13_ncr:1_{0EEDD2A6-DA6B-449C-A18C-0FA6EAFACAAC}" xr6:coauthVersionLast="45" xr6:coauthVersionMax="45" xr10:uidLastSave="{00000000-0000-0000-0000-000000000000}"/>
  <bookViews>
    <workbookView xWindow="28680" yWindow="-120" windowWidth="29040" windowHeight="15840" activeTab="9" xr2:uid="{00000000-000D-0000-FFFF-FFFF00000000}"/>
  </bookViews>
  <sheets>
    <sheet name="boiler" sheetId="4" r:id="rId1"/>
    <sheet name="pellet" sheetId="12" r:id="rId2"/>
    <sheet name="chp" sheetId="3" r:id="rId3"/>
    <sheet name="eh" sheetId="1" r:id="rId4"/>
    <sheet name="hp_air" sheetId="2" r:id="rId5"/>
    <sheet name="hp_geo" sheetId="11" r:id="rId6"/>
    <sheet name="pv" sheetId="6" r:id="rId7"/>
    <sheet name="stc" sheetId="7" r:id="rId8"/>
    <sheet name="tes" sheetId="8" r:id="rId9"/>
    <sheet name="bat" sheetId="9" r:id="rId10"/>
  </sheets>
  <definedNames>
    <definedName name="_xlnm._FilterDatabase" localSheetId="0" hidden="1">boiler!$A$1:$H$1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9" l="1"/>
  <c r="G10" i="9"/>
  <c r="E10" i="9"/>
  <c r="H9" i="9"/>
  <c r="G9" i="9"/>
  <c r="E9" i="9"/>
  <c r="B9" i="9"/>
  <c r="C9" i="9" s="1"/>
  <c r="H8" i="9"/>
  <c r="G8" i="9"/>
  <c r="E8" i="9"/>
  <c r="H7" i="9"/>
  <c r="G7" i="9"/>
  <c r="E7" i="9"/>
  <c r="B6" i="9"/>
  <c r="B10" i="9" s="1"/>
  <c r="C10" i="9" s="1"/>
  <c r="B5" i="9"/>
  <c r="C5" i="9" s="1"/>
  <c r="B4" i="9"/>
  <c r="C4" i="9" s="1"/>
  <c r="B3" i="9"/>
  <c r="C3" i="9" s="1"/>
  <c r="B2" i="9"/>
  <c r="C2" i="9" s="1"/>
  <c r="C6" i="9" l="1"/>
  <c r="B7" i="9"/>
  <c r="C7" i="9" s="1"/>
  <c r="B8" i="9"/>
  <c r="C8" i="9" s="1"/>
  <c r="D3" i="6"/>
  <c r="D3" i="11" l="1"/>
  <c r="D4" i="11"/>
  <c r="D5" i="11"/>
  <c r="D6" i="11"/>
  <c r="D7" i="11"/>
  <c r="D8" i="11"/>
  <c r="D9" i="11"/>
  <c r="D10" i="11"/>
  <c r="D2" i="11"/>
  <c r="D3" i="2"/>
  <c r="D4" i="2"/>
  <c r="D5" i="2"/>
  <c r="D6" i="2"/>
  <c r="D7" i="2"/>
  <c r="D8" i="2"/>
  <c r="D9" i="2"/>
  <c r="D2" i="2"/>
  <c r="D3" i="3"/>
  <c r="D4" i="3"/>
  <c r="D5" i="3"/>
  <c r="D6" i="3"/>
  <c r="D7" i="3"/>
  <c r="D8" i="3"/>
  <c r="D9" i="3"/>
  <c r="D10" i="3"/>
  <c r="D2" i="3"/>
  <c r="D3" i="12"/>
  <c r="D4" i="12"/>
  <c r="D5" i="12"/>
  <c r="D6" i="12"/>
  <c r="D7" i="12"/>
  <c r="D8" i="12"/>
  <c r="D9" i="12"/>
  <c r="D10" i="12"/>
  <c r="D11" i="12"/>
  <c r="D2" i="12"/>
  <c r="D3" i="4"/>
  <c r="D4" i="4"/>
  <c r="D5" i="4"/>
  <c r="D6" i="4"/>
  <c r="D7" i="4"/>
  <c r="D8" i="4"/>
  <c r="D9" i="4"/>
  <c r="D10" i="4"/>
  <c r="D11" i="4"/>
  <c r="D2" i="4"/>
  <c r="E3" i="12" l="1"/>
  <c r="E4" i="12"/>
  <c r="E5" i="12"/>
  <c r="E6" i="12"/>
  <c r="E7" i="12"/>
  <c r="E8" i="12"/>
  <c r="E9" i="12"/>
  <c r="E10" i="12"/>
  <c r="E11" i="12"/>
  <c r="E2" i="12"/>
  <c r="E3" i="11"/>
  <c r="E4" i="11"/>
  <c r="E5" i="11"/>
  <c r="E6" i="11"/>
  <c r="E7" i="11"/>
  <c r="E8" i="11"/>
  <c r="E9" i="11"/>
  <c r="E10" i="11"/>
  <c r="E2" i="11"/>
  <c r="E3" i="2" l="1"/>
  <c r="E4" i="2"/>
  <c r="E5" i="2"/>
  <c r="E6" i="2"/>
  <c r="E7" i="2"/>
  <c r="E8" i="2"/>
  <c r="E9" i="2"/>
  <c r="E2" i="2"/>
  <c r="E3" i="3" l="1"/>
  <c r="E2" i="3"/>
  <c r="E10" i="3"/>
  <c r="E9" i="3"/>
  <c r="E8" i="3"/>
  <c r="E7" i="3"/>
  <c r="E6" i="3"/>
  <c r="E5" i="3"/>
  <c r="E4" i="3"/>
  <c r="E11" i="4"/>
  <c r="E10" i="4"/>
  <c r="E9" i="4"/>
  <c r="E8" i="4"/>
  <c r="E7" i="4"/>
  <c r="E2" i="4"/>
  <c r="E3" i="4"/>
  <c r="E4" i="4"/>
  <c r="C2" i="7" l="1"/>
  <c r="D2" i="6"/>
  <c r="E3" i="1"/>
  <c r="E2" i="1"/>
  <c r="E6" i="4" l="1"/>
  <c r="E5" i="4"/>
</calcChain>
</file>

<file path=xl/sharedStrings.xml><?xml version="1.0" encoding="utf-8"?>
<sst xmlns="http://schemas.openxmlformats.org/spreadsheetml/2006/main" count="188" uniqueCount="112">
  <si>
    <t>Number</t>
  </si>
  <si>
    <t>eta_el [-]</t>
  </si>
  <si>
    <t>mod_lvl [-]</t>
  </si>
  <si>
    <t>c_inv [EUR]</t>
  </si>
  <si>
    <t>eta_th [-]</t>
  </si>
  <si>
    <t>sigma [-]</t>
  </si>
  <si>
    <t>omega [-]</t>
  </si>
  <si>
    <t>comment [not relevant for import]</t>
  </si>
  <si>
    <t>service life [a]</t>
  </si>
  <si>
    <t>T_NOCT [°C]</t>
  </si>
  <si>
    <t>gamma [% / °C]</t>
  </si>
  <si>
    <t>Zero-loss efficiency</t>
  </si>
  <si>
    <t>Volume [m3]</t>
  </si>
  <si>
    <t>eta_ch [-]</t>
  </si>
  <si>
    <t>eta_dch [-]</t>
  </si>
  <si>
    <t>standby losses [kWh/24h]</t>
  </si>
  <si>
    <t>dT_max [K]</t>
  </si>
  <si>
    <t>c_o&amp;m [EUR/a]</t>
  </si>
  <si>
    <t>Buderus GB212 40 kW Logano plus</t>
  </si>
  <si>
    <t>Buderus GB212 50 kW Logano plus</t>
  </si>
  <si>
    <t>Vaillant ecoPOWER 1.0</t>
  </si>
  <si>
    <t>Vaillant ecoPOWER 3.0</t>
  </si>
  <si>
    <t>LG Solarmodul LG280S1C-B3 Mono X</t>
  </si>
  <si>
    <t>Wolf Hochleistungs-Sonnenkollektor TopSon F3-1</t>
  </si>
  <si>
    <t>Buderus Logalux S120/5W, 120 Liter</t>
  </si>
  <si>
    <t>Viessmann Vitocell 100-E, SVPA, 2000 Liter</t>
  </si>
  <si>
    <t>500 Liter Wolf Puffer, Pufferspeicher SPU-2</t>
  </si>
  <si>
    <t>1000 Liter Wolf Puffer, Pufferspeicher SPU-2</t>
  </si>
  <si>
    <t>1500 Liter Wolf Puffer, Pufferspeicher SPU-2</t>
  </si>
  <si>
    <t>http://www.heizungsdiscount24.de/speichertechnik/buderus-logalux-s1205w-120-liter-warmwasserspeicher-standspeicher.html</t>
  </si>
  <si>
    <t>http://www.heizungsdiscount24.de/speichertechnik/viessmann-vitocell-100-e-svpa-2000-liter-pufferspeicher-iso-standard.html</t>
  </si>
  <si>
    <t>http://www.heizungsdiscount24.de/speichertechnik/500-liter-wolf-puffer-pufferspeicher-spu-2-mit-waermedaemmung.html</t>
  </si>
  <si>
    <t>http://www.heizungsdiscount24.de/speichertechnik/1000-liter-wolf-puffer-pufferspeicher-spu-2-mit-waermedaemmung.html</t>
  </si>
  <si>
    <t>http://www.heizungsdiscount24.de/speichertechnik/1500-liter-wolf-puffer-pufferspeicher-spu-2-mit-waermedaemmung.html</t>
  </si>
  <si>
    <t>Q_nom [kW]</t>
  </si>
  <si>
    <t>P_NOCT [kW]</t>
  </si>
  <si>
    <t>P_nom [kW_Peak]</t>
  </si>
  <si>
    <t>TBL Hygienespeicher KE2500</t>
  </si>
  <si>
    <t>https://www.heizungsdiscount24.de/shop/system/?func=anzeige&amp;wkid=32407081375328&amp;rub1=Speichertechnik&amp;rub2=TWL%2CHygienespeicher%2Cohne%20zus%2E%20W%E4rmetauscher&amp;cache=&amp;pn=30&amp;sort=0</t>
  </si>
  <si>
    <t>TBL Hygienespeicher KE3000</t>
  </si>
  <si>
    <t>TBL Hygienespeicher KE4000</t>
  </si>
  <si>
    <t>TBL Hygienespeicher KE5000</t>
  </si>
  <si>
    <t>TBL Hygienespeicher KE7500</t>
  </si>
  <si>
    <t>Buder Logatherm WPL 10IK</t>
  </si>
  <si>
    <t>Buder Logatherm WPL 14I</t>
  </si>
  <si>
    <t>Buder Logatherm WPL 25I</t>
  </si>
  <si>
    <t>Buderus GB212 15 kW Logano plus</t>
  </si>
  <si>
    <t>Buderus GB212 22 kW Logano plus</t>
  </si>
  <si>
    <t>Buderus GB212 30 kW Logano plus</t>
  </si>
  <si>
    <t>Buderus GB312 120kW Logano Plus</t>
  </si>
  <si>
    <t>Buderus GB312 160kW Logano Plus</t>
  </si>
  <si>
    <t>Buderus GB312 200kW Logano Plus</t>
  </si>
  <si>
    <t>Buderus GB312 240kW Logano Plus</t>
  </si>
  <si>
    <t>Buderus GB312 280kW Logano Plus</t>
  </si>
  <si>
    <t>Vitobloc 200 EM 5/13</t>
  </si>
  <si>
    <t>Vitobloc 200 EM 9/20</t>
  </si>
  <si>
    <t>Vitobloc 200 EM 20/39</t>
  </si>
  <si>
    <t>Vitobloc 200 EM 50/81</t>
  </si>
  <si>
    <t>Vitobloc 200 EM 70/115</t>
  </si>
  <si>
    <t>Vitobloc 200 EM 140/207</t>
  </si>
  <si>
    <t>Vitobloc 200 EM 199/293</t>
  </si>
  <si>
    <t>Buder Logatherm WPL 18I</t>
  </si>
  <si>
    <t>Buder Logatherm WPL 31I</t>
  </si>
  <si>
    <t>First-order coeff. [kW/(m2K2)]</t>
  </si>
  <si>
    <t>Second-order coeff. [kW/(m2K)]</t>
  </si>
  <si>
    <t>area [m2]</t>
  </si>
  <si>
    <t>area [m²]</t>
  </si>
  <si>
    <t>Buder Logatherm WPL 6IK</t>
  </si>
  <si>
    <t>Buder Logatherm WPL 8IK</t>
  </si>
  <si>
    <t>Buder Logatherm WPL 12IK</t>
  </si>
  <si>
    <t>Junkers Superaeco STE60</t>
  </si>
  <si>
    <t>Junkers Superaeco STE80</t>
  </si>
  <si>
    <t>Junkers Superaeco STE100</t>
  </si>
  <si>
    <t>Junkers Superaeco STE130</t>
  </si>
  <si>
    <t>Junkers Superaeco T220</t>
  </si>
  <si>
    <t>Junkers Superaeco T280</t>
  </si>
  <si>
    <t>Junkers Superaeco T380</t>
  </si>
  <si>
    <t>Junkers Superaeco T480</t>
  </si>
  <si>
    <t>Junkers Superaeco STE170</t>
  </si>
  <si>
    <t>COP A-7/W35</t>
  </si>
  <si>
    <t>COP A-7/W55</t>
  </si>
  <si>
    <t>COP A7/W35</t>
  </si>
  <si>
    <t>COP A12/W35</t>
  </si>
  <si>
    <t>COP A7/W55</t>
  </si>
  <si>
    <t>COP A12/W55</t>
  </si>
  <si>
    <t>COP A2/W55</t>
  </si>
  <si>
    <t>COP A2/W35</t>
  </si>
  <si>
    <t xml:space="preserve">Viessmann VL3C002 Vitoligno 300-C Pelletkessel 12 kW, Saugsystem </t>
  </si>
  <si>
    <t xml:space="preserve">Viessmann VL3C002 Vitoligno 300-C Pelletkessel 18 kW, Saugsystem </t>
  </si>
  <si>
    <t xml:space="preserve">Viessmann VL3C002 Vitoligno 300-C Pelletkessel 24 kW, Saugsystem </t>
  </si>
  <si>
    <t xml:space="preserve">Viessmann VL3C002 Vitoligno 300-C Pelletkessel 32 kW, Saugsystem </t>
  </si>
  <si>
    <t xml:space="preserve">Viessmann VL3C002 Vitoligno 300-C Pelletkessel 40 kW, Saugsystem </t>
  </si>
  <si>
    <t xml:space="preserve">Viessmann VL3C002 Vitoligno 300-C Pelletkessel 48 kW, Saugsystem </t>
  </si>
  <si>
    <t xml:space="preserve">Viessmann VL3C002 Vitoligno 300-C Pelletkessel 60 kW, Saugsystem </t>
  </si>
  <si>
    <t xml:space="preserve">Viessmann VL3C002 Vitoligno 300-C Pelletkessel 70 kW, Saugsystem </t>
  </si>
  <si>
    <t xml:space="preserve">Viessmann VL3C002 Vitoligno 300-C Pelletkessel 80 kW, Saugsystem </t>
  </si>
  <si>
    <t xml:space="preserve">Viessmann VL3C002 Vitoligno 300-C Pelletkessel 101 kW, Saugsystem </t>
  </si>
  <si>
    <t xml:space="preserve">fix </t>
  </si>
  <si>
    <t>lin</t>
  </si>
  <si>
    <t>qua</t>
  </si>
  <si>
    <t>comment</t>
  </si>
  <si>
    <t>Nr</t>
  </si>
  <si>
    <t>fix</t>
  </si>
  <si>
    <t>dT_max in K</t>
  </si>
  <si>
    <t>capacity [kWh]</t>
  </si>
  <si>
    <t>eta [-]</t>
  </si>
  <si>
    <t>P_ch_max [kW]</t>
  </si>
  <si>
    <t>P_dch_max [kW]</t>
  </si>
  <si>
    <t>https://greenakku.de/Batterien/Lithium-Batterien/BYD-B-Box-H-9-0-fuer-SMA::1630.html</t>
  </si>
  <si>
    <t>Laut Mail von Batterienhersteller 20 Prozent Aufschlag auf Kaufpreis für Installation und Montage</t>
  </si>
  <si>
    <t>https://pvspeicher.htw-berlin.de/wp-content/uploads/2017/03/WENIGER-2017_03-Vergleich-verschiedener-Kennzahlen-zur-Bewertung-der-energetischen-Performance-von-PV-Batteriesystemen.pdf</t>
  </si>
  <si>
    <t>Wirkungsgraddiskussion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</si>
</sst>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1" fillId="0" borderId="0" xfId="0" applyFont="1" applyAlignment="1"/>
    <xf numFmtId="0" fontId="0" fillId="0" borderId="0" xfId="0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0" xfId="0" applyFill="1" applyBorder="1"/>
    <xf numFmtId="2" fontId="0" fillId="0" borderId="1" xfId="0" applyNumberFormat="1" applyBorder="1"/>
    <xf numFmtId="0" fontId="0" fillId="0" borderId="1" xfId="0" applyFill="1" applyBorder="1"/>
    <xf numFmtId="2" fontId="0" fillId="0" borderId="0" xfId="0" applyNumberFormat="1" applyFill="1" applyBorder="1"/>
    <xf numFmtId="0" fontId="0" fillId="0" borderId="0" xfId="0" applyBorder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eenakku.de/Batterien/Lithium-Batterien/BYD-B-Box-H-9-0-fuer-SMA::16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H29" sqref="H2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32.26953125" customWidth="1"/>
  </cols>
  <sheetData>
    <row r="1" spans="1:12" x14ac:dyDescent="0.35">
      <c r="A1" t="s">
        <v>101</v>
      </c>
      <c r="B1" t="s">
        <v>34</v>
      </c>
      <c r="C1" t="s">
        <v>2</v>
      </c>
      <c r="D1" t="s">
        <v>3</v>
      </c>
      <c r="E1" t="s">
        <v>17</v>
      </c>
      <c r="F1" t="s">
        <v>8</v>
      </c>
      <c r="G1" t="s">
        <v>4</v>
      </c>
      <c r="H1" s="5" t="s">
        <v>7</v>
      </c>
      <c r="J1" t="s">
        <v>97</v>
      </c>
      <c r="K1" t="s">
        <v>98</v>
      </c>
      <c r="L1" t="s">
        <v>99</v>
      </c>
    </row>
    <row r="2" spans="1:12" x14ac:dyDescent="0.35">
      <c r="A2">
        <v>1</v>
      </c>
      <c r="B2">
        <v>15</v>
      </c>
      <c r="C2" s="2">
        <v>0.3</v>
      </c>
      <c r="D2" s="16">
        <f>$J$2+B2*$K$2+B2^2*$L$2</f>
        <v>4126.54</v>
      </c>
      <c r="E2" s="2">
        <f t="shared" ref="E2:E11" si="0">D2*0.025</f>
        <v>103.1635</v>
      </c>
      <c r="F2">
        <v>20</v>
      </c>
      <c r="G2" s="2">
        <v>0.93</v>
      </c>
      <c r="H2" s="6" t="s">
        <v>46</v>
      </c>
      <c r="J2">
        <v>3142.9</v>
      </c>
      <c r="K2">
        <v>66.44</v>
      </c>
      <c r="L2">
        <v>-5.7599999999999998E-2</v>
      </c>
    </row>
    <row r="3" spans="1:12" x14ac:dyDescent="0.35">
      <c r="A3">
        <v>2</v>
      </c>
      <c r="B3">
        <v>22</v>
      </c>
      <c r="C3" s="2">
        <v>0.3</v>
      </c>
      <c r="D3" s="16">
        <f t="shared" ref="D3:D11" si="1">$J$2+B3*$K$2+B3^2*$L$2</f>
        <v>4576.7016000000003</v>
      </c>
      <c r="E3" s="2">
        <f t="shared" si="0"/>
        <v>114.41754000000002</v>
      </c>
      <c r="F3" s="5">
        <v>20</v>
      </c>
      <c r="G3" s="2">
        <v>0.93</v>
      </c>
      <c r="H3" s="6" t="s">
        <v>47</v>
      </c>
    </row>
    <row r="4" spans="1:12" x14ac:dyDescent="0.35">
      <c r="A4">
        <v>3</v>
      </c>
      <c r="B4">
        <v>30</v>
      </c>
      <c r="C4" s="2">
        <v>0.3</v>
      </c>
      <c r="D4" s="16">
        <f t="shared" si="1"/>
        <v>5084.26</v>
      </c>
      <c r="E4" s="2">
        <f t="shared" si="0"/>
        <v>127.10650000000001</v>
      </c>
      <c r="F4" s="5">
        <v>20</v>
      </c>
      <c r="G4" s="2">
        <v>0.93</v>
      </c>
      <c r="H4" s="6" t="s">
        <v>48</v>
      </c>
    </row>
    <row r="5" spans="1:12" x14ac:dyDescent="0.35">
      <c r="A5">
        <v>4</v>
      </c>
      <c r="B5">
        <v>40</v>
      </c>
      <c r="C5" s="2">
        <v>0.3</v>
      </c>
      <c r="D5" s="16">
        <f t="shared" si="1"/>
        <v>5708.34</v>
      </c>
      <c r="E5" s="2">
        <f t="shared" si="0"/>
        <v>142.70850000000002</v>
      </c>
      <c r="F5" s="5">
        <v>20</v>
      </c>
      <c r="G5" s="2">
        <v>0.93</v>
      </c>
      <c r="H5" s="3" t="s">
        <v>18</v>
      </c>
    </row>
    <row r="6" spans="1:12" x14ac:dyDescent="0.35">
      <c r="A6">
        <v>5</v>
      </c>
      <c r="B6">
        <v>50</v>
      </c>
      <c r="C6" s="2">
        <v>0.3</v>
      </c>
      <c r="D6" s="16">
        <f t="shared" si="1"/>
        <v>6320.9</v>
      </c>
      <c r="E6" s="2">
        <f t="shared" si="0"/>
        <v>158.02250000000001</v>
      </c>
      <c r="F6">
        <v>20</v>
      </c>
      <c r="G6" s="2">
        <v>0.93</v>
      </c>
      <c r="H6" s="3" t="s">
        <v>19</v>
      </c>
    </row>
    <row r="7" spans="1:12" x14ac:dyDescent="0.35">
      <c r="A7">
        <v>6</v>
      </c>
      <c r="B7">
        <v>120</v>
      </c>
      <c r="C7" s="2">
        <v>0.25</v>
      </c>
      <c r="D7" s="16">
        <f t="shared" si="1"/>
        <v>10286.259999999998</v>
      </c>
      <c r="E7" s="2">
        <f t="shared" si="0"/>
        <v>257.15649999999999</v>
      </c>
      <c r="F7" s="5">
        <v>20</v>
      </c>
      <c r="G7" s="2">
        <v>0.97</v>
      </c>
      <c r="H7" s="5" t="s">
        <v>49</v>
      </c>
    </row>
    <row r="8" spans="1:12" x14ac:dyDescent="0.35">
      <c r="A8">
        <v>7</v>
      </c>
      <c r="B8">
        <v>160</v>
      </c>
      <c r="C8" s="2">
        <v>0.25</v>
      </c>
      <c r="D8" s="16">
        <f t="shared" si="1"/>
        <v>12298.74</v>
      </c>
      <c r="E8" s="2">
        <f t="shared" si="0"/>
        <v>307.46850000000001</v>
      </c>
      <c r="F8" s="5">
        <v>20</v>
      </c>
      <c r="G8" s="2">
        <v>0.97</v>
      </c>
      <c r="H8" s="5" t="s">
        <v>50</v>
      </c>
    </row>
    <row r="9" spans="1:12" x14ac:dyDescent="0.35">
      <c r="A9">
        <v>8</v>
      </c>
      <c r="B9">
        <v>200</v>
      </c>
      <c r="C9" s="2">
        <v>0.25</v>
      </c>
      <c r="D9" s="16">
        <f t="shared" si="1"/>
        <v>14126.900000000001</v>
      </c>
      <c r="E9" s="2">
        <f t="shared" si="0"/>
        <v>353.17250000000007</v>
      </c>
      <c r="F9" s="5">
        <v>20</v>
      </c>
      <c r="G9" s="2">
        <v>0.97</v>
      </c>
      <c r="H9" s="5" t="s">
        <v>51</v>
      </c>
    </row>
    <row r="10" spans="1:12" x14ac:dyDescent="0.35">
      <c r="A10">
        <v>9</v>
      </c>
      <c r="B10">
        <v>240</v>
      </c>
      <c r="C10" s="2">
        <v>0.25</v>
      </c>
      <c r="D10" s="16">
        <f t="shared" si="1"/>
        <v>15770.74</v>
      </c>
      <c r="E10" s="2">
        <f t="shared" si="0"/>
        <v>394.26850000000002</v>
      </c>
      <c r="F10" s="5">
        <v>20</v>
      </c>
      <c r="G10" s="2">
        <v>0.97</v>
      </c>
      <c r="H10" s="5" t="s">
        <v>52</v>
      </c>
    </row>
    <row r="11" spans="1:12" x14ac:dyDescent="0.35">
      <c r="A11">
        <v>10</v>
      </c>
      <c r="B11">
        <v>280</v>
      </c>
      <c r="C11" s="2">
        <v>0.25</v>
      </c>
      <c r="D11" s="16">
        <f t="shared" si="1"/>
        <v>17230.260000000002</v>
      </c>
      <c r="E11" s="2">
        <f t="shared" si="0"/>
        <v>430.75650000000007</v>
      </c>
      <c r="F11" s="5">
        <v>20</v>
      </c>
      <c r="G11" s="2">
        <v>0.97</v>
      </c>
      <c r="H11" s="5" t="s">
        <v>53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3"/>
  <sheetViews>
    <sheetView tabSelected="1" workbookViewId="0">
      <selection activeCell="G17" sqref="F1:G17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bestFit="1" customWidth="1"/>
    <col min="4" max="4" width="13.54296875" bestFit="1" customWidth="1"/>
    <col min="5" max="5" width="14" bestFit="1" customWidth="1"/>
    <col min="6" max="6" width="6.453125" bestFit="1" customWidth="1"/>
    <col min="7" max="7" width="13.54296875" bestFit="1" customWidth="1"/>
    <col min="8" max="8" width="14.7265625" bestFit="1" customWidth="1"/>
    <col min="9" max="9" width="53.1796875" bestFit="1" customWidth="1"/>
  </cols>
  <sheetData>
    <row r="1" spans="1:10" x14ac:dyDescent="0.35">
      <c r="A1" s="5" t="s">
        <v>0</v>
      </c>
      <c r="B1" s="5" t="s">
        <v>3</v>
      </c>
      <c r="C1" s="5" t="s">
        <v>17</v>
      </c>
      <c r="D1" s="5" t="s">
        <v>8</v>
      </c>
      <c r="E1" s="5" t="s">
        <v>104</v>
      </c>
      <c r="F1" s="5" t="s">
        <v>105</v>
      </c>
      <c r="G1" s="5" t="s">
        <v>106</v>
      </c>
      <c r="H1" s="5" t="s">
        <v>107</v>
      </c>
      <c r="I1" s="5" t="s">
        <v>7</v>
      </c>
      <c r="J1" s="5"/>
    </row>
    <row r="2" spans="1:10" s="5" customFormat="1" x14ac:dyDescent="0.35">
      <c r="A2" s="5">
        <v>1</v>
      </c>
      <c r="B2" s="5">
        <f xml:space="preserve"> 4500 * 1.2</f>
        <v>5400</v>
      </c>
      <c r="C2" s="5">
        <f t="shared" ref="C2:C10" si="0" xml:space="preserve"> 0.01 * B2</f>
        <v>54</v>
      </c>
      <c r="D2" s="5">
        <v>20</v>
      </c>
      <c r="E2" s="5">
        <v>6.4</v>
      </c>
      <c r="F2" s="5">
        <v>0.95</v>
      </c>
      <c r="G2" s="5">
        <v>6.4</v>
      </c>
      <c r="H2" s="5">
        <v>6.4</v>
      </c>
    </row>
    <row r="3" spans="1:10" s="5" customFormat="1" x14ac:dyDescent="0.35">
      <c r="A3" s="5">
        <v>2</v>
      </c>
      <c r="B3" s="5">
        <f xml:space="preserve"> 5200 * 1.2</f>
        <v>6240</v>
      </c>
      <c r="C3" s="5">
        <f t="shared" si="0"/>
        <v>62.4</v>
      </c>
      <c r="D3" s="5">
        <v>20</v>
      </c>
      <c r="E3" s="5">
        <v>7.68</v>
      </c>
      <c r="F3" s="5">
        <v>0.95</v>
      </c>
      <c r="G3" s="5">
        <v>7.68</v>
      </c>
      <c r="H3" s="5">
        <v>7.68</v>
      </c>
    </row>
    <row r="4" spans="1:10" x14ac:dyDescent="0.35">
      <c r="A4" s="5">
        <v>3</v>
      </c>
      <c r="B4" s="5">
        <f xml:space="preserve"> 6000 * 1.2</f>
        <v>7200</v>
      </c>
      <c r="C4" s="5">
        <f t="shared" si="0"/>
        <v>72</v>
      </c>
      <c r="D4" s="5">
        <v>20</v>
      </c>
      <c r="E4" s="5">
        <v>8.9600000000000009</v>
      </c>
      <c r="F4" s="5">
        <v>0.95</v>
      </c>
      <c r="G4" s="5">
        <v>8.9600000000000009</v>
      </c>
      <c r="H4" s="5">
        <v>8.9600000000000009</v>
      </c>
      <c r="I4" s="5" t="s">
        <v>110</v>
      </c>
      <c r="J4" s="5"/>
    </row>
    <row r="5" spans="1:10" x14ac:dyDescent="0.35">
      <c r="A5" s="5">
        <v>4</v>
      </c>
      <c r="B5" s="5">
        <f xml:space="preserve"> 6600 * 1.2</f>
        <v>7920</v>
      </c>
      <c r="C5" s="5">
        <f t="shared" si="0"/>
        <v>79.2</v>
      </c>
      <c r="D5" s="5">
        <v>20</v>
      </c>
      <c r="E5" s="5">
        <v>10.24</v>
      </c>
      <c r="F5" s="5">
        <v>0.95</v>
      </c>
      <c r="G5" s="5">
        <v>10.24</v>
      </c>
      <c r="H5" s="5">
        <v>10.24</v>
      </c>
      <c r="I5" s="5" t="s">
        <v>111</v>
      </c>
      <c r="J5" s="5"/>
    </row>
    <row r="6" spans="1:10" x14ac:dyDescent="0.35">
      <c r="A6" s="5">
        <v>5</v>
      </c>
      <c r="B6" s="5">
        <f xml:space="preserve"> 7400 * 1.2</f>
        <v>8880</v>
      </c>
      <c r="C6" s="5">
        <f t="shared" si="0"/>
        <v>88.8</v>
      </c>
      <c r="D6" s="5">
        <v>20</v>
      </c>
      <c r="E6" s="5">
        <v>11.52</v>
      </c>
      <c r="F6" s="5">
        <v>0.95</v>
      </c>
      <c r="G6" s="5">
        <v>11.52</v>
      </c>
      <c r="H6" s="5">
        <v>11.52</v>
      </c>
      <c r="I6" s="5"/>
      <c r="J6" s="5"/>
    </row>
    <row r="7" spans="1:10" x14ac:dyDescent="0.35">
      <c r="A7" s="5">
        <v>6</v>
      </c>
      <c r="B7" s="5">
        <f>B6*2</f>
        <v>17760</v>
      </c>
      <c r="C7" s="5">
        <f t="shared" si="0"/>
        <v>177.6</v>
      </c>
      <c r="D7" s="5">
        <v>20</v>
      </c>
      <c r="E7" s="5">
        <f>11.52 * 2</f>
        <v>23.04</v>
      </c>
      <c r="F7" s="5">
        <v>0.95</v>
      </c>
      <c r="G7" s="5">
        <f>G6*2</f>
        <v>23.04</v>
      </c>
      <c r="H7" s="5">
        <f>H6*2</f>
        <v>23.04</v>
      </c>
      <c r="I7" s="18" t="s">
        <v>108</v>
      </c>
      <c r="J7" s="5"/>
    </row>
    <row r="8" spans="1:10" x14ac:dyDescent="0.35">
      <c r="A8" s="5">
        <v>7</v>
      </c>
      <c r="B8" s="5">
        <f>B6*3</f>
        <v>26640</v>
      </c>
      <c r="C8" s="5">
        <f t="shared" si="0"/>
        <v>266.39999999999998</v>
      </c>
      <c r="D8" s="5">
        <v>20</v>
      </c>
      <c r="E8" s="5">
        <f>11.52*3</f>
        <v>34.56</v>
      </c>
      <c r="F8" s="5">
        <v>0.95</v>
      </c>
      <c r="G8" s="5">
        <f>G6*3</f>
        <v>34.56</v>
      </c>
      <c r="H8" s="5">
        <f>H6*3</f>
        <v>34.56</v>
      </c>
      <c r="I8" s="5" t="s">
        <v>109</v>
      </c>
      <c r="J8" s="5"/>
    </row>
    <row r="9" spans="1:10" x14ac:dyDescent="0.35">
      <c r="A9" s="5">
        <v>8</v>
      </c>
      <c r="B9" s="5">
        <f>B6*4</f>
        <v>35520</v>
      </c>
      <c r="C9" s="5">
        <f t="shared" si="0"/>
        <v>355.2</v>
      </c>
      <c r="D9" s="5">
        <v>20</v>
      </c>
      <c r="E9" s="5">
        <f>11.52*4</f>
        <v>46.08</v>
      </c>
      <c r="F9" s="5">
        <v>0.95</v>
      </c>
      <c r="G9" s="5">
        <f>G6*4</f>
        <v>46.08</v>
      </c>
      <c r="H9" s="5">
        <f>H6*4</f>
        <v>46.08</v>
      </c>
      <c r="I9" s="5"/>
      <c r="J9" s="5"/>
    </row>
    <row r="10" spans="1:10" x14ac:dyDescent="0.35">
      <c r="A10" s="5">
        <v>9</v>
      </c>
      <c r="B10" s="5">
        <f>B6*5</f>
        <v>44400</v>
      </c>
      <c r="C10" s="5">
        <f t="shared" si="0"/>
        <v>444</v>
      </c>
      <c r="D10" s="5">
        <v>20</v>
      </c>
      <c r="E10" s="5">
        <f>11.52*5</f>
        <v>57.599999999999994</v>
      </c>
      <c r="F10" s="5">
        <v>0.95</v>
      </c>
      <c r="G10" s="5">
        <f>G6*5</f>
        <v>57.599999999999994</v>
      </c>
      <c r="H10" s="5">
        <f>H6*5</f>
        <v>57.599999999999994</v>
      </c>
      <c r="I10" s="5"/>
      <c r="J10" s="5"/>
    </row>
    <row r="11" spans="1:10" x14ac:dyDescent="0.35">
      <c r="E11" s="4"/>
      <c r="J11" s="2"/>
    </row>
    <row r="23" spans="10:10" x14ac:dyDescent="0.35">
      <c r="J23" s="2"/>
    </row>
    <row r="24" spans="10:10" x14ac:dyDescent="0.35">
      <c r="J24" s="2"/>
    </row>
    <row r="25" spans="10:10" x14ac:dyDescent="0.35">
      <c r="J25" s="2"/>
    </row>
    <row r="26" spans="10:10" x14ac:dyDescent="0.35">
      <c r="J26" s="2"/>
    </row>
    <row r="27" spans="10:10" x14ac:dyDescent="0.35">
      <c r="J27" s="2"/>
    </row>
    <row r="28" spans="10:10" x14ac:dyDescent="0.35">
      <c r="J28" s="2"/>
    </row>
    <row r="29" spans="10:10" x14ac:dyDescent="0.35">
      <c r="J29" s="2"/>
    </row>
    <row r="30" spans="10:10" x14ac:dyDescent="0.35">
      <c r="J30" s="2"/>
    </row>
    <row r="31" spans="10:10" x14ac:dyDescent="0.35">
      <c r="J31" s="2"/>
    </row>
    <row r="32" spans="10:10" x14ac:dyDescent="0.35">
      <c r="J32" s="2"/>
    </row>
    <row r="33" spans="10:10" x14ac:dyDescent="0.35">
      <c r="J33" s="2"/>
    </row>
  </sheetData>
  <phoneticPr fontId="2" type="noConversion"/>
  <hyperlinks>
    <hyperlink ref="I7" r:id="rId1" xr:uid="{F47F0C45-887D-41FF-98DE-83B4DF900CEC}"/>
  </hyperlinks>
  <pageMargins left="0.7" right="0.7" top="0.78740157499999996" bottom="0.78740157499999996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D32" sqref="D32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63.54296875" bestFit="1" customWidth="1"/>
  </cols>
  <sheetData>
    <row r="1" spans="1:12" x14ac:dyDescent="0.35">
      <c r="A1" s="5" t="s">
        <v>101</v>
      </c>
      <c r="B1" s="5" t="s">
        <v>34</v>
      </c>
      <c r="C1" s="5" t="s">
        <v>2</v>
      </c>
      <c r="D1" s="5" t="s">
        <v>3</v>
      </c>
      <c r="E1" s="5" t="s">
        <v>17</v>
      </c>
      <c r="F1" s="5" t="s">
        <v>8</v>
      </c>
      <c r="G1" s="5" t="s">
        <v>4</v>
      </c>
      <c r="H1" s="5" t="s">
        <v>7</v>
      </c>
      <c r="J1" s="5" t="s">
        <v>97</v>
      </c>
      <c r="K1" s="5" t="s">
        <v>98</v>
      </c>
      <c r="L1" s="5" t="s">
        <v>99</v>
      </c>
    </row>
    <row r="2" spans="1:12" x14ac:dyDescent="0.35">
      <c r="A2" s="5">
        <v>1</v>
      </c>
      <c r="B2" s="5">
        <v>12</v>
      </c>
      <c r="C2" s="2">
        <v>0.2</v>
      </c>
      <c r="D2" s="8">
        <f>$J$2+B2*$K$2+B2^2*$L$2</f>
        <v>10789.9984</v>
      </c>
      <c r="E2" s="2">
        <f>D2*0.05</f>
        <v>539.49992000000009</v>
      </c>
      <c r="F2" s="5">
        <v>20</v>
      </c>
      <c r="G2" s="2">
        <v>0.94</v>
      </c>
      <c r="H2" s="6" t="s">
        <v>87</v>
      </c>
      <c r="J2" s="5">
        <v>7676.2</v>
      </c>
      <c r="K2" s="5">
        <v>263.85000000000002</v>
      </c>
      <c r="L2" s="5">
        <v>-0.3639</v>
      </c>
    </row>
    <row r="3" spans="1:12" x14ac:dyDescent="0.35">
      <c r="A3" s="5">
        <v>2</v>
      </c>
      <c r="B3" s="5">
        <v>18</v>
      </c>
      <c r="C3" s="2">
        <v>0.3</v>
      </c>
      <c r="D3" s="8">
        <f t="shared" ref="D3:D11" si="0">$J$2+B3*$K$2+B3^2*$L$2</f>
        <v>12307.5964</v>
      </c>
      <c r="E3" s="2">
        <f t="shared" ref="E3:E11" si="1">D3*0.05</f>
        <v>615.37982000000011</v>
      </c>
      <c r="F3" s="5">
        <v>20</v>
      </c>
      <c r="G3" s="2">
        <v>0.94</v>
      </c>
      <c r="H3" s="6" t="s">
        <v>88</v>
      </c>
    </row>
    <row r="4" spans="1:12" x14ac:dyDescent="0.35">
      <c r="A4" s="5">
        <v>3</v>
      </c>
      <c r="B4" s="5">
        <v>24</v>
      </c>
      <c r="C4" s="2">
        <v>0.3</v>
      </c>
      <c r="D4" s="8">
        <f t="shared" si="0"/>
        <v>13798.9936</v>
      </c>
      <c r="E4" s="2">
        <f t="shared" si="1"/>
        <v>689.94968000000006</v>
      </c>
      <c r="F4" s="5">
        <v>20</v>
      </c>
      <c r="G4" s="2">
        <v>0.94</v>
      </c>
      <c r="H4" s="6" t="s">
        <v>89</v>
      </c>
    </row>
    <row r="5" spans="1:12" x14ac:dyDescent="0.35">
      <c r="A5" s="5">
        <v>4</v>
      </c>
      <c r="B5" s="5">
        <v>32</v>
      </c>
      <c r="C5" s="2">
        <v>0.3</v>
      </c>
      <c r="D5" s="8">
        <f t="shared" si="0"/>
        <v>15746.766400000002</v>
      </c>
      <c r="E5" s="2">
        <f t="shared" si="1"/>
        <v>787.33832000000018</v>
      </c>
      <c r="F5" s="5">
        <v>20</v>
      </c>
      <c r="G5" s="2">
        <v>0.94</v>
      </c>
      <c r="H5" s="6" t="s">
        <v>90</v>
      </c>
    </row>
    <row r="6" spans="1:12" s="5" customFormat="1" x14ac:dyDescent="0.35">
      <c r="A6" s="5">
        <v>5</v>
      </c>
      <c r="B6" s="5">
        <v>40</v>
      </c>
      <c r="C6" s="2">
        <v>0.3</v>
      </c>
      <c r="D6" s="8">
        <f t="shared" si="0"/>
        <v>17647.96</v>
      </c>
      <c r="E6" s="2">
        <f t="shared" si="1"/>
        <v>882.39800000000002</v>
      </c>
      <c r="F6" s="5">
        <v>20</v>
      </c>
      <c r="G6" s="2">
        <v>0.94</v>
      </c>
      <c r="H6" s="6" t="s">
        <v>91</v>
      </c>
    </row>
    <row r="7" spans="1:12" x14ac:dyDescent="0.35">
      <c r="A7" s="5">
        <v>6</v>
      </c>
      <c r="B7" s="5">
        <v>48</v>
      </c>
      <c r="C7" s="2">
        <v>0.3</v>
      </c>
      <c r="D7" s="8">
        <f t="shared" si="0"/>
        <v>19502.574400000001</v>
      </c>
      <c r="E7" s="2">
        <f t="shared" si="1"/>
        <v>975.12872000000016</v>
      </c>
      <c r="F7" s="5">
        <v>20</v>
      </c>
      <c r="G7" s="2">
        <v>0.94</v>
      </c>
      <c r="H7" s="6" t="s">
        <v>92</v>
      </c>
    </row>
    <row r="8" spans="1:12" x14ac:dyDescent="0.35">
      <c r="A8" s="5">
        <v>7</v>
      </c>
      <c r="B8" s="5">
        <v>60</v>
      </c>
      <c r="C8" s="2">
        <v>0.3</v>
      </c>
      <c r="D8" s="8">
        <f t="shared" si="0"/>
        <v>22197.16</v>
      </c>
      <c r="E8" s="2">
        <f t="shared" si="1"/>
        <v>1109.8579999999999</v>
      </c>
      <c r="F8" s="5">
        <v>20</v>
      </c>
      <c r="G8" s="2">
        <v>0.94</v>
      </c>
      <c r="H8" s="6" t="s">
        <v>93</v>
      </c>
    </row>
    <row r="9" spans="1:12" s="5" customFormat="1" x14ac:dyDescent="0.35">
      <c r="A9" s="5">
        <v>8</v>
      </c>
      <c r="B9" s="5">
        <v>70</v>
      </c>
      <c r="C9" s="2">
        <v>0.3</v>
      </c>
      <c r="D9" s="8">
        <f t="shared" si="0"/>
        <v>24362.59</v>
      </c>
      <c r="E9" s="2">
        <f t="shared" si="1"/>
        <v>1218.1295</v>
      </c>
      <c r="F9" s="5">
        <v>20</v>
      </c>
      <c r="G9" s="2">
        <v>0.94</v>
      </c>
      <c r="H9" s="6" t="s">
        <v>94</v>
      </c>
    </row>
    <row r="10" spans="1:12" x14ac:dyDescent="0.35">
      <c r="A10" s="5">
        <v>9</v>
      </c>
      <c r="B10" s="5">
        <v>80</v>
      </c>
      <c r="C10" s="2">
        <v>0.3</v>
      </c>
      <c r="D10" s="8">
        <f t="shared" si="0"/>
        <v>26455.24</v>
      </c>
      <c r="E10" s="2">
        <f t="shared" si="1"/>
        <v>1322.7620000000002</v>
      </c>
      <c r="F10" s="5">
        <v>20</v>
      </c>
      <c r="G10" s="2">
        <v>0.94</v>
      </c>
      <c r="H10" s="6" t="s">
        <v>95</v>
      </c>
    </row>
    <row r="11" spans="1:12" x14ac:dyDescent="0.35">
      <c r="A11" s="5">
        <v>10</v>
      </c>
      <c r="B11" s="5">
        <v>101</v>
      </c>
      <c r="C11" s="2">
        <v>0.3</v>
      </c>
      <c r="D11" s="8">
        <f t="shared" si="0"/>
        <v>30612.906100000004</v>
      </c>
      <c r="E11" s="2">
        <f t="shared" si="1"/>
        <v>1530.6453050000002</v>
      </c>
      <c r="F11" s="5">
        <v>20</v>
      </c>
      <c r="G11" s="2">
        <v>0.94</v>
      </c>
      <c r="H11" s="6" t="s">
        <v>96</v>
      </c>
    </row>
    <row r="12" spans="1:12" x14ac:dyDescent="0.35">
      <c r="A12" s="5"/>
      <c r="B12" s="5"/>
      <c r="C12" s="2"/>
      <c r="D12" s="5"/>
      <c r="E12" s="2"/>
      <c r="F12" s="5"/>
      <c r="G12" s="2"/>
      <c r="H12" s="5"/>
    </row>
    <row r="13" spans="1:12" x14ac:dyDescent="0.35">
      <c r="A13" s="5"/>
      <c r="B13" s="5"/>
      <c r="C13" s="2"/>
      <c r="D13" s="5"/>
      <c r="E13" s="2"/>
      <c r="F13" s="5"/>
      <c r="G13" s="2"/>
      <c r="H13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workbookViewId="0">
      <selection activeCell="D19" sqref="D1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8.7265625" bestFit="1" customWidth="1"/>
    <col min="8" max="8" width="9.54296875" bestFit="1" customWidth="1"/>
    <col min="9" max="9" width="32.1796875" bestFit="1" customWidth="1"/>
  </cols>
  <sheetData>
    <row r="1" spans="1:12" x14ac:dyDescent="0.35">
      <c r="A1" t="s">
        <v>101</v>
      </c>
      <c r="B1" t="s">
        <v>34</v>
      </c>
      <c r="C1" t="s">
        <v>2</v>
      </c>
      <c r="D1" t="s">
        <v>3</v>
      </c>
      <c r="E1" t="s">
        <v>17</v>
      </c>
      <c r="F1" t="s">
        <v>8</v>
      </c>
      <c r="G1" t="s">
        <v>5</v>
      </c>
      <c r="H1" t="s">
        <v>6</v>
      </c>
      <c r="I1" t="s">
        <v>7</v>
      </c>
      <c r="K1" s="5" t="s">
        <v>97</v>
      </c>
      <c r="L1" s="5" t="s">
        <v>98</v>
      </c>
    </row>
    <row r="2" spans="1:12" x14ac:dyDescent="0.35">
      <c r="A2">
        <v>1</v>
      </c>
      <c r="B2">
        <v>2.5</v>
      </c>
      <c r="C2" s="2">
        <v>1</v>
      </c>
      <c r="D2" s="9">
        <f>$K$2+$L$2*B2</f>
        <v>25193.25</v>
      </c>
      <c r="E2" s="9">
        <f t="shared" ref="E2:E3" si="0">D2*0.0125</f>
        <v>314.91562500000003</v>
      </c>
      <c r="F2">
        <v>15</v>
      </c>
      <c r="G2" s="1">
        <v>0.4</v>
      </c>
      <c r="H2" s="1">
        <v>0.92</v>
      </c>
      <c r="I2" s="3" t="s">
        <v>20</v>
      </c>
      <c r="K2" s="5">
        <v>23941</v>
      </c>
      <c r="L2" s="5">
        <v>500.9</v>
      </c>
    </row>
    <row r="3" spans="1:12" x14ac:dyDescent="0.35">
      <c r="A3">
        <v>2</v>
      </c>
      <c r="B3">
        <v>8</v>
      </c>
      <c r="C3" s="2">
        <v>0.46666666666666667</v>
      </c>
      <c r="D3" s="9">
        <f t="shared" ref="D3:D10" si="1">$K$2+$L$2*B3</f>
        <v>27948.2</v>
      </c>
      <c r="E3" s="9">
        <f t="shared" si="0"/>
        <v>349.35250000000002</v>
      </c>
      <c r="F3">
        <v>15</v>
      </c>
      <c r="G3" s="1">
        <v>0.375</v>
      </c>
      <c r="H3" s="1">
        <v>0.9</v>
      </c>
      <c r="I3" s="3" t="s">
        <v>21</v>
      </c>
      <c r="J3" s="3"/>
    </row>
    <row r="4" spans="1:12" x14ac:dyDescent="0.35">
      <c r="A4">
        <v>3</v>
      </c>
      <c r="B4">
        <v>13.5</v>
      </c>
      <c r="C4" s="2">
        <v>0.7</v>
      </c>
      <c r="D4" s="9">
        <f t="shared" si="1"/>
        <v>30703.15</v>
      </c>
      <c r="E4" s="9">
        <f>D4*0.0125</f>
        <v>383.78937500000006</v>
      </c>
      <c r="F4">
        <v>15</v>
      </c>
      <c r="G4" s="1">
        <v>0.40699999999999997</v>
      </c>
      <c r="H4" s="1">
        <v>0.94</v>
      </c>
      <c r="I4" s="5" t="s">
        <v>54</v>
      </c>
    </row>
    <row r="5" spans="1:12" x14ac:dyDescent="0.35">
      <c r="A5">
        <v>4</v>
      </c>
      <c r="B5">
        <v>20.100000000000001</v>
      </c>
      <c r="C5" s="2">
        <v>0.61</v>
      </c>
      <c r="D5" s="9">
        <f t="shared" si="1"/>
        <v>34009.089999999997</v>
      </c>
      <c r="E5" s="9">
        <f t="shared" ref="E5:E10" si="2">D5*0.0125</f>
        <v>425.11362499999996</v>
      </c>
      <c r="F5">
        <v>15</v>
      </c>
      <c r="G5" s="1">
        <v>0.42</v>
      </c>
      <c r="H5" s="1">
        <v>0.95</v>
      </c>
      <c r="I5" s="5" t="s">
        <v>55</v>
      </c>
    </row>
    <row r="6" spans="1:12" x14ac:dyDescent="0.35">
      <c r="A6">
        <v>5</v>
      </c>
      <c r="B6">
        <v>39</v>
      </c>
      <c r="C6" s="2">
        <v>0.56000000000000005</v>
      </c>
      <c r="D6" s="9">
        <f t="shared" si="1"/>
        <v>43476.1</v>
      </c>
      <c r="E6" s="9">
        <f t="shared" si="2"/>
        <v>543.45124999999996</v>
      </c>
      <c r="F6" s="9">
        <v>15</v>
      </c>
      <c r="G6" s="1">
        <v>0.51300000000000001</v>
      </c>
      <c r="H6" s="1">
        <v>0.95199999999999996</v>
      </c>
      <c r="I6" s="5" t="s">
        <v>56</v>
      </c>
      <c r="J6" s="3"/>
    </row>
    <row r="7" spans="1:12" x14ac:dyDescent="0.35">
      <c r="A7">
        <v>6</v>
      </c>
      <c r="B7">
        <v>81</v>
      </c>
      <c r="C7" s="2">
        <v>0.56000000000000005</v>
      </c>
      <c r="D7" s="9">
        <f t="shared" si="1"/>
        <v>64513.9</v>
      </c>
      <c r="E7" s="9">
        <f t="shared" si="2"/>
        <v>806.42375000000004</v>
      </c>
      <c r="F7" s="9">
        <v>15</v>
      </c>
      <c r="G7" s="1">
        <v>0.61699999999999999</v>
      </c>
      <c r="H7" s="1">
        <v>0.90300000000000002</v>
      </c>
      <c r="I7" s="5" t="s">
        <v>57</v>
      </c>
    </row>
    <row r="8" spans="1:12" x14ac:dyDescent="0.35">
      <c r="A8">
        <v>7</v>
      </c>
      <c r="B8">
        <v>115</v>
      </c>
      <c r="C8" s="2">
        <v>0.55000000000000004</v>
      </c>
      <c r="D8" s="9">
        <f t="shared" si="1"/>
        <v>81544.5</v>
      </c>
      <c r="E8" s="9">
        <f t="shared" si="2"/>
        <v>1019.3062500000001</v>
      </c>
      <c r="F8" s="9">
        <v>15</v>
      </c>
      <c r="G8" s="1">
        <v>0.60799999999999998</v>
      </c>
      <c r="H8" s="1">
        <v>0.90700000000000003</v>
      </c>
      <c r="I8" s="5" t="s">
        <v>58</v>
      </c>
    </row>
    <row r="9" spans="1:12" x14ac:dyDescent="0.35">
      <c r="A9">
        <v>8</v>
      </c>
      <c r="B9">
        <v>207</v>
      </c>
      <c r="C9" s="2">
        <v>0.55000000000000004</v>
      </c>
      <c r="D9" s="9">
        <f t="shared" si="1"/>
        <v>127627.29999999999</v>
      </c>
      <c r="E9" s="9">
        <f t="shared" si="2"/>
        <v>1595.3412499999999</v>
      </c>
      <c r="F9" s="9">
        <v>15</v>
      </c>
      <c r="G9" s="1">
        <v>0.67600000000000005</v>
      </c>
      <c r="H9" s="1">
        <v>0.90400000000000003</v>
      </c>
      <c r="I9" s="5" t="s">
        <v>59</v>
      </c>
    </row>
    <row r="10" spans="1:12" x14ac:dyDescent="0.35">
      <c r="A10">
        <v>9</v>
      </c>
      <c r="B10">
        <v>293</v>
      </c>
      <c r="C10" s="2">
        <v>0.55000000000000004</v>
      </c>
      <c r="D10" s="9">
        <f t="shared" si="1"/>
        <v>170704.69999999998</v>
      </c>
      <c r="E10" s="9">
        <f t="shared" si="2"/>
        <v>2133.8087499999997</v>
      </c>
      <c r="F10" s="9">
        <v>15</v>
      </c>
      <c r="G10" s="1">
        <v>0.67900000000000005</v>
      </c>
      <c r="H10" s="1">
        <v>0.89</v>
      </c>
      <c r="I10" s="5" t="s">
        <v>60</v>
      </c>
    </row>
    <row r="11" spans="1:12" x14ac:dyDescent="0.35">
      <c r="C11" s="2"/>
      <c r="D11" s="2"/>
      <c r="F11" s="9"/>
    </row>
    <row r="12" spans="1:12" x14ac:dyDescent="0.35">
      <c r="C12" s="2"/>
      <c r="D12" s="2"/>
    </row>
    <row r="13" spans="1:12" x14ac:dyDescent="0.35">
      <c r="C13" s="2"/>
      <c r="D13" s="2"/>
    </row>
    <row r="14" spans="1:12" x14ac:dyDescent="0.35">
      <c r="C14" s="2"/>
      <c r="D14" s="2"/>
    </row>
    <row r="15" spans="1:12" x14ac:dyDescent="0.35">
      <c r="C15" s="2"/>
      <c r="D15" s="2"/>
    </row>
    <row r="16" spans="1:12" x14ac:dyDescent="0.35">
      <c r="C16" s="2"/>
      <c r="D16" s="2"/>
    </row>
    <row r="17" spans="3:4" x14ac:dyDescent="0.35">
      <c r="C17" s="2"/>
      <c r="D17" s="2"/>
    </row>
    <row r="18" spans="3:4" x14ac:dyDescent="0.35">
      <c r="C18" s="2"/>
      <c r="D18" s="2"/>
    </row>
    <row r="19" spans="3:4" x14ac:dyDescent="0.35">
      <c r="C19" s="2"/>
      <c r="D19" s="2"/>
    </row>
    <row r="20" spans="3:4" x14ac:dyDescent="0.35">
      <c r="C20" s="2"/>
      <c r="D20" s="2"/>
    </row>
    <row r="21" spans="3:4" x14ac:dyDescent="0.35">
      <c r="C21" s="2"/>
      <c r="D21" s="2"/>
    </row>
    <row r="22" spans="3:4" x14ac:dyDescent="0.35">
      <c r="C22" s="2"/>
      <c r="D22" s="2"/>
    </row>
    <row r="23" spans="3:4" x14ac:dyDescent="0.35">
      <c r="C23" s="2"/>
      <c r="D23" s="2"/>
    </row>
    <row r="24" spans="3:4" x14ac:dyDescent="0.35">
      <c r="C24" s="2"/>
      <c r="D24" s="2"/>
    </row>
    <row r="25" spans="3:4" x14ac:dyDescent="0.35">
      <c r="C25" s="2"/>
      <c r="D25" s="2"/>
    </row>
    <row r="26" spans="3:4" x14ac:dyDescent="0.35">
      <c r="D26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C9" sqref="C9"/>
    </sheetView>
  </sheetViews>
  <sheetFormatPr baseColWidth="10" defaultRowHeight="14.5" x14ac:dyDescent="0.35"/>
  <cols>
    <col min="1" max="1" width="3.1796875" bestFit="1" customWidth="1"/>
    <col min="2" max="2" width="11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9.1796875" bestFit="1" customWidth="1"/>
    <col min="8" max="8" width="22.7265625" bestFit="1" customWidth="1"/>
  </cols>
  <sheetData>
    <row r="1" spans="1:7" x14ac:dyDescent="0.35">
      <c r="A1" t="s">
        <v>101</v>
      </c>
      <c r="B1" t="s">
        <v>34</v>
      </c>
      <c r="C1" t="s">
        <v>2</v>
      </c>
      <c r="D1" t="s">
        <v>3</v>
      </c>
      <c r="E1" t="s">
        <v>17</v>
      </c>
      <c r="F1" t="s">
        <v>8</v>
      </c>
      <c r="G1" t="s">
        <v>1</v>
      </c>
    </row>
    <row r="2" spans="1:7" x14ac:dyDescent="0.35">
      <c r="A2">
        <v>1</v>
      </c>
      <c r="B2">
        <v>6</v>
      </c>
      <c r="C2">
        <v>0</v>
      </c>
      <c r="D2">
        <v>160</v>
      </c>
      <c r="E2" s="9">
        <f t="shared" ref="E2:E3" si="0">0.03*D2</f>
        <v>4.8</v>
      </c>
      <c r="F2">
        <v>20</v>
      </c>
      <c r="G2">
        <v>1</v>
      </c>
    </row>
    <row r="3" spans="1:7" x14ac:dyDescent="0.35">
      <c r="A3">
        <v>2</v>
      </c>
      <c r="B3">
        <v>12</v>
      </c>
      <c r="C3">
        <v>0</v>
      </c>
      <c r="D3">
        <v>209</v>
      </c>
      <c r="E3" s="9">
        <f t="shared" si="0"/>
        <v>6.27</v>
      </c>
      <c r="F3">
        <v>20</v>
      </c>
      <c r="G3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"/>
  <sheetViews>
    <sheetView zoomScaleNormal="100" workbookViewId="0">
      <selection activeCell="F19" sqref="F1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10.81640625" bestFit="1" customWidth="1"/>
    <col min="8" max="8" width="12.81640625" style="5" bestFit="1" customWidth="1"/>
    <col min="9" max="9" width="12.1796875" bestFit="1" customWidth="1"/>
    <col min="10" max="10" width="12.1796875" style="5" bestFit="1" customWidth="1"/>
    <col min="11" max="11" width="13.1796875" style="5" bestFit="1" customWidth="1"/>
    <col min="12" max="12" width="12.81640625" style="5" bestFit="1" customWidth="1"/>
    <col min="13" max="14" width="12.1796875" style="5" bestFit="1" customWidth="1"/>
    <col min="15" max="15" width="13.1796875" style="5" bestFit="1" customWidth="1"/>
    <col min="16" max="16" width="24.81640625" bestFit="1" customWidth="1"/>
    <col min="17" max="17" width="5.26953125" customWidth="1"/>
  </cols>
  <sheetData>
    <row r="1" spans="1:19" x14ac:dyDescent="0.35">
      <c r="A1" s="5" t="s">
        <v>101</v>
      </c>
      <c r="B1" s="5" t="s">
        <v>34</v>
      </c>
      <c r="C1" s="5" t="s">
        <v>2</v>
      </c>
      <c r="D1" s="5" t="s">
        <v>3</v>
      </c>
      <c r="E1" s="5" t="s">
        <v>17</v>
      </c>
      <c r="F1" s="10" t="s">
        <v>8</v>
      </c>
      <c r="G1" s="5" t="s">
        <v>16</v>
      </c>
      <c r="H1" s="5" t="s">
        <v>79</v>
      </c>
      <c r="I1" s="5" t="s">
        <v>86</v>
      </c>
      <c r="J1" s="5" t="s">
        <v>81</v>
      </c>
      <c r="K1" s="10" t="s">
        <v>82</v>
      </c>
      <c r="L1" s="5" t="s">
        <v>80</v>
      </c>
      <c r="M1" s="5" t="s">
        <v>85</v>
      </c>
      <c r="N1" s="11" t="s">
        <v>83</v>
      </c>
      <c r="O1" s="10" t="s">
        <v>84</v>
      </c>
      <c r="P1" s="5" t="s">
        <v>100</v>
      </c>
      <c r="R1" t="s">
        <v>102</v>
      </c>
      <c r="S1" t="s">
        <v>98</v>
      </c>
    </row>
    <row r="2" spans="1:19" x14ac:dyDescent="0.35">
      <c r="A2" s="5">
        <v>1</v>
      </c>
      <c r="B2" s="5">
        <v>6</v>
      </c>
      <c r="C2" s="5">
        <v>1</v>
      </c>
      <c r="D2" s="7">
        <f>$R$2+$S$2*B2</f>
        <v>9368.880000000001</v>
      </c>
      <c r="E2" s="8">
        <f>0.025*D2</f>
        <v>234.22200000000004</v>
      </c>
      <c r="F2" s="10">
        <v>18</v>
      </c>
      <c r="G2" s="5">
        <v>15</v>
      </c>
      <c r="H2" s="5">
        <v>2.91</v>
      </c>
      <c r="I2" s="5">
        <v>3.79</v>
      </c>
      <c r="J2" s="5">
        <v>4.78</v>
      </c>
      <c r="K2" s="10">
        <v>5.09</v>
      </c>
      <c r="L2" s="5">
        <v>2.02</v>
      </c>
      <c r="M2" s="5">
        <v>3.07</v>
      </c>
      <c r="N2" s="5">
        <v>4.16</v>
      </c>
      <c r="O2" s="10">
        <v>4.96</v>
      </c>
      <c r="P2" s="6" t="s">
        <v>67</v>
      </c>
      <c r="R2">
        <v>4080</v>
      </c>
      <c r="S2">
        <v>881.48</v>
      </c>
    </row>
    <row r="3" spans="1:19" x14ac:dyDescent="0.35">
      <c r="A3" s="5">
        <v>2</v>
      </c>
      <c r="B3" s="5">
        <v>8</v>
      </c>
      <c r="C3" s="5">
        <v>1</v>
      </c>
      <c r="D3" s="7">
        <f t="shared" ref="D3:D9" si="0">$R$2+$S$2*B3</f>
        <v>11131.84</v>
      </c>
      <c r="E3" s="8">
        <f t="shared" ref="E3:E9" si="1">0.025*D3</f>
        <v>278.29599999999999</v>
      </c>
      <c r="F3" s="10">
        <v>18</v>
      </c>
      <c r="G3" s="5">
        <v>15</v>
      </c>
      <c r="H3" s="5">
        <v>2.98</v>
      </c>
      <c r="I3" s="5">
        <v>3.81</v>
      </c>
      <c r="J3" s="11">
        <v>4.82</v>
      </c>
      <c r="K3" s="10">
        <v>5.08</v>
      </c>
      <c r="L3" s="5">
        <v>2.0699999999999998</v>
      </c>
      <c r="M3" s="5">
        <v>3.09</v>
      </c>
      <c r="N3" s="11">
        <v>4.17</v>
      </c>
      <c r="O3" s="10">
        <v>4.9400000000000004</v>
      </c>
      <c r="P3" s="6" t="s">
        <v>68</v>
      </c>
    </row>
    <row r="4" spans="1:19" x14ac:dyDescent="0.35">
      <c r="A4" s="5">
        <v>3</v>
      </c>
      <c r="B4" s="5">
        <v>11</v>
      </c>
      <c r="C4" s="5">
        <v>1</v>
      </c>
      <c r="D4" s="7">
        <f t="shared" si="0"/>
        <v>13776.28</v>
      </c>
      <c r="E4" s="8">
        <f t="shared" si="1"/>
        <v>344.40700000000004</v>
      </c>
      <c r="F4" s="10">
        <v>18</v>
      </c>
      <c r="G4" s="5">
        <v>15</v>
      </c>
      <c r="H4" s="11">
        <v>2.86</v>
      </c>
      <c r="I4" s="5">
        <v>3.77</v>
      </c>
      <c r="J4" s="11">
        <v>4.63</v>
      </c>
      <c r="K4" s="10">
        <v>5.03</v>
      </c>
      <c r="L4" s="5">
        <v>2.0099999999999998</v>
      </c>
      <c r="M4" s="5">
        <v>2.93</v>
      </c>
      <c r="N4" s="11">
        <v>3.93</v>
      </c>
      <c r="O4" s="10">
        <v>4.88</v>
      </c>
      <c r="P4" s="6" t="s">
        <v>43</v>
      </c>
    </row>
    <row r="5" spans="1:19" x14ac:dyDescent="0.35">
      <c r="A5" s="5">
        <v>4</v>
      </c>
      <c r="B5" s="5">
        <v>13</v>
      </c>
      <c r="C5" s="5">
        <v>1</v>
      </c>
      <c r="D5" s="7">
        <f t="shared" si="0"/>
        <v>15539.24</v>
      </c>
      <c r="E5" s="8">
        <f t="shared" si="1"/>
        <v>388.48099999999999</v>
      </c>
      <c r="F5" s="10">
        <v>18</v>
      </c>
      <c r="G5" s="5">
        <v>15</v>
      </c>
      <c r="H5" s="11">
        <v>2.78</v>
      </c>
      <c r="I5" s="5">
        <v>3.66</v>
      </c>
      <c r="J5" s="11">
        <v>4.68</v>
      </c>
      <c r="K5" s="10">
        <v>4.79</v>
      </c>
      <c r="L5" s="5">
        <v>1.91</v>
      </c>
      <c r="M5" s="5">
        <v>2.92</v>
      </c>
      <c r="N5" s="11">
        <v>4.0199999999999996</v>
      </c>
      <c r="O5" s="10">
        <v>4.93</v>
      </c>
      <c r="P5" s="6" t="s">
        <v>69</v>
      </c>
    </row>
    <row r="6" spans="1:19" x14ac:dyDescent="0.35">
      <c r="A6" s="5">
        <v>5</v>
      </c>
      <c r="B6" s="5">
        <v>14</v>
      </c>
      <c r="C6" s="5">
        <v>1</v>
      </c>
      <c r="D6" s="7">
        <f t="shared" si="0"/>
        <v>16420.72</v>
      </c>
      <c r="E6" s="8">
        <f t="shared" si="1"/>
        <v>410.51800000000003</v>
      </c>
      <c r="F6" s="10">
        <v>18</v>
      </c>
      <c r="G6" s="5">
        <v>15</v>
      </c>
      <c r="H6" s="11">
        <v>3.13</v>
      </c>
      <c r="I6" s="5">
        <v>3.94</v>
      </c>
      <c r="J6" s="11">
        <v>4.9400000000000004</v>
      </c>
      <c r="K6" s="10">
        <v>5.43</v>
      </c>
      <c r="L6" s="5">
        <v>2.16</v>
      </c>
      <c r="M6" s="5">
        <v>3.11</v>
      </c>
      <c r="N6" s="11">
        <v>4.28</v>
      </c>
      <c r="O6" s="10">
        <v>5.27</v>
      </c>
      <c r="P6" s="6" t="s">
        <v>44</v>
      </c>
    </row>
    <row r="7" spans="1:19" x14ac:dyDescent="0.35">
      <c r="A7" s="5">
        <v>6</v>
      </c>
      <c r="B7" s="5">
        <v>19</v>
      </c>
      <c r="C7" s="5">
        <v>1</v>
      </c>
      <c r="D7" s="7">
        <f t="shared" si="0"/>
        <v>20828.12</v>
      </c>
      <c r="E7" s="8">
        <f t="shared" si="1"/>
        <v>520.70299999999997</v>
      </c>
      <c r="F7" s="10">
        <v>18</v>
      </c>
      <c r="G7" s="5">
        <v>15</v>
      </c>
      <c r="H7" s="11">
        <v>2.94</v>
      </c>
      <c r="I7" s="5">
        <v>3.94</v>
      </c>
      <c r="J7" s="11">
        <v>5.38</v>
      </c>
      <c r="K7" s="10">
        <v>5.96</v>
      </c>
      <c r="L7" s="5">
        <v>1.94</v>
      </c>
      <c r="M7" s="5">
        <v>2.93</v>
      </c>
      <c r="N7" s="11">
        <v>4.21</v>
      </c>
      <c r="O7" s="10">
        <v>5.39</v>
      </c>
      <c r="P7" s="6" t="s">
        <v>61</v>
      </c>
    </row>
    <row r="8" spans="1:19" x14ac:dyDescent="0.35">
      <c r="A8" s="5">
        <v>7</v>
      </c>
      <c r="B8" s="5">
        <v>25</v>
      </c>
      <c r="C8" s="5">
        <v>1</v>
      </c>
      <c r="D8" s="7">
        <f t="shared" si="0"/>
        <v>26117</v>
      </c>
      <c r="E8" s="8">
        <f t="shared" si="1"/>
        <v>652.92500000000007</v>
      </c>
      <c r="F8" s="10">
        <v>18</v>
      </c>
      <c r="G8" s="5">
        <v>15</v>
      </c>
      <c r="H8" s="11">
        <v>2.96</v>
      </c>
      <c r="I8" s="5">
        <v>3.77</v>
      </c>
      <c r="J8" s="11">
        <v>5.0599999999999996</v>
      </c>
      <c r="K8" s="10">
        <v>5.9</v>
      </c>
      <c r="L8" s="5">
        <v>2.0699999999999998</v>
      </c>
      <c r="M8" s="5">
        <v>3.02</v>
      </c>
      <c r="N8" s="11">
        <v>4.13</v>
      </c>
      <c r="O8" s="10">
        <v>5.44</v>
      </c>
      <c r="P8" s="6" t="s">
        <v>45</v>
      </c>
    </row>
    <row r="9" spans="1:19" x14ac:dyDescent="0.35">
      <c r="A9" s="5">
        <v>8</v>
      </c>
      <c r="B9" s="5">
        <v>27</v>
      </c>
      <c r="C9" s="5">
        <v>1</v>
      </c>
      <c r="D9" s="7">
        <f t="shared" si="0"/>
        <v>27879.96</v>
      </c>
      <c r="E9" s="8">
        <f t="shared" si="1"/>
        <v>696.99900000000002</v>
      </c>
      <c r="F9" s="10">
        <v>18</v>
      </c>
      <c r="G9" s="5">
        <v>15</v>
      </c>
      <c r="H9" s="11">
        <v>2.92</v>
      </c>
      <c r="I9" s="5">
        <v>3.67</v>
      </c>
      <c r="J9" s="11">
        <v>4.8600000000000003</v>
      </c>
      <c r="K9" s="10">
        <v>5.26</v>
      </c>
      <c r="L9" s="5">
        <v>2.0299999999999998</v>
      </c>
      <c r="M9" s="5">
        <v>3.02</v>
      </c>
      <c r="N9" s="11">
        <v>4.05</v>
      </c>
      <c r="O9" s="10">
        <v>4.92</v>
      </c>
      <c r="P9" s="6" t="s">
        <v>62</v>
      </c>
    </row>
    <row r="10" spans="1:19" x14ac:dyDescent="0.35">
      <c r="A10" s="5"/>
      <c r="B10" s="5"/>
      <c r="C10" s="5"/>
      <c r="D10" s="7"/>
      <c r="E10" s="5"/>
      <c r="F10" s="5"/>
      <c r="G10" s="5"/>
      <c r="P10" s="6"/>
    </row>
    <row r="11" spans="1:19" x14ac:dyDescent="0.35">
      <c r="A11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5"/>
  <sheetViews>
    <sheetView workbookViewId="0">
      <selection activeCell="G1" sqref="G1:G10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10.81640625" bestFit="1" customWidth="1"/>
    <col min="8" max="8" width="12.81640625" style="5" bestFit="1" customWidth="1"/>
    <col min="9" max="9" width="12.1796875" bestFit="1" customWidth="1"/>
    <col min="10" max="10" width="12.1796875" style="5" bestFit="1" customWidth="1"/>
    <col min="11" max="11" width="13.1796875" style="5" bestFit="1" customWidth="1"/>
    <col min="12" max="12" width="12.81640625" style="5" bestFit="1" customWidth="1"/>
    <col min="13" max="14" width="12.1796875" style="5" bestFit="1" customWidth="1"/>
    <col min="15" max="15" width="13.1796875" style="5" bestFit="1" customWidth="1"/>
    <col min="16" max="16" width="24.1796875" bestFit="1" customWidth="1"/>
    <col min="17" max="17" width="5.26953125" customWidth="1"/>
  </cols>
  <sheetData>
    <row r="1" spans="1:19" x14ac:dyDescent="0.35">
      <c r="A1" s="5" t="s">
        <v>101</v>
      </c>
      <c r="B1" s="5" t="s">
        <v>34</v>
      </c>
      <c r="C1" s="5" t="s">
        <v>2</v>
      </c>
      <c r="D1" s="5" t="s">
        <v>3</v>
      </c>
      <c r="E1" s="5" t="s">
        <v>17</v>
      </c>
      <c r="F1" s="15" t="s">
        <v>8</v>
      </c>
      <c r="G1" s="10" t="s">
        <v>16</v>
      </c>
      <c r="H1" s="5" t="s">
        <v>79</v>
      </c>
      <c r="I1" s="5" t="s">
        <v>86</v>
      </c>
      <c r="J1" s="5" t="s">
        <v>81</v>
      </c>
      <c r="K1" s="10" t="s">
        <v>82</v>
      </c>
      <c r="L1" s="5" t="s">
        <v>80</v>
      </c>
      <c r="M1" s="5" t="s">
        <v>85</v>
      </c>
      <c r="N1" s="11" t="s">
        <v>83</v>
      </c>
      <c r="O1" s="10" t="s">
        <v>84</v>
      </c>
      <c r="P1" s="5" t="s">
        <v>100</v>
      </c>
      <c r="R1" s="5" t="s">
        <v>102</v>
      </c>
      <c r="S1" s="5" t="s">
        <v>98</v>
      </c>
    </row>
    <row r="2" spans="1:19" x14ac:dyDescent="0.35">
      <c r="A2" s="5">
        <v>1</v>
      </c>
      <c r="B2" s="5">
        <v>6</v>
      </c>
      <c r="C2" s="5">
        <v>1</v>
      </c>
      <c r="D2" s="7">
        <f>$R$2+$S$2*B2</f>
        <v>12748.86</v>
      </c>
      <c r="E2" s="9">
        <f>D2*0.025</f>
        <v>318.72150000000005</v>
      </c>
      <c r="F2" s="15">
        <v>20</v>
      </c>
      <c r="G2" s="10">
        <v>15</v>
      </c>
      <c r="H2" s="11">
        <v>4.33</v>
      </c>
      <c r="I2" s="5">
        <v>4.51</v>
      </c>
      <c r="J2" s="11">
        <v>4.6900000000000004</v>
      </c>
      <c r="K2" s="10">
        <v>4.87</v>
      </c>
      <c r="L2" s="5">
        <v>2.85</v>
      </c>
      <c r="M2" s="5">
        <v>3.25</v>
      </c>
      <c r="N2" s="11">
        <v>3.64</v>
      </c>
      <c r="O2" s="10">
        <v>4.0199999999999996</v>
      </c>
      <c r="P2" s="5" t="s">
        <v>70</v>
      </c>
      <c r="R2" s="5">
        <v>9060</v>
      </c>
      <c r="S2" s="5">
        <v>614.80999999999995</v>
      </c>
    </row>
    <row r="3" spans="1:19" x14ac:dyDescent="0.35">
      <c r="A3" s="5">
        <v>2</v>
      </c>
      <c r="B3" s="5">
        <v>8</v>
      </c>
      <c r="C3" s="5">
        <v>1</v>
      </c>
      <c r="D3" s="7">
        <f t="shared" ref="D3:D10" si="0">$R$2+$S$2*B3</f>
        <v>13978.48</v>
      </c>
      <c r="E3" s="9">
        <f t="shared" ref="E3:E10" si="1">D3*0.025</f>
        <v>349.46199999999999</v>
      </c>
      <c r="F3" s="15">
        <v>20</v>
      </c>
      <c r="G3" s="10">
        <v>15</v>
      </c>
      <c r="H3" s="11">
        <v>4.66</v>
      </c>
      <c r="I3" s="5">
        <v>4.87</v>
      </c>
      <c r="J3" s="11">
        <v>5.07</v>
      </c>
      <c r="K3" s="10">
        <v>5.26</v>
      </c>
      <c r="L3" s="11">
        <v>2.92</v>
      </c>
      <c r="M3" s="5">
        <v>3.43</v>
      </c>
      <c r="N3" s="11">
        <v>3.86</v>
      </c>
      <c r="O3" s="10">
        <v>4.29</v>
      </c>
      <c r="P3" s="5" t="s">
        <v>71</v>
      </c>
    </row>
    <row r="4" spans="1:19" x14ac:dyDescent="0.35">
      <c r="A4" s="5">
        <v>3</v>
      </c>
      <c r="B4" s="5">
        <v>11</v>
      </c>
      <c r="C4" s="5">
        <v>1</v>
      </c>
      <c r="D4" s="7">
        <f t="shared" si="0"/>
        <v>15822.91</v>
      </c>
      <c r="E4" s="9">
        <f t="shared" si="1"/>
        <v>395.57275000000004</v>
      </c>
      <c r="F4" s="15">
        <v>20</v>
      </c>
      <c r="G4" s="10">
        <v>15</v>
      </c>
      <c r="H4" s="11">
        <v>4.74</v>
      </c>
      <c r="I4" s="5">
        <v>4.95</v>
      </c>
      <c r="J4" s="11">
        <v>5.14</v>
      </c>
      <c r="K4" s="10">
        <v>5.34</v>
      </c>
      <c r="L4" s="5">
        <v>3.09</v>
      </c>
      <c r="M4" s="5">
        <v>3.55</v>
      </c>
      <c r="N4" s="11">
        <v>3.98</v>
      </c>
      <c r="O4" s="10">
        <v>4.41</v>
      </c>
      <c r="P4" s="5" t="s">
        <v>72</v>
      </c>
    </row>
    <row r="5" spans="1:19" x14ac:dyDescent="0.35">
      <c r="A5" s="5">
        <v>4</v>
      </c>
      <c r="B5" s="5">
        <v>13</v>
      </c>
      <c r="C5" s="5">
        <v>1</v>
      </c>
      <c r="D5" s="7">
        <f t="shared" si="0"/>
        <v>17052.53</v>
      </c>
      <c r="E5" s="9">
        <f t="shared" si="1"/>
        <v>426.31324999999998</v>
      </c>
      <c r="F5" s="15">
        <v>20</v>
      </c>
      <c r="G5" s="10">
        <v>15</v>
      </c>
      <c r="H5" s="11">
        <v>4.67</v>
      </c>
      <c r="I5" s="5">
        <v>4.88</v>
      </c>
      <c r="J5" s="11">
        <v>5.08</v>
      </c>
      <c r="K5" s="10">
        <v>5.27</v>
      </c>
      <c r="L5" s="5">
        <v>2.98</v>
      </c>
      <c r="M5" s="5">
        <v>3.45</v>
      </c>
      <c r="N5" s="11">
        <v>3.89</v>
      </c>
      <c r="O5" s="10">
        <v>4.32</v>
      </c>
      <c r="P5" s="5" t="s">
        <v>73</v>
      </c>
    </row>
    <row r="6" spans="1:19" x14ac:dyDescent="0.35">
      <c r="A6" s="5">
        <v>5</v>
      </c>
      <c r="B6" s="5">
        <v>17</v>
      </c>
      <c r="C6" s="5">
        <v>1</v>
      </c>
      <c r="D6" s="7">
        <f t="shared" si="0"/>
        <v>19511.769999999997</v>
      </c>
      <c r="E6" s="9">
        <f t="shared" si="1"/>
        <v>487.79424999999992</v>
      </c>
      <c r="F6" s="15">
        <v>20</v>
      </c>
      <c r="G6" s="10">
        <v>15</v>
      </c>
      <c r="H6" s="11">
        <v>4.7</v>
      </c>
      <c r="I6" s="2">
        <v>4.9000000000000004</v>
      </c>
      <c r="J6" s="11">
        <v>5.0999999999999996</v>
      </c>
      <c r="K6" s="13">
        <v>5.3</v>
      </c>
      <c r="L6" s="2">
        <v>3</v>
      </c>
      <c r="M6" s="2">
        <v>3.5</v>
      </c>
      <c r="N6" s="14">
        <v>3.9</v>
      </c>
      <c r="O6" s="13">
        <v>4.3</v>
      </c>
      <c r="P6" s="5" t="s">
        <v>78</v>
      </c>
    </row>
    <row r="7" spans="1:19" x14ac:dyDescent="0.35">
      <c r="A7" s="5">
        <v>6</v>
      </c>
      <c r="B7" s="5">
        <v>21</v>
      </c>
      <c r="C7" s="5">
        <v>1</v>
      </c>
      <c r="D7" s="7">
        <f t="shared" si="0"/>
        <v>21971.01</v>
      </c>
      <c r="E7" s="9">
        <f t="shared" si="1"/>
        <v>549.27525000000003</v>
      </c>
      <c r="F7" s="15">
        <v>20</v>
      </c>
      <c r="G7" s="10">
        <v>15</v>
      </c>
      <c r="H7" s="11">
        <v>4.8099999999999996</v>
      </c>
      <c r="I7" s="5">
        <v>5.54</v>
      </c>
      <c r="J7" s="2">
        <v>5.94</v>
      </c>
      <c r="K7" s="12">
        <v>6.34</v>
      </c>
      <c r="L7" s="2">
        <v>3.31</v>
      </c>
      <c r="M7" s="5">
        <v>4.3099999999999996</v>
      </c>
      <c r="N7" s="2">
        <v>4.9400000000000004</v>
      </c>
      <c r="O7" s="12">
        <v>5.63</v>
      </c>
      <c r="P7" s="5" t="s">
        <v>74</v>
      </c>
    </row>
    <row r="8" spans="1:19" x14ac:dyDescent="0.35">
      <c r="A8" s="5">
        <v>7</v>
      </c>
      <c r="B8" s="5">
        <v>28</v>
      </c>
      <c r="C8" s="5">
        <v>1</v>
      </c>
      <c r="D8" s="7">
        <f t="shared" si="0"/>
        <v>26274.68</v>
      </c>
      <c r="E8" s="9">
        <f t="shared" si="1"/>
        <v>656.86700000000008</v>
      </c>
      <c r="F8" s="15">
        <v>20</v>
      </c>
      <c r="G8" s="10">
        <v>15</v>
      </c>
      <c r="H8" s="11">
        <v>4.75</v>
      </c>
      <c r="I8" s="5">
        <v>5.49</v>
      </c>
      <c r="J8" s="11">
        <v>5.91</v>
      </c>
      <c r="K8" s="10">
        <v>6.31</v>
      </c>
      <c r="L8" s="5">
        <v>3.49</v>
      </c>
      <c r="M8" s="5">
        <v>4.32</v>
      </c>
      <c r="N8" s="11">
        <v>4.9800000000000004</v>
      </c>
      <c r="O8" s="10">
        <v>5.63</v>
      </c>
      <c r="P8" s="5" t="s">
        <v>75</v>
      </c>
    </row>
    <row r="9" spans="1:19" x14ac:dyDescent="0.35">
      <c r="A9" s="5">
        <v>8</v>
      </c>
      <c r="B9" s="5">
        <v>36</v>
      </c>
      <c r="C9" s="5">
        <v>1</v>
      </c>
      <c r="D9" s="7">
        <f t="shared" si="0"/>
        <v>31193.159999999996</v>
      </c>
      <c r="E9" s="9">
        <f t="shared" si="1"/>
        <v>779.82899999999995</v>
      </c>
      <c r="F9" s="15">
        <v>20</v>
      </c>
      <c r="G9" s="10">
        <v>15</v>
      </c>
      <c r="H9" s="11">
        <v>4.74</v>
      </c>
      <c r="I9" s="5">
        <v>5.39</v>
      </c>
      <c r="J9" s="11">
        <v>5.71</v>
      </c>
      <c r="K9" s="10">
        <v>6.03</v>
      </c>
      <c r="L9" s="5">
        <v>3.37</v>
      </c>
      <c r="M9" s="5">
        <v>4.38</v>
      </c>
      <c r="N9" s="11">
        <v>4.95</v>
      </c>
      <c r="O9" s="10">
        <v>5.49</v>
      </c>
      <c r="P9" s="5" t="s">
        <v>76</v>
      </c>
    </row>
    <row r="10" spans="1:19" x14ac:dyDescent="0.35">
      <c r="A10" s="5">
        <v>9</v>
      </c>
      <c r="B10" s="5">
        <v>47</v>
      </c>
      <c r="C10" s="5">
        <v>1</v>
      </c>
      <c r="D10" s="7">
        <f t="shared" si="0"/>
        <v>37956.069999999992</v>
      </c>
      <c r="E10" s="9">
        <f t="shared" si="1"/>
        <v>948.90174999999988</v>
      </c>
      <c r="F10" s="15">
        <v>20</v>
      </c>
      <c r="G10" s="10">
        <v>15</v>
      </c>
      <c r="H10" s="11">
        <v>4.55</v>
      </c>
      <c r="I10" s="5">
        <v>5.17</v>
      </c>
      <c r="J10" s="11">
        <v>5.46</v>
      </c>
      <c r="K10" s="10">
        <v>5.76</v>
      </c>
      <c r="L10" s="11">
        <v>3.54</v>
      </c>
      <c r="M10" s="5">
        <v>4.3099999999999996</v>
      </c>
      <c r="N10" s="11">
        <v>4.82</v>
      </c>
      <c r="O10" s="10">
        <v>5.28</v>
      </c>
      <c r="P10" s="5" t="s">
        <v>77</v>
      </c>
    </row>
    <row r="11" spans="1:19" x14ac:dyDescent="0.35">
      <c r="F11" s="15"/>
    </row>
    <row r="14" spans="1:19" x14ac:dyDescent="0.35">
      <c r="F14" s="15"/>
    </row>
    <row r="15" spans="1:19" x14ac:dyDescent="0.35">
      <c r="H15" s="1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B4" sqref="B4"/>
    </sheetView>
  </sheetViews>
  <sheetFormatPr baseColWidth="10" defaultRowHeight="14.5" x14ac:dyDescent="0.35"/>
  <cols>
    <col min="1" max="1" width="8.26953125" bestFit="1" customWidth="1"/>
    <col min="2" max="2" width="12.81640625" bestFit="1" customWidth="1"/>
    <col min="3" max="3" width="10.81640625" bestFit="1" customWidth="1"/>
    <col min="4" max="4" width="14.26953125" customWidth="1"/>
    <col min="5" max="5" width="13.54296875" bestFit="1" customWidth="1"/>
    <col min="6" max="6" width="9.1796875" bestFit="1" customWidth="1"/>
    <col min="7" max="7" width="11.7265625" bestFit="1" customWidth="1"/>
    <col min="8" max="8" width="14.453125" customWidth="1"/>
    <col min="9" max="9" width="17.26953125" bestFit="1" customWidth="1"/>
    <col min="10" max="10" width="45.54296875" bestFit="1" customWidth="1"/>
  </cols>
  <sheetData>
    <row r="1" spans="1:10" x14ac:dyDescent="0.35">
      <c r="A1" t="s">
        <v>0</v>
      </c>
      <c r="B1" t="s">
        <v>35</v>
      </c>
      <c r="C1" t="s">
        <v>3</v>
      </c>
      <c r="D1" t="s">
        <v>17</v>
      </c>
      <c r="E1" t="s">
        <v>8</v>
      </c>
      <c r="F1" t="s">
        <v>66</v>
      </c>
      <c r="G1" t="s">
        <v>9</v>
      </c>
      <c r="H1" t="s">
        <v>10</v>
      </c>
      <c r="I1" t="s">
        <v>36</v>
      </c>
      <c r="J1" t="s">
        <v>7</v>
      </c>
    </row>
    <row r="2" spans="1:10" x14ac:dyDescent="0.35">
      <c r="A2">
        <v>1</v>
      </c>
      <c r="B2" s="1">
        <v>0.20499999999999999</v>
      </c>
      <c r="C2" s="2">
        <v>350</v>
      </c>
      <c r="D2">
        <f t="shared" ref="D2" si="0">C2*0.01</f>
        <v>3.5</v>
      </c>
      <c r="E2">
        <v>20</v>
      </c>
      <c r="F2" s="1">
        <v>1.64</v>
      </c>
      <c r="G2">
        <v>45</v>
      </c>
      <c r="H2">
        <v>-0.43</v>
      </c>
      <c r="I2">
        <v>0.28000000000000003</v>
      </c>
      <c r="J2" t="s">
        <v>22</v>
      </c>
    </row>
    <row r="3" spans="1:10" x14ac:dyDescent="0.35">
      <c r="A3" s="5">
        <v>2</v>
      </c>
      <c r="B3" s="1">
        <v>0.20499999999999999</v>
      </c>
      <c r="C3" s="2">
        <v>350</v>
      </c>
      <c r="D3" s="5">
        <f t="shared" ref="D3" si="1">C3*0.01</f>
        <v>3.5</v>
      </c>
      <c r="E3" s="5">
        <v>20</v>
      </c>
      <c r="F3" s="1">
        <v>1.64</v>
      </c>
      <c r="G3" s="5">
        <v>45</v>
      </c>
      <c r="H3" s="5">
        <v>-0.43</v>
      </c>
      <c r="I3" s="5">
        <v>0.28000000000000003</v>
      </c>
      <c r="J3" s="5" t="s">
        <v>22</v>
      </c>
    </row>
    <row r="5" spans="1:10" x14ac:dyDescent="0.35">
      <c r="B5" s="1"/>
      <c r="C5" s="2"/>
      <c r="F5" s="1"/>
    </row>
    <row r="6" spans="1:10" x14ac:dyDescent="0.35">
      <c r="B6" s="1"/>
      <c r="C6" s="2"/>
      <c r="F6" s="1"/>
    </row>
    <row r="7" spans="1:10" x14ac:dyDescent="0.35">
      <c r="B7" s="1"/>
      <c r="C7" s="2"/>
      <c r="F7" s="1"/>
    </row>
    <row r="8" spans="1:10" x14ac:dyDescent="0.35">
      <c r="B8" s="1"/>
      <c r="C8" s="2"/>
      <c r="F8" s="1"/>
    </row>
    <row r="9" spans="1:10" x14ac:dyDescent="0.35">
      <c r="B9" s="1"/>
      <c r="C9" s="2"/>
      <c r="F9" s="1"/>
    </row>
    <row r="10" spans="1:10" x14ac:dyDescent="0.35">
      <c r="B10" s="1"/>
      <c r="C10" s="2"/>
      <c r="F10" s="1"/>
    </row>
    <row r="11" spans="1:10" x14ac:dyDescent="0.35">
      <c r="B11" s="1"/>
      <c r="C11" s="2"/>
      <c r="F11" s="1"/>
    </row>
    <row r="12" spans="1:10" x14ac:dyDescent="0.35">
      <c r="B12" s="1"/>
      <c r="C12" s="2"/>
      <c r="F12" s="1"/>
    </row>
    <row r="13" spans="1:10" x14ac:dyDescent="0.35">
      <c r="B13" s="1"/>
      <c r="C13" s="2"/>
      <c r="F13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"/>
  <sheetViews>
    <sheetView workbookViewId="0">
      <selection activeCell="B3" sqref="B3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9.453125" bestFit="1" customWidth="1"/>
    <col min="6" max="6" width="18.453125" bestFit="1" customWidth="1"/>
    <col min="7" max="7" width="28.26953125" bestFit="1" customWidth="1"/>
    <col min="8" max="8" width="29.81640625" bestFit="1" customWidth="1"/>
    <col min="9" max="9" width="10.81640625" style="5" bestFit="1" customWidth="1"/>
    <col min="10" max="10" width="45.54296875" bestFit="1" customWidth="1"/>
  </cols>
  <sheetData>
    <row r="1" spans="1:10" x14ac:dyDescent="0.35">
      <c r="A1" t="s">
        <v>0</v>
      </c>
      <c r="B1" t="s">
        <v>3</v>
      </c>
      <c r="C1" t="s">
        <v>17</v>
      </c>
      <c r="D1" t="s">
        <v>8</v>
      </c>
      <c r="E1" t="s">
        <v>65</v>
      </c>
      <c r="F1" t="s">
        <v>11</v>
      </c>
      <c r="G1" t="s">
        <v>63</v>
      </c>
      <c r="H1" t="s">
        <v>64</v>
      </c>
      <c r="I1" s="10" t="s">
        <v>16</v>
      </c>
      <c r="J1" t="s">
        <v>7</v>
      </c>
    </row>
    <row r="2" spans="1:10" x14ac:dyDescent="0.35">
      <c r="A2">
        <v>1</v>
      </c>
      <c r="B2" s="2">
        <v>843</v>
      </c>
      <c r="C2">
        <f t="shared" ref="C2" si="0">B2*0.015</f>
        <v>12.645</v>
      </c>
      <c r="D2">
        <v>20</v>
      </c>
      <c r="E2">
        <v>2</v>
      </c>
      <c r="F2">
        <v>0.80400000000000005</v>
      </c>
      <c r="G2">
        <v>3.235E-3</v>
      </c>
      <c r="H2" s="17">
        <v>1.17E-5</v>
      </c>
      <c r="I2" s="10">
        <v>15</v>
      </c>
      <c r="J2" t="s">
        <v>23</v>
      </c>
    </row>
    <row r="3" spans="1:10" x14ac:dyDescent="0.35">
      <c r="B3" s="2"/>
      <c r="I3" s="10"/>
    </row>
    <row r="4" spans="1:10" x14ac:dyDescent="0.35">
      <c r="B4" s="2"/>
      <c r="I4" s="10"/>
    </row>
    <row r="5" spans="1:10" x14ac:dyDescent="0.35">
      <c r="B5" s="2"/>
      <c r="I5" s="10"/>
    </row>
    <row r="6" spans="1:10" x14ac:dyDescent="0.35">
      <c r="B6" s="2"/>
      <c r="I6" s="10"/>
    </row>
    <row r="7" spans="1:10" x14ac:dyDescent="0.35">
      <c r="I7" s="10"/>
    </row>
    <row r="8" spans="1:10" x14ac:dyDescent="0.35">
      <c r="I8" s="10"/>
    </row>
    <row r="9" spans="1:10" x14ac:dyDescent="0.35">
      <c r="I9" s="10"/>
    </row>
    <row r="10" spans="1:10" x14ac:dyDescent="0.35">
      <c r="I10" s="10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workbookViewId="0">
      <selection activeCell="H1" sqref="H1:H1048576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24" bestFit="1" customWidth="1"/>
    <col min="6" max="6" width="12.54296875" bestFit="1" customWidth="1"/>
    <col min="7" max="7" width="9.453125" bestFit="1" customWidth="1"/>
    <col min="8" max="8" width="10.7265625" customWidth="1"/>
    <col min="9" max="9" width="11.54296875" style="5" bestFit="1" customWidth="1"/>
    <col min="10" max="10" width="40.54296875" bestFit="1" customWidth="1"/>
  </cols>
  <sheetData>
    <row r="1" spans="1:11" x14ac:dyDescent="0.35">
      <c r="A1" t="s">
        <v>0</v>
      </c>
      <c r="B1" t="s">
        <v>3</v>
      </c>
      <c r="C1" t="s">
        <v>17</v>
      </c>
      <c r="D1" t="s">
        <v>8</v>
      </c>
      <c r="E1" t="s">
        <v>15</v>
      </c>
      <c r="F1" t="s">
        <v>12</v>
      </c>
      <c r="G1" t="s">
        <v>13</v>
      </c>
      <c r="H1" t="s">
        <v>14</v>
      </c>
      <c r="I1" s="5" t="s">
        <v>103</v>
      </c>
      <c r="J1" t="s">
        <v>7</v>
      </c>
    </row>
    <row r="2" spans="1:11" x14ac:dyDescent="0.35">
      <c r="A2">
        <v>1</v>
      </c>
      <c r="B2">
        <v>585</v>
      </c>
      <c r="C2">
        <v>11.7</v>
      </c>
      <c r="D2">
        <v>20</v>
      </c>
      <c r="E2">
        <v>1.1000000000000001</v>
      </c>
      <c r="F2">
        <v>0.12</v>
      </c>
      <c r="G2">
        <v>1</v>
      </c>
      <c r="H2">
        <v>1</v>
      </c>
      <c r="I2" s="5">
        <v>30</v>
      </c>
      <c r="J2" t="s">
        <v>24</v>
      </c>
      <c r="K2" t="s">
        <v>29</v>
      </c>
    </row>
    <row r="3" spans="1:11" x14ac:dyDescent="0.35">
      <c r="A3">
        <v>2</v>
      </c>
      <c r="B3">
        <v>735</v>
      </c>
      <c r="C3">
        <v>14.7</v>
      </c>
      <c r="D3">
        <v>20</v>
      </c>
      <c r="E3">
        <v>2.2000000000000002</v>
      </c>
      <c r="F3">
        <v>0.5</v>
      </c>
      <c r="G3">
        <v>1</v>
      </c>
      <c r="H3">
        <v>1</v>
      </c>
      <c r="I3" s="5">
        <v>30</v>
      </c>
      <c r="J3" t="s">
        <v>26</v>
      </c>
      <c r="K3" t="s">
        <v>31</v>
      </c>
    </row>
    <row r="4" spans="1:11" x14ac:dyDescent="0.35">
      <c r="A4">
        <v>3</v>
      </c>
      <c r="B4">
        <v>1075</v>
      </c>
      <c r="C4">
        <v>21.5</v>
      </c>
      <c r="D4">
        <v>20</v>
      </c>
      <c r="E4">
        <v>3.23</v>
      </c>
      <c r="F4">
        <v>1</v>
      </c>
      <c r="G4">
        <v>1</v>
      </c>
      <c r="H4">
        <v>1</v>
      </c>
      <c r="I4" s="5">
        <v>30</v>
      </c>
      <c r="J4" t="s">
        <v>27</v>
      </c>
      <c r="K4" t="s">
        <v>32</v>
      </c>
    </row>
    <row r="5" spans="1:11" x14ac:dyDescent="0.35">
      <c r="A5">
        <v>4</v>
      </c>
      <c r="B5">
        <v>1580</v>
      </c>
      <c r="C5">
        <v>31.6</v>
      </c>
      <c r="D5">
        <v>20</v>
      </c>
      <c r="E5">
        <v>3.89</v>
      </c>
      <c r="F5">
        <v>1.5</v>
      </c>
      <c r="G5">
        <v>1</v>
      </c>
      <c r="H5">
        <v>1</v>
      </c>
      <c r="I5" s="5">
        <v>30</v>
      </c>
      <c r="J5" t="s">
        <v>28</v>
      </c>
      <c r="K5" t="s">
        <v>33</v>
      </c>
    </row>
    <row r="6" spans="1:11" x14ac:dyDescent="0.35">
      <c r="A6" s="5">
        <v>5</v>
      </c>
      <c r="B6">
        <v>1710</v>
      </c>
      <c r="C6">
        <v>34.200000000000003</v>
      </c>
      <c r="D6">
        <v>20</v>
      </c>
      <c r="E6">
        <v>5.4</v>
      </c>
      <c r="F6">
        <v>2</v>
      </c>
      <c r="G6">
        <v>1</v>
      </c>
      <c r="H6">
        <v>1</v>
      </c>
      <c r="I6" s="5">
        <v>30</v>
      </c>
      <c r="J6" t="s">
        <v>25</v>
      </c>
      <c r="K6" t="s">
        <v>30</v>
      </c>
    </row>
    <row r="7" spans="1:11" x14ac:dyDescent="0.35">
      <c r="A7" s="5">
        <v>6</v>
      </c>
      <c r="B7">
        <v>1835</v>
      </c>
      <c r="C7">
        <v>36.700000000000003</v>
      </c>
      <c r="D7">
        <v>20</v>
      </c>
      <c r="E7">
        <v>5.8</v>
      </c>
      <c r="F7">
        <v>2.5</v>
      </c>
      <c r="G7">
        <v>1</v>
      </c>
      <c r="H7">
        <v>1</v>
      </c>
      <c r="I7" s="5">
        <v>30</v>
      </c>
      <c r="J7" t="s">
        <v>37</v>
      </c>
      <c r="K7" t="s">
        <v>38</v>
      </c>
    </row>
    <row r="8" spans="1:11" x14ac:dyDescent="0.35">
      <c r="A8" s="5">
        <v>7</v>
      </c>
      <c r="B8">
        <v>2080</v>
      </c>
      <c r="C8">
        <v>41.6</v>
      </c>
      <c r="D8">
        <v>20</v>
      </c>
      <c r="E8">
        <v>6.1</v>
      </c>
      <c r="F8">
        <v>3</v>
      </c>
      <c r="G8">
        <v>1</v>
      </c>
      <c r="H8">
        <v>1</v>
      </c>
      <c r="I8" s="5">
        <v>30</v>
      </c>
      <c r="J8" t="s">
        <v>39</v>
      </c>
      <c r="K8" t="s">
        <v>38</v>
      </c>
    </row>
    <row r="9" spans="1:11" x14ac:dyDescent="0.35">
      <c r="A9" s="5">
        <v>8</v>
      </c>
      <c r="B9">
        <v>2955</v>
      </c>
      <c r="C9">
        <v>59.1</v>
      </c>
      <c r="D9">
        <v>20</v>
      </c>
      <c r="E9">
        <v>9.3000000000000007</v>
      </c>
      <c r="F9">
        <v>4</v>
      </c>
      <c r="G9">
        <v>1</v>
      </c>
      <c r="H9">
        <v>1</v>
      </c>
      <c r="I9" s="5">
        <v>30</v>
      </c>
      <c r="J9" t="s">
        <v>40</v>
      </c>
      <c r="K9" t="s">
        <v>38</v>
      </c>
    </row>
    <row r="10" spans="1:11" x14ac:dyDescent="0.35">
      <c r="A10" s="5">
        <v>9</v>
      </c>
      <c r="B10">
        <v>3415</v>
      </c>
      <c r="C10">
        <v>68.3</v>
      </c>
      <c r="D10">
        <v>20</v>
      </c>
      <c r="E10">
        <v>11.2</v>
      </c>
      <c r="F10">
        <v>5</v>
      </c>
      <c r="G10">
        <v>1</v>
      </c>
      <c r="H10">
        <v>1</v>
      </c>
      <c r="I10" s="5">
        <v>30</v>
      </c>
      <c r="J10" t="s">
        <v>41</v>
      </c>
      <c r="K10" t="s">
        <v>38</v>
      </c>
    </row>
    <row r="11" spans="1:11" x14ac:dyDescent="0.35">
      <c r="A11" s="5">
        <v>10</v>
      </c>
      <c r="B11">
        <v>5130</v>
      </c>
      <c r="C11">
        <v>102.6</v>
      </c>
      <c r="D11">
        <v>20</v>
      </c>
      <c r="E11">
        <v>18.3</v>
      </c>
      <c r="F11">
        <v>7.5</v>
      </c>
      <c r="G11">
        <v>1</v>
      </c>
      <c r="H11">
        <v>1</v>
      </c>
      <c r="I11" s="5">
        <v>30</v>
      </c>
      <c r="J11" t="s">
        <v>42</v>
      </c>
      <c r="K11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boiler</vt:lpstr>
      <vt:lpstr>pellet</vt:lpstr>
      <vt:lpstr>chp</vt:lpstr>
      <vt:lpstr>eh</vt:lpstr>
      <vt:lpstr>hp_air</vt:lpstr>
      <vt:lpstr>hp_geo</vt:lpstr>
      <vt:lpstr>pv</vt:lpstr>
      <vt:lpstr>stc</vt:lpstr>
      <vt:lpstr>tes</vt:lpstr>
      <vt:lpstr>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Schütz</dc:creator>
  <cp:lastModifiedBy>Florian Pontzen</cp:lastModifiedBy>
  <dcterms:created xsi:type="dcterms:W3CDTF">2015-09-20T16:43:17Z</dcterms:created>
  <dcterms:modified xsi:type="dcterms:W3CDTF">2019-11-08T11:04:51Z</dcterms:modified>
</cp:coreProperties>
</file>