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rah\OneDrive\Desktop\Excel-curso\14-arquivos-excel\"/>
    </mc:Choice>
  </mc:AlternateContent>
  <xr:revisionPtr revIDLastSave="0" documentId="13_ncr:1_{CC6CC22A-74B4-4200-9C8A-F2F740085EC2}" xr6:coauthVersionLast="47" xr6:coauthVersionMax="47" xr10:uidLastSave="{00000000-0000-0000-0000-000000000000}"/>
  <bookViews>
    <workbookView xWindow="17640" yWindow="0" windowWidth="20865" windowHeight="15585" firstSheet="2" activeTab="6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Caixa" sheetId="7" r:id="rId7"/>
    <sheet name="RegistroSaídasCaixa" sheetId="8" r:id="rId8"/>
    <sheet name="FluxoCaixaResultadoMensal" sheetId="9" r:id="rId9"/>
    <sheet name="DetalhamentoReceita" sheetId="10" r:id="rId10"/>
    <sheet name="DetalhamentoDespesa" sheetId="11" r:id="rId11"/>
    <sheet name="ContasPagar" sheetId="12" r:id="rId12"/>
    <sheet name="ContasReceber" sheetId="13" r:id="rId13"/>
    <sheet name="ContasReceberVencidas" sheetId="14" r:id="rId14"/>
    <sheet name="DashboardFinanceiroAnual" sheetId="15" r:id="rId15"/>
    <sheet name="DashboardAnualID" sheetId="17" r:id="rId16"/>
  </sheets>
  <definedNames>
    <definedName name="PCEntradasN1_Nível_1">TbPCEntradasN1[Nível 1]</definedName>
    <definedName name="PCEntradasN2_Nível_1">Tabela2[Nível 1]</definedName>
    <definedName name="PCEntradasN2_Nível_2">Tabela2[Nível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91029"/>
  <pivotCaches>
    <pivotCache cacheId="26" r:id="rId17"/>
    <pivotCache cacheId="56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7" l="1"/>
  <c r="H30" i="17"/>
  <c r="H33" i="17" s="1"/>
  <c r="B27" i="17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B22" i="17"/>
  <c r="C4" i="17"/>
  <c r="B32" i="17" s="1"/>
  <c r="J4" i="17"/>
  <c r="L3" i="1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/>
  <c r="N5" i="8"/>
  <c r="N6" i="8"/>
  <c r="N7" i="8"/>
  <c r="N8" i="8"/>
  <c r="N9" i="8"/>
  <c r="N10" i="8"/>
  <c r="N11" i="8"/>
  <c r="N12" i="8"/>
  <c r="N13" i="8"/>
  <c r="D13" i="17" s="1"/>
  <c r="B8" i="15" s="1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G8" i="17" s="1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4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4" i="8"/>
  <c r="J5" i="8"/>
  <c r="C10" i="17" s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H39" i="17" l="1"/>
  <c r="H36" i="17"/>
  <c r="H31" i="17"/>
  <c r="H35" i="17"/>
  <c r="H40" i="17"/>
  <c r="H32" i="17"/>
  <c r="H42" i="17"/>
  <c r="H38" i="17"/>
  <c r="H34" i="17"/>
  <c r="H41" i="17"/>
  <c r="H37" i="17"/>
  <c r="D32" i="17"/>
  <c r="C32" i="17"/>
  <c r="G26" i="17"/>
  <c r="H26" i="17"/>
  <c r="I26" i="17"/>
  <c r="D27" i="17"/>
  <c r="C27" i="17"/>
  <c r="G15" i="17"/>
  <c r="G11" i="17"/>
  <c r="G7" i="17"/>
  <c r="G14" i="17"/>
  <c r="G10" i="17"/>
  <c r="G6" i="17"/>
  <c r="G5" i="17"/>
  <c r="G13" i="17"/>
  <c r="G9" i="17"/>
  <c r="G16" i="17"/>
  <c r="G12" i="17"/>
  <c r="D22" i="17"/>
  <c r="H9" i="17"/>
  <c r="D14" i="17"/>
  <c r="B11" i="15" s="1"/>
  <c r="C9" i="17"/>
  <c r="H13" i="17"/>
  <c r="H6" i="17"/>
  <c r="C22" i="17"/>
  <c r="J9" i="17"/>
  <c r="K9" i="17" s="1"/>
  <c r="H5" i="17"/>
  <c r="H16" i="17"/>
  <c r="H12" i="17"/>
  <c r="H8" i="17"/>
  <c r="C8" i="17"/>
  <c r="C11" i="17" s="1"/>
  <c r="B5" i="15" s="1"/>
  <c r="H15" i="17"/>
  <c r="H11" i="17"/>
  <c r="H7" i="17"/>
  <c r="H14" i="17"/>
  <c r="H10" i="17"/>
  <c r="J16" i="17"/>
  <c r="K16" i="17" s="1"/>
  <c r="J12" i="17"/>
  <c r="K12" i="17" s="1"/>
  <c r="J8" i="17"/>
  <c r="K8" i="17" s="1"/>
  <c r="J15" i="17"/>
  <c r="K15" i="17" s="1"/>
  <c r="J11" i="17"/>
  <c r="K11" i="17" s="1"/>
  <c r="J7" i="17"/>
  <c r="K7" i="17" s="1"/>
  <c r="J14" i="17"/>
  <c r="K14" i="17" s="1"/>
  <c r="J10" i="17"/>
  <c r="K10" i="17" s="1"/>
  <c r="J6" i="17"/>
  <c r="K6" i="17" s="1"/>
  <c r="J5" i="17"/>
  <c r="J13" i="17"/>
  <c r="K13" i="17" s="1"/>
  <c r="N16" i="9"/>
  <c r="N22" i="9" s="1"/>
  <c r="K16" i="9"/>
  <c r="K22" i="9" s="1"/>
  <c r="L16" i="9"/>
  <c r="L22" i="9" s="1"/>
  <c r="D16" i="9"/>
  <c r="D22" i="9" s="1"/>
  <c r="H16" i="9"/>
  <c r="H22" i="9" s="1"/>
  <c r="E16" i="9"/>
  <c r="E22" i="9" s="1"/>
  <c r="I16" i="9"/>
  <c r="I22" i="9" s="1"/>
  <c r="M16" i="9"/>
  <c r="M22" i="9" s="1"/>
  <c r="F16" i="9"/>
  <c r="F22" i="9" s="1"/>
  <c r="J16" i="9"/>
  <c r="J22" i="9" s="1"/>
  <c r="C16" i="9"/>
  <c r="C22" i="9" s="1"/>
  <c r="G16" i="9"/>
  <c r="G22" i="9" s="1"/>
  <c r="I17" i="9"/>
  <c r="I23" i="9" s="1"/>
  <c r="L17" i="9"/>
  <c r="L23" i="9" s="1"/>
  <c r="C15" i="9"/>
  <c r="M17" i="9"/>
  <c r="M23" i="9" s="1"/>
  <c r="C17" i="9"/>
  <c r="C23" i="9" s="1"/>
  <c r="F17" i="9"/>
  <c r="F23" i="9" s="1"/>
  <c r="J17" i="9"/>
  <c r="J23" i="9" s="1"/>
  <c r="N17" i="9"/>
  <c r="N23" i="9" s="1"/>
  <c r="E17" i="9"/>
  <c r="E23" i="9" s="1"/>
  <c r="G17" i="9"/>
  <c r="G23" i="9" s="1"/>
  <c r="K17" i="9"/>
  <c r="K23" i="9" s="1"/>
  <c r="D17" i="9"/>
  <c r="D23" i="9" s="1"/>
  <c r="H17" i="9"/>
  <c r="H23" i="9" s="1"/>
  <c r="L10" i="9"/>
  <c r="E10" i="9"/>
  <c r="I10" i="9"/>
  <c r="M10" i="9"/>
  <c r="F10" i="9"/>
  <c r="J10" i="9"/>
  <c r="N10" i="9"/>
  <c r="C10" i="9"/>
  <c r="G10" i="9"/>
  <c r="K10" i="9"/>
  <c r="D10" i="9"/>
  <c r="H10" i="9"/>
  <c r="C8" i="9"/>
  <c r="M9" i="9"/>
  <c r="F9" i="9"/>
  <c r="J9" i="9"/>
  <c r="G9" i="9"/>
  <c r="K9" i="9"/>
  <c r="N9" i="9"/>
  <c r="C9" i="9"/>
  <c r="D9" i="9"/>
  <c r="H9" i="9"/>
  <c r="L9" i="9"/>
  <c r="E9" i="9"/>
  <c r="I9" i="9"/>
  <c r="I25" i="9" l="1"/>
  <c r="L24" i="9"/>
  <c r="E32" i="17"/>
  <c r="I14" i="15" s="1"/>
  <c r="L25" i="9"/>
  <c r="H43" i="17"/>
  <c r="K15" i="15" s="1"/>
  <c r="J26" i="17"/>
  <c r="G16" i="15" s="1"/>
  <c r="E27" i="17"/>
  <c r="F16" i="15" s="1"/>
  <c r="E22" i="17"/>
  <c r="B16" i="15" s="1"/>
  <c r="K8" i="15"/>
  <c r="K5" i="17"/>
  <c r="I24" i="9"/>
  <c r="F24" i="9"/>
  <c r="F25" i="9"/>
  <c r="H25" i="9"/>
  <c r="H24" i="9"/>
  <c r="E25" i="9"/>
  <c r="E24" i="9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C24" i="9"/>
  <c r="C25" i="9"/>
  <c r="G24" i="9"/>
  <c r="G25" i="9"/>
  <c r="D25" i="9"/>
  <c r="D24" i="9"/>
  <c r="N24" i="9"/>
  <c r="N25" i="9"/>
  <c r="M25" i="9"/>
  <c r="M24" i="9"/>
  <c r="K24" i="9"/>
  <c r="K25" i="9"/>
  <c r="J24" i="9"/>
  <c r="J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C11" i="9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<sst xmlns="http://schemas.openxmlformats.org/spreadsheetml/2006/main" count="1720" uniqueCount="614">
  <si>
    <t>FLUXO DE CAIXA EMPRESARIAL</t>
  </si>
  <si>
    <t>Sarah Campos</t>
  </si>
  <si>
    <t>Empresa</t>
  </si>
  <si>
    <t>Responsável</t>
  </si>
  <si>
    <t>Lojas Campos</t>
  </si>
  <si>
    <t>TÍTULO</t>
  </si>
  <si>
    <t>PLANO DE CONTAS DE SAÍDAS - NÍVEL 1</t>
  </si>
  <si>
    <t>PLANO DE CONTAS DE ENTRADAS - NÍVEL 1</t>
  </si>
  <si>
    <t>PLANO DE CONTAS DE ENTRADAS - NÍVEL 2</t>
  </si>
  <si>
    <t>PLANO DE CONTAS DE SAÍDAS - NÍVEL 2</t>
  </si>
  <si>
    <t>REGISTRO DAS ENTRADAS DE CAIXA</t>
  </si>
  <si>
    <t>REGISTRO DAS SAÍDAS DE CAIXA</t>
  </si>
  <si>
    <t>FLUXO DE CAIXA E RESULTADO MENSAL
REGIMES DE CAIXA E DE COMPETÊNCIA</t>
  </si>
  <si>
    <t>DETALAHAMENTO DA RECEITA</t>
  </si>
  <si>
    <t>DETALHAMENTO DA DESPESA</t>
  </si>
  <si>
    <t>CONTAS A PAGAR</t>
  </si>
  <si>
    <t>CONTAS A RECEBER</t>
  </si>
  <si>
    <t>CONTAS A RECEBER VENCIDAS</t>
  </si>
  <si>
    <t>PLANO DE CONTAS DE ENTRADAS NÍVEL 1</t>
  </si>
  <si>
    <t>Nível 1</t>
  </si>
  <si>
    <t xml:space="preserve">Empréstimos de curto prazo </t>
  </si>
  <si>
    <t xml:space="preserve">Financiamentos de longo prazo </t>
  </si>
  <si>
    <t xml:space="preserve">Receitas Financeiras </t>
  </si>
  <si>
    <t xml:space="preserve">Venda de ativos </t>
  </si>
  <si>
    <t xml:space="preserve">Vendas de mercadorias </t>
  </si>
  <si>
    <t>PLANO DE CONTAS DE ENTRADAS NÍVEL 2</t>
  </si>
  <si>
    <t>Nível 2</t>
  </si>
  <si>
    <t>Vendas de mercadorias</t>
  </si>
  <si>
    <t xml:space="preserve">Empréstimos capital de giro </t>
  </si>
  <si>
    <t xml:space="preserve">Juros sobre aplicações </t>
  </si>
  <si>
    <t xml:space="preserve">Mobiliário próprio </t>
  </si>
  <si>
    <t xml:space="preserve">Eletrodomésticos </t>
  </si>
  <si>
    <t xml:space="preserve">Informática </t>
  </si>
  <si>
    <t xml:space="preserve">Livros </t>
  </si>
  <si>
    <t xml:space="preserve">Móveis </t>
  </si>
  <si>
    <t xml:space="preserve">Som e imagem </t>
  </si>
  <si>
    <t>PLANO DE CONTAS DE SAÍDA NÍVEL 1</t>
  </si>
  <si>
    <t xml:space="preserve">Compra de mercadorias </t>
  </si>
  <si>
    <t xml:space="preserve">Despesas administrativas </t>
  </si>
  <si>
    <t xml:space="preserve">Despesas comerciais </t>
  </si>
  <si>
    <t xml:space="preserve">Despesas financeiras </t>
  </si>
  <si>
    <t xml:space="preserve">Imposto de renda </t>
  </si>
  <si>
    <t>Impostos sobre as vendas</t>
  </si>
  <si>
    <t>PLANO DE CONTAS DE SAÍDAS NÍVEL 2</t>
  </si>
  <si>
    <t xml:space="preserve">Vestuário </t>
  </si>
  <si>
    <t xml:space="preserve">Comunicação - internet e telefonia </t>
  </si>
  <si>
    <t xml:space="preserve">Energia elétrica </t>
  </si>
  <si>
    <t xml:space="preserve">Encargos sobre os salários dos vendedores </t>
  </si>
  <si>
    <t xml:space="preserve">Salários dos vendedores </t>
  </si>
  <si>
    <t xml:space="preserve">Juros sobre empréstimos </t>
  </si>
  <si>
    <t xml:space="preserve">IR sobre o lucro presumido 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</si>
  <si>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</si>
  <si>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</si>
  <si>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</si>
  <si>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</si>
  <si>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</si>
  <si>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</si>
  <si>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</si>
  <si>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Móveis</t>
  </si>
  <si>
    <t>Informática</t>
  </si>
  <si>
    <t>Livros</t>
  </si>
  <si>
    <t>Geral</t>
  </si>
  <si>
    <t>Compra de mercadorias</t>
  </si>
  <si>
    <t>Eletrodomésticos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</si>
  <si>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</si>
  <si>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</si>
  <si>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</si>
  <si>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</si>
  <si>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</si>
  <si>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</si>
  <si>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</si>
  <si>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</si>
  <si>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</si>
  <si>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</si>
  <si>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</si>
  <si>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</si>
  <si>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</si>
  <si>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</si>
  <si>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</si>
  <si>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</si>
  <si>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</si>
  <si>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</si>
  <si>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</si>
  <si>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</si>
  <si>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</si>
  <si>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</si>
  <si>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</si>
  <si>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</si>
  <si>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</si>
  <si>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</si>
  <si>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</si>
  <si>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</si>
  <si>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</si>
  <si>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</si>
  <si>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</si>
  <si>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</si>
  <si>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</si>
  <si>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</si>
  <si>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</si>
  <si>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</si>
  <si>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</si>
  <si>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</si>
  <si>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</si>
  <si>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</si>
  <si>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</si>
  <si>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</si>
  <si>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</si>
  <si>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</si>
  <si>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</si>
  <si>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</si>
  <si>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</si>
  <si>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</si>
  <si>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</si>
  <si>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</si>
  <si>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</si>
  <si>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</si>
  <si>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</si>
  <si>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</si>
  <si>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</si>
  <si>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</si>
  <si>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</si>
  <si>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</si>
  <si>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</si>
  <si>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</si>
  <si>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</si>
  <si>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</si>
  <si>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</si>
  <si>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</si>
  <si>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</si>
  <si>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</si>
  <si>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</si>
  <si>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</si>
  <si>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</si>
  <si>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</si>
  <si>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</si>
  <si>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</si>
  <si>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</si>
  <si>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</si>
  <si>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</si>
  <si>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</si>
  <si>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</si>
  <si>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</si>
  <si>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</si>
  <si>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</si>
  <si>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</si>
  <si>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</si>
  <si>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</si>
  <si>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</si>
  <si>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</si>
  <si>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</si>
  <si>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</si>
  <si>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</si>
  <si>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</si>
  <si>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</si>
  <si>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</si>
  <si>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</si>
  <si>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</si>
  <si>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</si>
  <si>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</si>
  <si>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</si>
  <si>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</si>
  <si>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</si>
  <si>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</si>
  <si>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</si>
  <si>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</si>
  <si>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</si>
  <si>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</si>
  <si>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</si>
  <si>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</si>
  <si>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</si>
  <si>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</si>
  <si>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</si>
  <si>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</si>
  <si>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</si>
  <si>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</si>
  <si>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</si>
  <si>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</si>
  <si>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</si>
  <si>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</si>
  <si>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</si>
  <si>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</si>
  <si>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</si>
  <si>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</si>
  <si>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</si>
  <si>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</si>
  <si>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</si>
  <si>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</si>
  <si>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</si>
  <si>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</si>
  <si>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</si>
  <si>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</si>
  <si>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</si>
  <si>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</si>
  <si>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</si>
  <si>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</si>
  <si>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</si>
  <si>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</si>
  <si>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</si>
  <si>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</si>
  <si>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</si>
  <si>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</si>
  <si>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</si>
  <si>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</si>
  <si>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</si>
  <si>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</si>
  <si>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</si>
  <si>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</si>
  <si>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</si>
  <si>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</si>
  <si>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</si>
  <si>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</si>
  <si>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</si>
  <si>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</si>
  <si>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</si>
  <si>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</si>
  <si>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</si>
  <si>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</si>
  <si>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</si>
  <si>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</si>
  <si>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</si>
  <si>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</si>
  <si>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</si>
  <si>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</si>
  <si>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</si>
  <si>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</si>
  <si>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</si>
  <si>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</si>
  <si>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</si>
  <si>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</si>
  <si>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</si>
  <si>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</si>
  <si>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</si>
  <si>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</si>
  <si>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</si>
  <si>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</si>
  <si>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</si>
  <si>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</si>
  <si>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</si>
  <si>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</si>
  <si>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</si>
  <si>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</si>
  <si>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</si>
  <si>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</si>
  <si>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</si>
  <si>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</si>
  <si>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</si>
  <si>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</si>
  <si>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</si>
  <si>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</si>
  <si>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</si>
  <si>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</si>
  <si>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</si>
  <si>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</si>
  <si>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</si>
  <si>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</si>
  <si>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</si>
  <si>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</si>
  <si>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</si>
  <si>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</si>
  <si>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</si>
  <si>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</si>
  <si>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</si>
  <si>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</si>
  <si>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</si>
  <si>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</si>
  <si>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</si>
  <si>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</si>
  <si>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</si>
  <si>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</si>
  <si>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</si>
  <si>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</si>
  <si>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</si>
  <si>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</si>
  <si>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</si>
  <si>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</si>
  <si>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</si>
  <si>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</si>
  <si>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</si>
  <si>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</si>
  <si>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</si>
  <si>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</si>
  <si>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</si>
  <si>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</si>
  <si>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</si>
  <si>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</si>
  <si>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</si>
  <si>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</si>
  <si>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</si>
  <si>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</si>
  <si>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</si>
  <si>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</si>
  <si>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</si>
  <si>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</si>
  <si>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</si>
  <si>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</si>
  <si>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</si>
  <si>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Vestuário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</si>
  <si>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</si>
  <si>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</si>
  <si>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</si>
  <si>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</si>
  <si>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</si>
  <si>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</si>
  <si>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</si>
  <si>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</si>
  <si>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</si>
  <si>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</si>
  <si>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</si>
  <si>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</si>
  <si>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</si>
  <si>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</si>
  <si>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</si>
  <si>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</si>
  <si>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</si>
  <si>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</si>
  <si>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</si>
  <si>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</si>
  <si>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</si>
  <si>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</si>
  <si>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</si>
  <si>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</si>
  <si>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</si>
  <si>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</si>
  <si>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</si>
  <si>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</si>
  <si>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</si>
  <si>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</si>
  <si>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</si>
  <si>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</si>
  <si>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</si>
  <si>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</si>
  <si>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</si>
  <si>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</si>
  <si>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</si>
  <si>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</si>
  <si>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</si>
  <si>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</si>
  <si>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</si>
  <si>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</si>
  <si>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</si>
  <si>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</si>
  <si>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</si>
  <si>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</si>
  <si>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</si>
  <si>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</si>
  <si>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</si>
  <si>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</si>
  <si>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</si>
  <si>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</si>
  <si>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</si>
  <si>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</si>
  <si>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</si>
  <si>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</si>
  <si>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</si>
  <si>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</si>
  <si>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</si>
  <si>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</si>
  <si>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</si>
  <si>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</si>
  <si>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</si>
  <si>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</si>
  <si>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</si>
  <si>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</si>
  <si>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</si>
  <si>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</si>
  <si>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</si>
  <si>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</si>
  <si>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</si>
  <si>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</si>
  <si>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</si>
  <si>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</si>
  <si>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</si>
  <si>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</si>
  <si>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</si>
  <si>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</si>
  <si>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</si>
  <si>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</si>
  <si>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</si>
  <si>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</si>
  <si>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</si>
  <si>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</si>
  <si>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</si>
  <si>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</si>
  <si>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</si>
  <si>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</si>
  <si>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</si>
  <si>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</si>
  <si>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</si>
  <si>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</si>
  <si>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</si>
  <si>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</si>
  <si>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</si>
  <si>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</si>
  <si>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</si>
  <si>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</si>
  <si>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</si>
  <si>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</si>
  <si>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</si>
  <si>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</si>
  <si>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</si>
  <si>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</si>
  <si>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</si>
  <si>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</si>
  <si>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</si>
  <si>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</si>
  <si>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</si>
  <si>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</si>
  <si>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</si>
  <si>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</si>
  <si>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</si>
  <si>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</si>
  <si>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</si>
  <si>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</si>
  <si>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</si>
  <si>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</si>
  <si>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</si>
  <si>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</si>
  <si>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</si>
  <si>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</si>
  <si>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</si>
  <si>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</si>
  <si>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</si>
  <si>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</si>
  <si>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</si>
  <si>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</si>
  <si>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</si>
  <si>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</si>
  <si>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</si>
  <si>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</si>
  <si>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</si>
  <si>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</si>
  <si>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</si>
  <si>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</si>
  <si>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</si>
  <si>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</si>
  <si>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</si>
  <si>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</si>
  <si>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</si>
  <si>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</si>
  <si>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</si>
  <si>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</si>
  <si>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</si>
  <si>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</si>
  <si>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</si>
  <si>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</si>
  <si>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</si>
  <si>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</si>
  <si>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</si>
  <si>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</si>
  <si>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</si>
  <si>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</si>
  <si>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</si>
  <si>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</si>
  <si>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</si>
  <si>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</si>
  <si>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</si>
  <si>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</si>
  <si>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</si>
  <si>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</si>
  <si>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</si>
  <si>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</si>
  <si>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</si>
  <si>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</si>
  <si>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</si>
  <si>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</si>
  <si>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</si>
  <si>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</si>
  <si>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</si>
  <si>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</si>
  <si>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</si>
  <si>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</si>
  <si>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</si>
  <si>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</si>
  <si>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</si>
  <si>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</si>
  <si>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</si>
  <si>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</si>
  <si>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</si>
  <si>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</si>
  <si>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</si>
  <si>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</si>
  <si>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</si>
  <si>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</si>
  <si>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</si>
  <si>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</si>
  <si>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</si>
  <si>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</si>
  <si>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</si>
  <si>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</si>
  <si>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</si>
  <si>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</si>
  <si>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</si>
  <si>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</si>
  <si>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</si>
  <si>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</si>
  <si>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</si>
  <si>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</si>
  <si>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</si>
  <si>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</si>
  <si>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</si>
  <si>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</si>
  <si>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</si>
  <si>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</si>
  <si>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</si>
  <si>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</si>
  <si>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</si>
  <si>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</si>
  <si>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</si>
  <si>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</si>
  <si>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</si>
  <si>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</si>
  <si>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</si>
  <si>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</si>
  <si>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</si>
  <si>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</si>
  <si>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</si>
  <si>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</si>
  <si>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</si>
  <si>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</si>
  <si>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</si>
  <si>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</si>
  <si>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</si>
  <si>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</si>
  <si>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</si>
  <si>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</si>
  <si>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</si>
  <si>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</si>
  <si>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</si>
  <si>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</si>
  <si>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</si>
  <si>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</si>
  <si>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</si>
  <si>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</si>
  <si>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</si>
  <si>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</si>
  <si>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</si>
  <si>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</si>
  <si>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</si>
  <si>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</si>
  <si>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</si>
  <si>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</si>
  <si>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</si>
  <si>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</si>
  <si>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</si>
  <si>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</si>
  <si>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</si>
  <si>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</si>
  <si>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</si>
  <si>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</si>
  <si>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</si>
  <si>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</si>
  <si>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</si>
  <si>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</si>
  <si>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</si>
  <si>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</si>
  <si>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</si>
  <si>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</si>
  <si>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Vencida Total</t>
  </si>
  <si>
    <t>Saldo de Caixa</t>
  </si>
  <si>
    <t>Contas a Pagar e a Receber Mensal</t>
  </si>
  <si>
    <t>Evolução de Vendas - Conta Nível 2</t>
  </si>
  <si>
    <t>Contas a Pagar</t>
  </si>
  <si>
    <t>Total</t>
  </si>
  <si>
    <t>Contas a Receber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</si>
  <si>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</si>
  <si>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</si>
  <si>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</si>
  <si>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</si>
  <si>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</si>
  <si>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</si>
  <si>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</si>
  <si>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FINANCEIRO - POSIÇÃO ANUAL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</si>
  <si>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</si>
  <si>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</si>
  <si>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</si>
  <si>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</si>
  <si>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</si>
  <si>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</si>
  <si>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Pagar Mensal</t>
  </si>
  <si>
    <t>Receber Mensal</t>
  </si>
  <si>
    <t>Gráfico</t>
  </si>
  <si>
    <t>Jan</t>
  </si>
  <si>
    <t>Fev</t>
  </si>
  <si>
    <t>Saldo do Caixa</t>
  </si>
  <si>
    <t>Mar</t>
  </si>
  <si>
    <t>Entradas</t>
  </si>
  <si>
    <t>Abr</t>
  </si>
  <si>
    <t>Saídas</t>
  </si>
  <si>
    <t>Mai</t>
  </si>
  <si>
    <t>Saldo</t>
  </si>
  <si>
    <t>Jun</t>
  </si>
  <si>
    <t>Jul</t>
  </si>
  <si>
    <t>Contas a pagar total</t>
  </si>
  <si>
    <t>Ago</t>
  </si>
  <si>
    <t>Contas a receber total</t>
  </si>
  <si>
    <t>Set</t>
  </si>
  <si>
    <t>Out</t>
  </si>
  <si>
    <t>Nov</t>
  </si>
  <si>
    <t>Dez</t>
  </si>
  <si>
    <t xml:space="preserve">Perfil das Vendas </t>
  </si>
  <si>
    <t>Ano</t>
  </si>
  <si>
    <t>À Vista</t>
  </si>
  <si>
    <t>A Prazo</t>
  </si>
  <si>
    <t>Atraso médio nas contas a receber</t>
  </si>
  <si>
    <t>Atraso médio nas contas a pagar</t>
  </si>
  <si>
    <t>Qtde.</t>
  </si>
  <si>
    <t>Média</t>
  </si>
  <si>
    <t>Resultado no Período</t>
  </si>
  <si>
    <t>Despesa Mensal</t>
  </si>
  <si>
    <t>Resultado</t>
  </si>
  <si>
    <t>Saldo Inicial</t>
  </si>
  <si>
    <t>J     F     M     A     M     J     J     A     S     O     N     D</t>
  </si>
  <si>
    <t>Venda à Vista</t>
  </si>
  <si>
    <t>Dias de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</si>
</sst>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9" formatCode="#,##0_ ;[Red]\-#,##0\ "/>
    <numFmt numFmtId="170" formatCode="#,##0.00_ ;\-#,##0.00\ "/>
    <numFmt numFmtId="171" formatCode="&quot;R$&quot;\ #,##0"/>
    <numFmt numFmtId="172" formatCode="&quot;R$&quot;\ 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ADLaM Display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757171"/>
      <name val="Calibri"/>
      <family val="2"/>
    </font>
    <font>
      <b/>
      <sz val="10.5"/>
      <color rgb="FF757171"/>
      <name val="Calibri"/>
      <family val="2"/>
    </font>
    <font>
      <b/>
      <i/>
      <sz val="11"/>
      <color rgb="FF000000"/>
      <name val="Calibri"/>
      <family val="2"/>
    </font>
    <font>
      <b/>
      <sz val="20"/>
      <color rgb="FF5B9BD5"/>
      <name val="Calibri"/>
      <family val="2"/>
    </font>
    <font>
      <sz val="11"/>
      <color rgb="FF3A3838"/>
      <name val="Calibri"/>
      <family val="2"/>
    </font>
    <font>
      <b/>
      <sz val="14"/>
      <color rgb="FF757171"/>
      <name val="Calibri"/>
      <family val="2"/>
    </font>
    <font>
      <b/>
      <sz val="20"/>
      <color rgb="FFFF0000"/>
      <name val="Calibri"/>
      <family val="2"/>
    </font>
    <font>
      <b/>
      <sz val="20"/>
      <color rgb="FF548235"/>
      <name val="Calibri"/>
      <family val="2"/>
    </font>
    <font>
      <b/>
      <sz val="20"/>
      <color rgb="FF00B050"/>
      <name val="Calibri"/>
      <family val="2"/>
    </font>
    <font>
      <b/>
      <sz val="14"/>
      <color rgb="FF5B9BD5"/>
      <name val="Calibri"/>
      <family val="2"/>
    </font>
    <font>
      <b/>
      <sz val="28"/>
      <color rgb="FFFF0000"/>
      <name val="Calibri"/>
      <family val="2"/>
    </font>
    <font>
      <b/>
      <sz val="28"/>
      <color rgb="FF548235"/>
      <name val="Calibri"/>
      <family val="2"/>
    </font>
    <font>
      <b/>
      <sz val="14"/>
      <color rgb="FFBF8F00"/>
      <name val="Calibri"/>
      <family val="2"/>
    </font>
    <font>
      <b/>
      <sz val="20"/>
      <color rgb="FF203764"/>
      <name val="Calibri"/>
      <family val="2"/>
    </font>
    <font>
      <b/>
      <sz val="14"/>
      <color rgb="FFC65911"/>
      <name val="Calibri"/>
      <family val="2"/>
    </font>
    <font>
      <b/>
      <sz val="24"/>
      <color theme="2" tint="-0.49998474074526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auto="1"/>
      </left>
      <right style="thin">
        <color theme="2" tint="-0.499984740745262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8497B0"/>
      </left>
      <right style="thin">
        <color rgb="FF8497B0"/>
      </right>
      <top style="thin">
        <color rgb="FF8497B0"/>
      </top>
      <bottom/>
      <diagonal/>
    </border>
    <border>
      <left style="thin">
        <color rgb="FF8497B0"/>
      </left>
      <right/>
      <top style="thin">
        <color rgb="FF8497B0"/>
      </top>
      <bottom/>
      <diagonal/>
    </border>
    <border>
      <left/>
      <right/>
      <top style="thin">
        <color rgb="FF8497B0"/>
      </top>
      <bottom/>
      <diagonal/>
    </border>
    <border>
      <left/>
      <right style="thin">
        <color rgb="FF8497B0"/>
      </right>
      <top style="thin">
        <color rgb="FF8497B0"/>
      </top>
      <bottom/>
      <diagonal/>
    </border>
    <border>
      <left style="thin">
        <color rgb="FF8497B0"/>
      </left>
      <right style="thin">
        <color rgb="FF8497B0"/>
      </right>
      <top/>
      <bottom style="thin">
        <color rgb="FF8497B0"/>
      </bottom>
      <diagonal/>
    </border>
    <border>
      <left style="thin">
        <color rgb="FF8497B0"/>
      </left>
      <right/>
      <top/>
      <bottom/>
      <diagonal/>
    </border>
    <border>
      <left/>
      <right style="thin">
        <color rgb="FF8497B0"/>
      </right>
      <top/>
      <bottom/>
      <diagonal/>
    </border>
    <border>
      <left style="thin">
        <color rgb="FF8497B0"/>
      </left>
      <right/>
      <top/>
      <bottom style="thin">
        <color rgb="FF8497B0"/>
      </bottom>
      <diagonal/>
    </border>
    <border>
      <left/>
      <right/>
      <top/>
      <bottom style="thin">
        <color rgb="FF8497B0"/>
      </bottom>
      <diagonal/>
    </border>
    <border>
      <left/>
      <right style="thin">
        <color rgb="FF8497B0"/>
      </right>
      <top/>
      <bottom style="thin">
        <color rgb="FF8497B0"/>
      </bottom>
      <diagonal/>
    </border>
    <border>
      <left style="thin">
        <color rgb="FF8497B0"/>
      </left>
      <right style="thin">
        <color rgb="FF8497B0"/>
      </right>
      <top/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5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/>
    <xf numFmtId="0" fontId="0" fillId="3" borderId="0" xfId="0" applyFill="1"/>
    <xf numFmtId="0" fontId="8" fillId="2" borderId="0" xfId="0" applyFont="1" applyFill="1" applyAlignment="1">
      <alignment horizontal="right" vertical="center" wrapText="1"/>
    </xf>
    <xf numFmtId="0" fontId="0" fillId="4" borderId="0" xfId="0" applyFill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44" fontId="4" fillId="2" borderId="0" xfId="0" applyNumberFormat="1" applyFont="1" applyFill="1" applyAlignment="1">
      <alignment horizontal="right" vertical="center"/>
    </xf>
    <xf numFmtId="44" fontId="0" fillId="3" borderId="0" xfId="0" applyNumberFormat="1" applyFill="1"/>
    <xf numFmtId="44" fontId="0" fillId="0" borderId="0" xfId="0" applyNumberFormat="1"/>
    <xf numFmtId="0" fontId="0" fillId="0" borderId="0" xfId="0" applyAlignment="1">
      <alignment vertical="top"/>
    </xf>
    <xf numFmtId="14" fontId="0" fillId="4" borderId="0" xfId="0" applyNumberFormat="1" applyFill="1" applyAlignment="1">
      <alignment vertical="top" wrapText="1"/>
    </xf>
    <xf numFmtId="0" fontId="0" fillId="4" borderId="0" xfId="0" applyFill="1" applyAlignment="1">
      <alignment vertical="top" wrapText="1"/>
    </xf>
    <xf numFmtId="44" fontId="0" fillId="4" borderId="0" xfId="0" applyNumberFormat="1" applyFill="1" applyAlignment="1">
      <alignment vertical="top" wrapText="1"/>
    </xf>
    <xf numFmtId="14" fontId="2" fillId="4" borderId="4" xfId="0" applyNumberFormat="1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44" fontId="2" fillId="4" borderId="4" xfId="0" applyNumberFormat="1" applyFont="1" applyFill="1" applyBorder="1" applyAlignment="1">
      <alignment vertical="top" wrapText="1"/>
    </xf>
    <xf numFmtId="0" fontId="9" fillId="5" borderId="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vertical="center"/>
    </xf>
    <xf numFmtId="169" fontId="0" fillId="0" borderId="0" xfId="0" applyNumberFormat="1" applyBorder="1" applyAlignment="1">
      <alignment vertical="center"/>
    </xf>
    <xf numFmtId="169" fontId="0" fillId="0" borderId="11" xfId="0" applyNumberFormat="1" applyBorder="1" applyAlignment="1">
      <alignment vertical="center"/>
    </xf>
    <xf numFmtId="169" fontId="0" fillId="0" borderId="13" xfId="0" applyNumberFormat="1" applyBorder="1" applyAlignment="1">
      <alignment vertical="center"/>
    </xf>
    <xf numFmtId="169" fontId="0" fillId="0" borderId="14" xfId="0" applyNumberForma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10" xfId="0" applyFont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169" fontId="13" fillId="3" borderId="8" xfId="0" applyNumberFormat="1" applyFont="1" applyFill="1" applyBorder="1" applyAlignment="1">
      <alignment vertical="center"/>
    </xf>
    <xf numFmtId="169" fontId="13" fillId="3" borderId="13" xfId="0" applyNumberFormat="1" applyFont="1" applyFill="1" applyBorder="1" applyAlignment="1">
      <alignment vertical="center"/>
    </xf>
    <xf numFmtId="169" fontId="13" fillId="3" borderId="9" xfId="0" applyNumberFormat="1" applyFont="1" applyFill="1" applyBorder="1" applyAlignment="1">
      <alignment vertical="center"/>
    </xf>
    <xf numFmtId="169" fontId="13" fillId="3" borderId="14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0" fontId="0" fillId="0" borderId="0" xfId="0" applyNumberFormat="1"/>
    <xf numFmtId="0" fontId="0" fillId="0" borderId="0" xfId="0" applyNumberFormat="1"/>
    <xf numFmtId="14" fontId="0" fillId="3" borderId="0" xfId="0" applyNumberForma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4" fillId="0" borderId="18" xfId="0" applyFont="1" applyBorder="1" applyAlignment="1">
      <alignment horizontal="left" vertical="center"/>
    </xf>
    <xf numFmtId="0" fontId="16" fillId="7" borderId="19" xfId="0" applyFont="1" applyFill="1" applyBorder="1" applyAlignment="1" applyProtection="1">
      <alignment horizontal="center" vertical="center"/>
      <protection locked="0"/>
    </xf>
    <xf numFmtId="0" fontId="18" fillId="0" borderId="20" xfId="0" quotePrefix="1" applyFont="1" applyBorder="1"/>
    <xf numFmtId="0" fontId="3" fillId="0" borderId="21" xfId="0" applyFont="1" applyBorder="1"/>
    <xf numFmtId="0" fontId="3" fillId="0" borderId="0" xfId="0" applyFont="1"/>
    <xf numFmtId="0" fontId="14" fillId="0" borderId="0" xfId="0" applyFont="1" applyAlignment="1">
      <alignment vertical="center"/>
    </xf>
    <xf numFmtId="0" fontId="19" fillId="0" borderId="22" xfId="0" applyFont="1" applyBorder="1" applyAlignment="1">
      <alignment vertical="center" wrapText="1"/>
    </xf>
    <xf numFmtId="6" fontId="19" fillId="0" borderId="22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6" fontId="21" fillId="0" borderId="22" xfId="0" applyNumberFormat="1" applyFont="1" applyBorder="1" applyAlignment="1">
      <alignment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6" fontId="21" fillId="0" borderId="25" xfId="0" applyNumberFormat="1" applyFont="1" applyBorder="1" applyAlignment="1">
      <alignment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6" fontId="23" fillId="0" borderId="26" xfId="0" applyNumberFormat="1" applyFont="1" applyBorder="1" applyAlignment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  <protection locked="0"/>
    </xf>
    <xf numFmtId="3" fontId="24" fillId="0" borderId="21" xfId="0" applyNumberFormat="1" applyFont="1" applyBorder="1" applyAlignment="1">
      <alignment vertical="center"/>
    </xf>
    <xf numFmtId="3" fontId="25" fillId="0" borderId="22" xfId="0" applyNumberFormat="1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171" fontId="26" fillId="0" borderId="26" xfId="0" applyNumberFormat="1" applyFont="1" applyBorder="1" applyAlignment="1">
      <alignment horizontal="center" vertical="center"/>
    </xf>
    <xf numFmtId="172" fontId="27" fillId="0" borderId="21" xfId="0" applyNumberFormat="1" applyFont="1" applyBorder="1" applyAlignment="1">
      <alignment vertical="center"/>
    </xf>
    <xf numFmtId="3" fontId="20" fillId="0" borderId="21" xfId="0" applyNumberFormat="1" applyFont="1" applyBorder="1" applyAlignment="1">
      <alignment horizontal="center" vertical="center"/>
    </xf>
    <xf numFmtId="3" fontId="21" fillId="0" borderId="22" xfId="0" applyNumberFormat="1" applyFont="1" applyBorder="1" applyAlignment="1">
      <alignment horizontal="center" vertical="center"/>
    </xf>
    <xf numFmtId="0" fontId="24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172" fontId="27" fillId="0" borderId="23" xfId="0" applyNumberFormat="1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28" fillId="0" borderId="23" xfId="0" applyFont="1" applyBorder="1" applyAlignment="1">
      <alignment vertical="center"/>
    </xf>
    <xf numFmtId="0" fontId="28" fillId="0" borderId="25" xfId="0" applyFont="1" applyBorder="1" applyAlignment="1">
      <alignment vertical="center"/>
    </xf>
    <xf numFmtId="0" fontId="3" fillId="8" borderId="0" xfId="0" applyFont="1" applyFill="1" applyAlignment="1">
      <alignment vertical="center"/>
    </xf>
    <xf numFmtId="0" fontId="29" fillId="3" borderId="0" xfId="0" applyFont="1" applyFill="1" applyAlignment="1">
      <alignment vertical="center"/>
    </xf>
    <xf numFmtId="0" fontId="30" fillId="9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0" fillId="6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0" borderId="27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 wrapText="1"/>
    </xf>
    <xf numFmtId="0" fontId="3" fillId="10" borderId="27" xfId="0" applyFont="1" applyFill="1" applyBorder="1" applyAlignment="1">
      <alignment horizontal="left" vertical="center"/>
    </xf>
    <xf numFmtId="0" fontId="3" fillId="0" borderId="28" xfId="0" applyFont="1" applyBorder="1" applyAlignment="1">
      <alignment vertical="center"/>
    </xf>
    <xf numFmtId="43" fontId="3" fillId="6" borderId="28" xfId="1" applyFont="1" applyFill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43" fontId="3" fillId="6" borderId="0" xfId="1" applyFont="1" applyFill="1" applyBorder="1" applyAlignment="1">
      <alignment horizontal="right" vertical="center"/>
    </xf>
    <xf numFmtId="43" fontId="3" fillId="6" borderId="28" xfId="1" applyFont="1" applyFill="1" applyBorder="1" applyAlignment="1">
      <alignment vertical="center"/>
    </xf>
    <xf numFmtId="43" fontId="3" fillId="6" borderId="0" xfId="1" applyFont="1" applyFill="1" applyBorder="1" applyAlignment="1">
      <alignment vertical="center"/>
    </xf>
    <xf numFmtId="0" fontId="3" fillId="0" borderId="29" xfId="0" applyFont="1" applyBorder="1" applyAlignment="1">
      <alignment vertical="center"/>
    </xf>
    <xf numFmtId="43" fontId="31" fillId="6" borderId="29" xfId="1" applyFont="1" applyFill="1" applyBorder="1" applyAlignment="1">
      <alignment vertical="center"/>
    </xf>
    <xf numFmtId="0" fontId="30" fillId="0" borderId="28" xfId="0" applyFont="1" applyBorder="1" applyAlignment="1">
      <alignment vertical="center"/>
    </xf>
    <xf numFmtId="0" fontId="30" fillId="0" borderId="29" xfId="0" applyFont="1" applyBorder="1" applyAlignment="1">
      <alignment vertical="center"/>
    </xf>
    <xf numFmtId="43" fontId="3" fillId="6" borderId="29" xfId="1" applyFont="1" applyFill="1" applyBorder="1" applyAlignment="1">
      <alignment vertical="center"/>
    </xf>
    <xf numFmtId="43" fontId="3" fillId="6" borderId="29" xfId="1" applyFont="1" applyFill="1" applyBorder="1" applyAlignment="1">
      <alignment horizontal="right" vertical="center"/>
    </xf>
    <xf numFmtId="0" fontId="3" fillId="0" borderId="29" xfId="0" applyFont="1" applyBorder="1" applyAlignment="1">
      <alignment horizontal="right" vertical="center"/>
    </xf>
    <xf numFmtId="14" fontId="3" fillId="0" borderId="0" xfId="0" applyNumberFormat="1" applyFont="1" applyAlignment="1">
      <alignment vertical="center"/>
    </xf>
    <xf numFmtId="0" fontId="3" fillId="6" borderId="27" xfId="0" applyFont="1" applyFill="1" applyBorder="1" applyAlignment="1">
      <alignment vertical="center"/>
    </xf>
    <xf numFmtId="43" fontId="3" fillId="6" borderId="27" xfId="1" applyFont="1" applyFill="1" applyBorder="1" applyAlignment="1">
      <alignment horizontal="right" vertical="center"/>
    </xf>
    <xf numFmtId="3" fontId="3" fillId="6" borderId="27" xfId="0" applyNumberFormat="1" applyFont="1" applyFill="1" applyBorder="1" applyAlignment="1">
      <alignment vertical="center"/>
    </xf>
    <xf numFmtId="1" fontId="3" fillId="0" borderId="0" xfId="0" applyNumberFormat="1" applyFont="1" applyAlignment="1">
      <alignment vertical="center"/>
    </xf>
    <xf numFmtId="14" fontId="3" fillId="0" borderId="28" xfId="0" applyNumberFormat="1" applyFont="1" applyBorder="1" applyAlignment="1">
      <alignment horizontal="right" vertical="center"/>
    </xf>
    <xf numFmtId="0" fontId="3" fillId="10" borderId="27" xfId="0" applyFont="1" applyFill="1" applyBorder="1" applyAlignment="1">
      <alignment horizontal="right" vertical="center" wrapText="1"/>
    </xf>
    <xf numFmtId="171" fontId="3" fillId="6" borderId="30" xfId="0" applyNumberFormat="1" applyFont="1" applyFill="1" applyBorder="1" applyAlignment="1">
      <alignment horizontal="right" vertical="center"/>
    </xf>
    <xf numFmtId="6" fontId="32" fillId="6" borderId="30" xfId="0" applyNumberFormat="1" applyFont="1" applyFill="1" applyBorder="1" applyAlignment="1">
      <alignment horizontal="right" vertical="center"/>
    </xf>
    <xf numFmtId="171" fontId="3" fillId="6" borderId="27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72" fontId="17" fillId="0" borderId="20" xfId="2" applyNumberFormat="1" applyFont="1" applyFill="1" applyBorder="1" applyAlignment="1" applyProtection="1">
      <alignment horizontal="center" vertical="center"/>
    </xf>
    <xf numFmtId="172" fontId="20" fillId="0" borderId="20" xfId="2" applyNumberFormat="1" applyFont="1" applyFill="1" applyBorder="1" applyAlignment="1" applyProtection="1">
      <alignment horizontal="center" vertical="center"/>
    </xf>
    <xf numFmtId="172" fontId="22" fillId="0" borderId="20" xfId="2" applyNumberFormat="1" applyFont="1" applyFill="1" applyBorder="1" applyAlignment="1" applyProtection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2" fontId="21" fillId="0" borderId="22" xfId="0" applyNumberFormat="1" applyFont="1" applyBorder="1" applyAlignment="1">
      <alignment horizontal="center" vertical="center"/>
    </xf>
    <xf numFmtId="1" fontId="0" fillId="0" borderId="0" xfId="0" applyNumberFormat="1"/>
    <xf numFmtId="0" fontId="3" fillId="6" borderId="30" xfId="0" applyNumberFormat="1" applyFont="1" applyFill="1" applyBorder="1" applyAlignment="1">
      <alignment horizontal="right" vertical="center"/>
    </xf>
    <xf numFmtId="0" fontId="7" fillId="3" borderId="0" xfId="0" applyFont="1" applyFill="1" applyProtection="1">
      <protection locked="0"/>
    </xf>
  </cellXfs>
  <cellStyles count="3">
    <cellStyle name="Moeda" xfId="2" builtinId="4"/>
    <cellStyle name="Normal" xfId="0" builtinId="0"/>
    <cellStyle name="Vírgula" xfId="1" builtinId="3"/>
  </cellStyles>
  <dxfs count="3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bottom style="medium">
          <color theme="6"/>
        </bottom>
      </border>
    </dxf>
    <dxf>
      <border outline="0">
        <top style="thin">
          <color theme="6"/>
        </top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DashboardAnualID!$L$5:$L$16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DashboardAnualID!$K$5:$K$16</c:f>
              <c:numCache>
                <c:formatCode>_(* #,##0.00_);_(* \(#,##0.00\);_(* "-"??_);_(@_)</c:formatCode>
                <c:ptCount val="12"/>
                <c:pt idx="0">
                  <c:v>6759</c:v>
                </c:pt>
                <c:pt idx="1">
                  <c:v>4157</c:v>
                </c:pt>
                <c:pt idx="2">
                  <c:v>5918</c:v>
                </c:pt>
                <c:pt idx="3">
                  <c:v>1620</c:v>
                </c:pt>
                <c:pt idx="4">
                  <c:v>2194</c:v>
                </c:pt>
                <c:pt idx="5">
                  <c:v>1482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4-4B40-B9DE-B9570BAA45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0130783"/>
        <c:axId val="1300134143"/>
      </c:lineChart>
      <c:catAx>
        <c:axId val="130013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134143"/>
        <c:crosses val="autoZero"/>
        <c:auto val="1"/>
        <c:lblAlgn val="ctr"/>
        <c:lblOffset val="100"/>
        <c:noMultiLvlLbl val="0"/>
      </c:catAx>
      <c:valAx>
        <c:axId val="130013414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30013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C-4FF3-997F-C9922D0BAB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8C-4FF3-997F-C9922D0BA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DashboardAnualID!$C$21:$D$21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DashboardAnualID!$C$22:$D$22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130659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8C-4FF3-997F-C9922D0BA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4C-4F5B-B56D-1A4BD9DCD1F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E10B9F5-9A1D-4C84-8604-3B6E7CF4320E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19624819624816"/>
                      <c:h val="0.2176036351559433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D4C-4F5B-B56D-1A4BD9DCD1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EE63C7-E6E7-4E5D-9A9B-A8E3F9851725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82828282828278"/>
                      <c:h val="0.2176036351559433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D4C-4F5B-B56D-1A4BD9DCD1F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DashboardAnualID!$C$31:$D$31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DashboardAnualID!$C$32:$D$32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C-4F5B-B56D-1A4BD9DCD1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1022714128"/>
        <c:axId val="1022699248"/>
      </c:barChart>
      <c:catAx>
        <c:axId val="102271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699248"/>
        <c:crosses val="autoZero"/>
        <c:auto val="1"/>
        <c:lblAlgn val="ctr"/>
        <c:lblOffset val="100"/>
        <c:noMultiLvlLbl val="0"/>
      </c:catAx>
      <c:valAx>
        <c:axId val="1022699248"/>
        <c:scaling>
          <c:orientation val="minMax"/>
        </c:scaling>
        <c:delete val="1"/>
        <c:axPos val="l"/>
        <c:numFmt formatCode="&quot;R$&quot;\ #,##0" sourceLinked="1"/>
        <c:majorTickMark val="out"/>
        <c:minorTickMark val="none"/>
        <c:tickLblPos val="nextTo"/>
        <c:crossAx val="10227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DashboardAnualID!$H$31:$H$42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7214</c:v>
                </c:pt>
                <c:pt idx="2">
                  <c:v>0</c:v>
                </c:pt>
                <c:pt idx="3">
                  <c:v>1259</c:v>
                </c:pt>
                <c:pt idx="4">
                  <c:v>16307</c:v>
                </c:pt>
                <c:pt idx="5">
                  <c:v>297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9-4D19-A55D-ADFE4A4C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022741968"/>
        <c:axId val="1022736688"/>
      </c:barChart>
      <c:catAx>
        <c:axId val="102274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736688"/>
        <c:crosses val="autoZero"/>
        <c:auto val="1"/>
        <c:lblAlgn val="ctr"/>
        <c:lblOffset val="100"/>
        <c:noMultiLvlLbl val="0"/>
      </c:catAx>
      <c:valAx>
        <c:axId val="102273668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0227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Receita!A1"/><Relationship Id="rId13" Type="http://schemas.openxmlformats.org/officeDocument/2006/relationships/hyperlink" Target="#DashboardFinanceiroAnual!A1"/><Relationship Id="rId3" Type="http://schemas.openxmlformats.org/officeDocument/2006/relationships/hyperlink" Target="#PCSa&#237;dasN1!A1"/><Relationship Id="rId7" Type="http://schemas.openxmlformats.org/officeDocument/2006/relationships/hyperlink" Target="#FluxoCaixaResultadoMensal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Caixa!A1"/><Relationship Id="rId11" Type="http://schemas.openxmlformats.org/officeDocument/2006/relationships/hyperlink" Target="#ContasReceber!A1"/><Relationship Id="rId5" Type="http://schemas.openxmlformats.org/officeDocument/2006/relationships/hyperlink" Target="#RegistroEntradasCaixa!A1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mentoDespesa!A1"/><Relationship Id="rId1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437028</xdr:colOff>
      <xdr:row>2</xdr:row>
      <xdr:rowOff>228600</xdr:rowOff>
    </xdr:from>
    <xdr:to>
      <xdr:col>5</xdr:col>
      <xdr:colOff>424142</xdr:colOff>
      <xdr:row>4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4A5203C-5F40-A749-8168-6A13E4CE5AF9}"/>
            </a:ext>
          </a:extLst>
        </xdr:cNvPr>
        <xdr:cNvSpPr/>
      </xdr:nvSpPr>
      <xdr:spPr>
        <a:xfrm>
          <a:off x="3418353" y="1238250"/>
          <a:ext cx="2330264" cy="2762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CADASTROS</a:t>
          </a:r>
        </a:p>
      </xdr:txBody>
    </xdr:sp>
    <xdr:clientData/>
  </xdr:twoCellAnchor>
  <xdr:twoCellAnchor>
    <xdr:from>
      <xdr:col>2</xdr:col>
      <xdr:colOff>436469</xdr:colOff>
      <xdr:row>4</xdr:row>
      <xdr:rowOff>233362</xdr:rowOff>
    </xdr:from>
    <xdr:to>
      <xdr:col>5</xdr:col>
      <xdr:colOff>447676</xdr:colOff>
      <xdr:row>6</xdr:row>
      <xdr:rowOff>14287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6856B-4BD6-69E3-7E8C-16FDB99A8135}"/>
            </a:ext>
          </a:extLst>
        </xdr:cNvPr>
        <xdr:cNvSpPr/>
      </xdr:nvSpPr>
      <xdr:spPr>
        <a:xfrm>
          <a:off x="3417794" y="1738312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</a:t>
          </a:r>
          <a:r>
            <a:rPr lang="pt-BR" sz="1100" b="0" baseline="0">
              <a:solidFill>
                <a:schemeClr val="bg1"/>
              </a:solidFill>
            </a:rPr>
            <a:t> de Entradas - N1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613241</xdr:colOff>
      <xdr:row>2</xdr:row>
      <xdr:rowOff>228600</xdr:rowOff>
    </xdr:from>
    <xdr:to>
      <xdr:col>9</xdr:col>
      <xdr:colOff>600355</xdr:colOff>
      <xdr:row>4</xdr:row>
      <xdr:rowOff>9525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4D4F3E5E-0336-B47A-F5ED-EA96CCCB5BAE}"/>
            </a:ext>
          </a:extLst>
        </xdr:cNvPr>
        <xdr:cNvSpPr/>
      </xdr:nvSpPr>
      <xdr:spPr>
        <a:xfrm>
          <a:off x="6718766" y="1238250"/>
          <a:ext cx="2330264" cy="2762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RELATÓRIOS</a:t>
          </a:r>
        </a:p>
      </xdr:txBody>
    </xdr:sp>
    <xdr:clientData/>
  </xdr:twoCellAnchor>
  <xdr:twoCellAnchor>
    <xdr:from>
      <xdr:col>11</xdr:col>
      <xdr:colOff>8403</xdr:colOff>
      <xdr:row>2</xdr:row>
      <xdr:rowOff>228600</xdr:rowOff>
    </xdr:from>
    <xdr:to>
      <xdr:col>13</xdr:col>
      <xdr:colOff>776567</xdr:colOff>
      <xdr:row>4</xdr:row>
      <xdr:rowOff>9525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2ED5D4E8-1F92-4E82-9ABC-ADA2FBBD0460}"/>
            </a:ext>
          </a:extLst>
        </xdr:cNvPr>
        <xdr:cNvSpPr/>
      </xdr:nvSpPr>
      <xdr:spPr>
        <a:xfrm>
          <a:off x="10019178" y="1238250"/>
          <a:ext cx="2330264" cy="2762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GRÁFICOS</a:t>
          </a:r>
        </a:p>
      </xdr:txBody>
    </xdr:sp>
    <xdr:clientData/>
  </xdr:twoCellAnchor>
  <xdr:twoCellAnchor>
    <xdr:from>
      <xdr:col>2</xdr:col>
      <xdr:colOff>436469</xdr:colOff>
      <xdr:row>6</xdr:row>
      <xdr:rowOff>131725</xdr:rowOff>
    </xdr:from>
    <xdr:to>
      <xdr:col>5</xdr:col>
      <xdr:colOff>447676</xdr:colOff>
      <xdr:row>7</xdr:row>
      <xdr:rowOff>160300</xdr:rowOff>
    </xdr:to>
    <xdr:sp macro="" textlink="">
      <xdr:nvSpPr>
        <xdr:cNvPr id="26" name="Retângulo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5E6156-D55A-44E5-B0E0-8E5FBCBF9552}"/>
            </a:ext>
          </a:extLst>
        </xdr:cNvPr>
        <xdr:cNvSpPr/>
      </xdr:nvSpPr>
      <xdr:spPr>
        <a:xfrm>
          <a:off x="3417794" y="2131975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</a:t>
          </a:r>
          <a:r>
            <a:rPr lang="pt-BR" sz="1100" b="0" baseline="0">
              <a:solidFill>
                <a:schemeClr val="bg1"/>
              </a:solidFill>
            </a:rPr>
            <a:t> N2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436469</xdr:colOff>
      <xdr:row>8</xdr:row>
      <xdr:rowOff>30088</xdr:rowOff>
    </xdr:from>
    <xdr:to>
      <xdr:col>5</xdr:col>
      <xdr:colOff>447676</xdr:colOff>
      <xdr:row>9</xdr:row>
      <xdr:rowOff>58663</xdr:rowOff>
    </xdr:to>
    <xdr:sp macro="" textlink="">
      <xdr:nvSpPr>
        <xdr:cNvPr id="27" name="Retângulo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924E9C-DA39-4C3A-845C-C18BBCEDCF10}"/>
            </a:ext>
          </a:extLst>
        </xdr:cNvPr>
        <xdr:cNvSpPr/>
      </xdr:nvSpPr>
      <xdr:spPr>
        <a:xfrm>
          <a:off x="3417794" y="2525638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Plano de Contas de Saídas - N1</a:t>
          </a:r>
        </a:p>
      </xdr:txBody>
    </xdr:sp>
    <xdr:clientData/>
  </xdr:twoCellAnchor>
  <xdr:twoCellAnchor>
    <xdr:from>
      <xdr:col>2</xdr:col>
      <xdr:colOff>436469</xdr:colOff>
      <xdr:row>9</xdr:row>
      <xdr:rowOff>176101</xdr:rowOff>
    </xdr:from>
    <xdr:to>
      <xdr:col>5</xdr:col>
      <xdr:colOff>447676</xdr:colOff>
      <xdr:row>10</xdr:row>
      <xdr:rowOff>204676</xdr:rowOff>
    </xdr:to>
    <xdr:sp macro="" textlink="">
      <xdr:nvSpPr>
        <xdr:cNvPr id="28" name="Retângulo 2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9AEA8C-E434-4670-BEEC-AB4CE081F6F8}"/>
            </a:ext>
          </a:extLst>
        </xdr:cNvPr>
        <xdr:cNvSpPr/>
      </xdr:nvSpPr>
      <xdr:spPr>
        <a:xfrm>
          <a:off x="3417794" y="2919301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 de Contas</a:t>
          </a:r>
          <a:r>
            <a:rPr lang="pt-B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Saídas - N2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436469</xdr:colOff>
      <xdr:row>11</xdr:row>
      <xdr:rowOff>74464</xdr:rowOff>
    </xdr:from>
    <xdr:to>
      <xdr:col>5</xdr:col>
      <xdr:colOff>447676</xdr:colOff>
      <xdr:row>12</xdr:row>
      <xdr:rowOff>103039</xdr:rowOff>
    </xdr:to>
    <xdr:sp macro="" textlink="">
      <xdr:nvSpPr>
        <xdr:cNvPr id="29" name="Retângulo 2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C81D3D2-7CE5-4C6C-977E-A64E9D0791DD}"/>
            </a:ext>
          </a:extLst>
        </xdr:cNvPr>
        <xdr:cNvSpPr/>
      </xdr:nvSpPr>
      <xdr:spPr>
        <a:xfrm>
          <a:off x="3417794" y="3312964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de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436469</xdr:colOff>
      <xdr:row>12</xdr:row>
      <xdr:rowOff>220475</xdr:rowOff>
    </xdr:from>
    <xdr:to>
      <xdr:col>5</xdr:col>
      <xdr:colOff>447676</xdr:colOff>
      <xdr:row>14</xdr:row>
      <xdr:rowOff>1400</xdr:rowOff>
    </xdr:to>
    <xdr:sp macro="" textlink="">
      <xdr:nvSpPr>
        <xdr:cNvPr id="30" name="Retângulo 2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35B5323-C901-4D62-8652-D704949E9614}"/>
            </a:ext>
          </a:extLst>
        </xdr:cNvPr>
        <xdr:cNvSpPr/>
      </xdr:nvSpPr>
      <xdr:spPr>
        <a:xfrm>
          <a:off x="3417794" y="3706625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de Saídas de Caixa</a:t>
          </a:r>
        </a:p>
      </xdr:txBody>
    </xdr:sp>
    <xdr:clientData/>
  </xdr:twoCellAnchor>
  <xdr:twoCellAnchor>
    <xdr:from>
      <xdr:col>6</xdr:col>
      <xdr:colOff>617444</xdr:colOff>
      <xdr:row>4</xdr:row>
      <xdr:rowOff>233362</xdr:rowOff>
    </xdr:from>
    <xdr:to>
      <xdr:col>9</xdr:col>
      <xdr:colOff>628651</xdr:colOff>
      <xdr:row>6</xdr:row>
      <xdr:rowOff>14287</xdr:rowOff>
    </xdr:to>
    <xdr:sp macro="" textlink="">
      <xdr:nvSpPr>
        <xdr:cNvPr id="41" name="Retângulo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359A570-2F6B-477A-4FCC-E7CE6FF31670}"/>
            </a:ext>
          </a:extLst>
        </xdr:cNvPr>
        <xdr:cNvSpPr/>
      </xdr:nvSpPr>
      <xdr:spPr>
        <a:xfrm>
          <a:off x="6722969" y="1738312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617444</xdr:colOff>
      <xdr:row>6</xdr:row>
      <xdr:rowOff>131725</xdr:rowOff>
    </xdr:from>
    <xdr:to>
      <xdr:col>9</xdr:col>
      <xdr:colOff>628651</xdr:colOff>
      <xdr:row>7</xdr:row>
      <xdr:rowOff>160300</xdr:rowOff>
    </xdr:to>
    <xdr:sp macro="" textlink="">
      <xdr:nvSpPr>
        <xdr:cNvPr id="42" name="Retângulo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0317CAB-0BFE-88C7-9208-DD5776CBAE62}"/>
            </a:ext>
          </a:extLst>
        </xdr:cNvPr>
        <xdr:cNvSpPr/>
      </xdr:nvSpPr>
      <xdr:spPr>
        <a:xfrm>
          <a:off x="6722969" y="2131975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617444</xdr:colOff>
      <xdr:row>8</xdr:row>
      <xdr:rowOff>30088</xdr:rowOff>
    </xdr:from>
    <xdr:to>
      <xdr:col>9</xdr:col>
      <xdr:colOff>628651</xdr:colOff>
      <xdr:row>9</xdr:row>
      <xdr:rowOff>58663</xdr:rowOff>
    </xdr:to>
    <xdr:sp macro="" textlink="">
      <xdr:nvSpPr>
        <xdr:cNvPr id="43" name="Retângulo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666C09B-B1F2-F6D8-01F1-55F9BF141DDC}"/>
            </a:ext>
          </a:extLst>
        </xdr:cNvPr>
        <xdr:cNvSpPr/>
      </xdr:nvSpPr>
      <xdr:spPr>
        <a:xfrm>
          <a:off x="6722969" y="2525638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</a:t>
          </a:r>
          <a:r>
            <a:rPr lang="pt-BR" sz="1100" b="0" baseline="0">
              <a:solidFill>
                <a:schemeClr val="bg1"/>
              </a:solidFill>
            </a:rPr>
            <a:t> da Despesa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617444</xdr:colOff>
      <xdr:row>9</xdr:row>
      <xdr:rowOff>176101</xdr:rowOff>
    </xdr:from>
    <xdr:to>
      <xdr:col>9</xdr:col>
      <xdr:colOff>628651</xdr:colOff>
      <xdr:row>10</xdr:row>
      <xdr:rowOff>204676</xdr:rowOff>
    </xdr:to>
    <xdr:sp macro="" textlink="">
      <xdr:nvSpPr>
        <xdr:cNvPr id="44" name="Retângulo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1037200-F819-497A-D27E-2317FF85F520}"/>
            </a:ext>
          </a:extLst>
        </xdr:cNvPr>
        <xdr:cNvSpPr/>
      </xdr:nvSpPr>
      <xdr:spPr>
        <a:xfrm>
          <a:off x="6722969" y="2919301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</a:t>
          </a:r>
          <a:r>
            <a:rPr lang="pt-BR" sz="1100" b="0" baseline="0">
              <a:solidFill>
                <a:schemeClr val="bg1"/>
              </a:solidFill>
            </a:rPr>
            <a:t> a Pagar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617444</xdr:colOff>
      <xdr:row>11</xdr:row>
      <xdr:rowOff>74464</xdr:rowOff>
    </xdr:from>
    <xdr:to>
      <xdr:col>9</xdr:col>
      <xdr:colOff>628651</xdr:colOff>
      <xdr:row>12</xdr:row>
      <xdr:rowOff>103039</xdr:rowOff>
    </xdr:to>
    <xdr:sp macro="" textlink="">
      <xdr:nvSpPr>
        <xdr:cNvPr id="45" name="Retângulo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B8DF0E9-3EBC-6623-FB8F-CEFF2412B980}"/>
            </a:ext>
          </a:extLst>
        </xdr:cNvPr>
        <xdr:cNvSpPr/>
      </xdr:nvSpPr>
      <xdr:spPr>
        <a:xfrm>
          <a:off x="6722969" y="3312964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617444</xdr:colOff>
      <xdr:row>12</xdr:row>
      <xdr:rowOff>220475</xdr:rowOff>
    </xdr:from>
    <xdr:to>
      <xdr:col>9</xdr:col>
      <xdr:colOff>628651</xdr:colOff>
      <xdr:row>14</xdr:row>
      <xdr:rowOff>1400</xdr:rowOff>
    </xdr:to>
    <xdr:sp macro="" textlink="">
      <xdr:nvSpPr>
        <xdr:cNvPr id="46" name="Retângulo 4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F8FBAAE-4496-FD58-245B-B865CE3C5264}"/>
            </a:ext>
          </a:extLst>
        </xdr:cNvPr>
        <xdr:cNvSpPr/>
      </xdr:nvSpPr>
      <xdr:spPr>
        <a:xfrm>
          <a:off x="6722969" y="3706625"/>
          <a:ext cx="2354357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  <a:r>
            <a:rPr lang="pt-BR" sz="1100" b="0" baseline="0">
              <a:solidFill>
                <a:schemeClr val="bg1"/>
              </a:solidFill>
            </a:rPr>
            <a:t>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676275</xdr:colOff>
      <xdr:row>4</xdr:row>
      <xdr:rowOff>141250</xdr:rowOff>
    </xdr:from>
    <xdr:to>
      <xdr:col>14</xdr:col>
      <xdr:colOff>9527</xdr:colOff>
      <xdr:row>5</xdr:row>
      <xdr:rowOff>169825</xdr:rowOff>
    </xdr:to>
    <xdr:sp macro="" textlink="">
      <xdr:nvSpPr>
        <xdr:cNvPr id="48" name="Retângulo 4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769AFF0-D661-638E-CB3E-593A66C77D90}"/>
            </a:ext>
          </a:extLst>
        </xdr:cNvPr>
        <xdr:cNvSpPr/>
      </xdr:nvSpPr>
      <xdr:spPr>
        <a:xfrm>
          <a:off x="9906000" y="1646200"/>
          <a:ext cx="2457452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</a:t>
          </a:r>
          <a:r>
            <a:rPr lang="pt-BR" sz="1100" b="0" baseline="0">
              <a:solidFill>
                <a:schemeClr val="bg1"/>
              </a:solidFill>
            </a:rPr>
            <a:t> Financeiro - Posição Anual</a:t>
          </a: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11957</xdr:colOff>
      <xdr:row>8</xdr:row>
      <xdr:rowOff>171450</xdr:rowOff>
    </xdr:from>
    <xdr:to>
      <xdr:col>1</xdr:col>
      <xdr:colOff>2686050</xdr:colOff>
      <xdr:row>16</xdr:row>
      <xdr:rowOff>16935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D9FCEBF-0F48-4590-E879-D1DF735F5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57" y="2667000"/>
          <a:ext cx="2674093" cy="18266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50F77-224B-4979-8D1B-3DDFFE70DE0E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280707</xdr:colOff>
      <xdr:row>1</xdr:row>
      <xdr:rowOff>10087</xdr:rowOff>
    </xdr:from>
    <xdr:to>
      <xdr:col>7</xdr:col>
      <xdr:colOff>862853</xdr:colOff>
      <xdr:row>1</xdr:row>
      <xdr:rowOff>918883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4AC98C2E-8AE3-B785-6050-F1ED712C5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8089" y="514352"/>
              <a:ext cx="3338793" cy="9087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1418104</xdr:colOff>
      <xdr:row>1</xdr:row>
      <xdr:rowOff>26895</xdr:rowOff>
    </xdr:from>
    <xdr:to>
      <xdr:col>3</xdr:col>
      <xdr:colOff>885264</xdr:colOff>
      <xdr:row>1</xdr:row>
      <xdr:rowOff>918882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5286CB97-D751-E657-AB76-7F6164D212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7045" y="531160"/>
              <a:ext cx="2436719" cy="891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63C03-14E4-4C7A-8931-8DAC5A1AD89B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447675</xdr:colOff>
      <xdr:row>1</xdr:row>
      <xdr:rowOff>38100</xdr:rowOff>
    </xdr:from>
    <xdr:to>
      <xdr:col>6</xdr:col>
      <xdr:colOff>161925</xdr:colOff>
      <xdr:row>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C82CD32E-0544-A537-D645-BD9184518D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542925"/>
              <a:ext cx="245745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1314450</xdr:colOff>
      <xdr:row>1</xdr:row>
      <xdr:rowOff>38100</xdr:rowOff>
    </xdr:from>
    <xdr:to>
      <xdr:col>3</xdr:col>
      <xdr:colOff>180975</xdr:colOff>
      <xdr:row>1</xdr:row>
      <xdr:rowOff>952499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D54B7982-30C4-BA78-3DAD-09FEA7FF20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1150" y="542925"/>
              <a:ext cx="182880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97936-8A13-4FA4-AE94-17395BAE3029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247650</xdr:colOff>
      <xdr:row>1</xdr:row>
      <xdr:rowOff>0</xdr:rowOff>
    </xdr:from>
    <xdr:to>
      <xdr:col>8</xdr:col>
      <xdr:colOff>400050</xdr:colOff>
      <xdr:row>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">
              <a:extLst>
                <a:ext uri="{FF2B5EF4-FFF2-40B4-BE49-F238E27FC236}">
                  <a16:creationId xmlns:a16="http://schemas.microsoft.com/office/drawing/2014/main" id="{B908C087-BE11-CC4C-6ED5-A4AAFD9B94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504825"/>
              <a:ext cx="260985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1447800</xdr:colOff>
      <xdr:row>1</xdr:row>
      <xdr:rowOff>19050</xdr:rowOff>
    </xdr:from>
    <xdr:to>
      <xdr:col>3</xdr:col>
      <xdr:colOff>361950</xdr:colOff>
      <xdr:row>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">
              <a:extLst>
                <a:ext uri="{FF2B5EF4-FFF2-40B4-BE49-F238E27FC236}">
                  <a16:creationId xmlns:a16="http://schemas.microsoft.com/office/drawing/2014/main" id="{B15F38F6-B4B5-621B-649B-CF1ACCEC34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0" y="523875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8FB6C-CD18-450C-BA5C-98F78C4EFF59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495300</xdr:colOff>
      <xdr:row>1</xdr:row>
      <xdr:rowOff>19051</xdr:rowOff>
    </xdr:from>
    <xdr:to>
      <xdr:col>6</xdr:col>
      <xdr:colOff>228600</xdr:colOff>
      <xdr:row>1</xdr:row>
      <xdr:rowOff>990600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 1">
              <a:extLst>
                <a:ext uri="{FF2B5EF4-FFF2-40B4-BE49-F238E27FC236}">
                  <a16:creationId xmlns:a16="http://schemas.microsoft.com/office/drawing/2014/main" id="{BE1C22B2-AA41-9224-66CA-99A375057F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4275" y="523876"/>
              <a:ext cx="24765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1352550</xdr:colOff>
      <xdr:row>1</xdr:row>
      <xdr:rowOff>47625</xdr:rowOff>
    </xdr:from>
    <xdr:to>
      <xdr:col>3</xdr:col>
      <xdr:colOff>219075</xdr:colOff>
      <xdr:row>1</xdr:row>
      <xdr:rowOff>1000125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 1">
              <a:extLst>
                <a:ext uri="{FF2B5EF4-FFF2-40B4-BE49-F238E27FC236}">
                  <a16:creationId xmlns:a16="http://schemas.microsoft.com/office/drawing/2014/main" id="{AD74E0D5-EC10-67A4-9CD5-C581ABCEE8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0" y="55245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4C33C0-0E41-4CA8-B301-C703223743EB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1409699</xdr:colOff>
      <xdr:row>1</xdr:row>
      <xdr:rowOff>38102</xdr:rowOff>
    </xdr:from>
    <xdr:to>
      <xdr:col>4</xdr:col>
      <xdr:colOff>438149</xdr:colOff>
      <xdr:row>1</xdr:row>
      <xdr:rowOff>704850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06704441-6099-93C6-2D92-7C5C2A842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399" y="542927"/>
              <a:ext cx="2905125" cy="666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50C234-F4B2-411D-9076-8210E59E14BE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47624</xdr:colOff>
      <xdr:row>4</xdr:row>
      <xdr:rowOff>28575</xdr:rowOff>
    </xdr:from>
    <xdr:to>
      <xdr:col>10</xdr:col>
      <xdr:colOff>28575</xdr:colOff>
      <xdr:row>10</xdr:row>
      <xdr:rowOff>238125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6D83F0-606D-43D7-9B96-8166F8FFF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12</xdr:row>
      <xdr:rowOff>123825</xdr:rowOff>
    </xdr:from>
    <xdr:to>
      <xdr:col>3</xdr:col>
      <xdr:colOff>2447925</xdr:colOff>
      <xdr:row>18</xdr:row>
      <xdr:rowOff>285750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D3929-3A84-4CA5-B1EC-F4932C898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13</xdr:row>
      <xdr:rowOff>123825</xdr:rowOff>
    </xdr:from>
    <xdr:to>
      <xdr:col>8</xdr:col>
      <xdr:colOff>2324100</xdr:colOff>
      <xdr:row>19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E5C6EB-70EB-499C-B33F-D389E8406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</xdr:colOff>
      <xdr:row>15</xdr:row>
      <xdr:rowOff>38099</xdr:rowOff>
    </xdr:from>
    <xdr:to>
      <xdr:col>10</xdr:col>
      <xdr:colOff>2200274</xdr:colOff>
      <xdr:row>18</xdr:row>
      <xdr:rowOff>219073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24367C-25D9-42ED-BEF8-6584351FB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AB2E16-9EF2-47AE-BF6C-4D8BE4BE6229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DC7C1-F64A-47FC-8F77-6A5A64306948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07484-E866-4671-A2F5-18D607941FF2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A60EB4-E9FF-4F22-B921-276D2F307769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B77F5D-C5ED-439F-B583-AE5226ECEB47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A6C31A-8889-4B06-93F7-56E23C60E69E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1B6C6F-FD3F-484A-8D5B-D1A14724654A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114300</xdr:rowOff>
    </xdr:from>
    <xdr:to>
      <xdr:col>1</xdr:col>
      <xdr:colOff>1190626</xdr:colOff>
      <xdr:row>1</xdr:row>
      <xdr:rowOff>390525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76D4CC-E98C-4ED0-9847-4D8A8F96BBEC}"/>
            </a:ext>
          </a:extLst>
        </xdr:cNvPr>
        <xdr:cNvSpPr/>
      </xdr:nvSpPr>
      <xdr:spPr>
        <a:xfrm>
          <a:off x="276226" y="619125"/>
          <a:ext cx="1181100" cy="27622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INÍCIO</a:t>
          </a:r>
        </a:p>
        <a:p>
          <a:pPr algn="ctr"/>
          <a:endParaRPr lang="pt-BR" sz="1100" b="0">
            <a:solidFill>
              <a:schemeClr val="bg1"/>
            </a:solidFill>
          </a:endParaRP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Campos" refreshedDate="45816.695850115742" createdVersion="8" refreshedVersion="8" minRefreshableVersion="3" recordCount="229" xr:uid="{0F1449E7-2D6C-49E2-BAE5-5E32CC02D2D8}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142005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Campos" refreshedDate="45816.70720034722" createdVersion="8" refreshedVersion="8" minRefreshableVersion="3" recordCount="231" xr:uid="{3BE0A6DA-AFDF-40F7-97B3-C10B1F079F71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065587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s v=""/>
    <d v="2017-10-09T00:00:00"/>
    <d v="2017-11-04T07:09:50"/>
    <x v="0"/>
    <x v="0"/>
    <s v="NF5012"/>
    <n v="1171"/>
    <x v="4"/>
    <n v="0"/>
    <x v="2"/>
    <x v="0"/>
    <x v="3"/>
    <x v="0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</r>
  <r>
    <s v=""/>
    <d v="2017-11-29T00:00:00"/>
    <d v="2018-01-26T12:01:24"/>
    <x v="0"/>
    <x v="3"/>
    <s v="NF4129"/>
    <n v="1284"/>
    <x v="4"/>
    <n v="0"/>
    <x v="3"/>
    <x v="0"/>
    <x v="5"/>
    <x v="1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</r>
  <r>
    <s v=""/>
    <d v="2018-03-23T00:00:00"/>
    <d v="2018-04-09T01:30:48"/>
    <x v="0"/>
    <x v="0"/>
    <s v="NF2814"/>
    <n v="2388"/>
    <x v="4"/>
    <n v="0"/>
    <x v="7"/>
    <x v="1"/>
    <x v="8"/>
    <x v="1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</r>
  <r>
    <s v=""/>
    <d v="2018-04-19T00:00:00"/>
    <d v="2018-06-15T08:09:46"/>
    <x v="0"/>
    <x v="1"/>
    <s v="NF9381"/>
    <n v="2224"/>
    <x v="4"/>
    <n v="0"/>
    <x v="8"/>
    <x v="1"/>
    <x v="10"/>
    <x v="1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</r>
  <r>
    <s v=""/>
    <d v="2018-05-24T00:00:00"/>
    <d v="2018-06-24T10:58:45"/>
    <x v="0"/>
    <x v="3"/>
    <s v="NF7741"/>
    <n v="3878"/>
    <x v="4"/>
    <n v="0"/>
    <x v="9"/>
    <x v="1"/>
    <x v="10"/>
    <x v="1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</r>
  <r>
    <s v=""/>
    <d v="2018-06-24T00:00:00"/>
    <d v="2018-08-01T15:18:17"/>
    <x v="0"/>
    <x v="2"/>
    <s v="NF1725"/>
    <n v="770"/>
    <x v="4"/>
    <n v="0"/>
    <x v="10"/>
    <x v="1"/>
    <x v="0"/>
    <x v="1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</r>
  <r>
    <s v=""/>
    <d v="2018-09-01T00:00:00"/>
    <d v="2018-09-27T15:55:52"/>
    <x v="0"/>
    <x v="1"/>
    <s v="NF6643"/>
    <n v="4253"/>
    <x v="4"/>
    <n v="0"/>
    <x v="1"/>
    <x v="1"/>
    <x v="1"/>
    <x v="1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s v=""/>
    <d v="2018-10-05T00:00:00"/>
    <d v="2018-10-26T19:35:25"/>
    <x v="0"/>
    <x v="3"/>
    <s v="NF3137"/>
    <n v="4922"/>
    <x v="4"/>
    <n v="0"/>
    <x v="2"/>
    <x v="1"/>
    <x v="2"/>
    <x v="1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</r>
  <r>
    <s v=""/>
    <d v="2018-11-23T00:00:00"/>
    <d v="2018-12-31T01:31:16"/>
    <x v="0"/>
    <x v="1"/>
    <s v="NF5107"/>
    <n v="1414"/>
    <x v="4"/>
    <n v="0"/>
    <x v="3"/>
    <x v="1"/>
    <x v="4"/>
    <x v="1"/>
    <x v="1"/>
  </r>
  <r>
    <s v=""/>
    <d v="2018-11-26T00:00:00"/>
    <d v="2018-12-13T21:21:29"/>
    <x v="0"/>
    <x v="3"/>
    <s v="NF4367"/>
    <n v="919"/>
    <x v="4"/>
    <n v="0"/>
    <x v="3"/>
    <x v="1"/>
    <x v="4"/>
    <x v="1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</r>
  <r>
    <s v=""/>
    <d v="2018-11-30T00:00:00"/>
    <d v="2018-12-21T06:25:18"/>
    <x v="0"/>
    <x v="2"/>
    <s v="NF5922"/>
    <n v="4639"/>
    <x v="4"/>
    <n v="0"/>
    <x v="3"/>
    <x v="1"/>
    <x v="4"/>
    <x v="1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</r>
  <r>
    <s v=""/>
    <d v="2018-12-10T00:00:00"/>
    <d v="2019-01-12T04:05:06"/>
    <x v="0"/>
    <x v="2"/>
    <s v="NF1938"/>
    <n v="483"/>
    <x v="4"/>
    <n v="0"/>
    <x v="4"/>
    <x v="1"/>
    <x v="5"/>
    <x v="2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</r>
  <r>
    <s v=""/>
    <d v="2019-02-16T00:00:00"/>
    <d v="2019-04-15T04:56:28"/>
    <x v="0"/>
    <x v="1"/>
    <s v="NF4097"/>
    <n v="928"/>
    <x v="4"/>
    <n v="0"/>
    <x v="6"/>
    <x v="2"/>
    <x v="8"/>
    <x v="2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</r>
  <r>
    <s v=""/>
    <d v="2019-03-28T00:00:00"/>
    <d v="2019-05-01T21:23:18"/>
    <x v="0"/>
    <x v="2"/>
    <s v="NF2352"/>
    <n v="1348"/>
    <x v="4"/>
    <n v="0"/>
    <x v="7"/>
    <x v="2"/>
    <x v="9"/>
    <x v="2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</r>
  <r>
    <s v=""/>
    <d v="2019-05-12T00:00:00"/>
    <d v="2019-05-20T09:30:20"/>
    <x v="0"/>
    <x v="1"/>
    <s v="NF7868"/>
    <n v="667"/>
    <x v="4"/>
    <n v="0"/>
    <x v="9"/>
    <x v="2"/>
    <x v="9"/>
    <x v="2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</r>
  <r>
    <s v=""/>
    <d v="2019-06-13T00:00:00"/>
    <d v="2019-07-22T22:11:49"/>
    <x v="0"/>
    <x v="3"/>
    <s v="NF8169"/>
    <n v="508"/>
    <x v="4"/>
    <n v="0"/>
    <x v="10"/>
    <x v="2"/>
    <x v="11"/>
    <x v="2"/>
    <x v="1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</r>
  <r>
    <s v=""/>
    <d v="2019-06-28T00:00:00"/>
    <d v="2019-07-16T06:26:47"/>
    <x v="0"/>
    <x v="1"/>
    <s v="NF6344"/>
    <n v="1479"/>
    <x v="4"/>
    <n v="0"/>
    <x v="10"/>
    <x v="2"/>
    <x v="11"/>
    <x v="2"/>
    <x v="1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85C44-46E8-4111-BF8A-63D02D3FA333}" name="TdDetalhaReceita" cacheId="5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5A8A6-E14D-45EF-AC78-48C8AA0E0118}" name="TdDetalhaDespesa" cacheId="2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2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89A87-7316-49AD-9E7E-8B86542A6B37}" name="TdContasPagar" cacheId="26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B6:G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4">
    <i>
      <x/>
    </i>
    <i r="1">
      <x v="1"/>
    </i>
    <i r="1">
      <x v="4"/>
    </i>
    <i t="grand">
      <x/>
    </i>
  </rowItems>
  <colFields count="2">
    <field x="7"/>
    <field x="11"/>
  </colFields>
  <colItems count="5">
    <i>
      <x/>
      <x/>
    </i>
    <i r="1">
      <x v="2"/>
    </i>
    <i r="1">
      <x v="5"/>
    </i>
    <i r="1">
      <x v="7"/>
    </i>
    <i t="default">
      <x/>
    </i>
  </colItems>
  <pageFields count="1">
    <pageField fld="12" item="1" hier="-1"/>
  </pageFields>
  <dataFields count="1">
    <dataField name="Soma de Valor" fld="6" baseField="3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A66FC-F7ED-485A-8B60-DABD834A15DF}" name="TdContasReceber" cacheId="56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</pivotFields>
  <rowFields count="2">
    <field x="3"/>
    <field x="4"/>
  </rowFields>
  <rowItems count="5">
    <i>
      <x/>
    </i>
    <i r="1"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4"/>
    </i>
    <i r="1">
      <x v="6"/>
    </i>
    <i t="default">
      <x/>
    </i>
  </colItems>
  <pageFields count="1">
    <pageField fld="12" item="2" hier="-1"/>
  </pageFields>
  <dataFields count="1">
    <dataField name="Soma de Valor" fld="6" baseField="4" baseItem="3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42475-6AD1-4797-8C91-00306CEC1692}" name="TdContasReceberVencidas" cacheId="5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h="1" x="0"/>
        <item x="1"/>
        <item t="default"/>
      </items>
    </pivotField>
  </pivotFields>
  <rowFields count="2">
    <field x="3"/>
    <field x="4"/>
  </rowFields>
  <rowItems count="5">
    <i>
      <x/>
    </i>
    <i r="1">
      <x/>
    </i>
    <i r="1">
      <x v="1"/>
    </i>
    <i r="1">
      <x v="3"/>
    </i>
    <i t="grand">
      <x/>
    </i>
  </rowItems>
  <colFields count="2">
    <field x="13"/>
    <field x="9"/>
  </colFields>
  <colItems count="5">
    <i>
      <x v="1"/>
      <x v="8"/>
    </i>
    <i r="1">
      <x v="9"/>
    </i>
    <i r="1">
      <x v="10"/>
    </i>
    <i t="default">
      <x v="1"/>
    </i>
    <i t="grand">
      <x/>
    </i>
  </colItems>
  <pageFields count="1">
    <pageField fld="10" item="0" hier="-1"/>
  </pageFields>
  <dataFields count="1">
    <dataField name="Soma de Valor" fld="6" baseField="4" baseItem="1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824A4A9E-F204-4F87-901E-76938FB68EF7}" sourceName="Mês Competência">
  <pivotTables>
    <pivotTable tabId="10" name="TdDetalhaReceita"/>
  </pivotTables>
  <data>
    <tabular pivotCacheId="1065587267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27683A67-D8E2-4DA8-8EF2-02427543B146}" sourceName="Ano Competência">
  <pivotTables>
    <pivotTable tabId="10" name="TdDetalhaReceita"/>
  </pivotTables>
  <data>
    <tabular pivotCacheId="1065587267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C06D8DC4-8DA9-4A95-B9DB-3CAFD54B6DF6}" sourceName="Mês Competência">
  <pivotTables>
    <pivotTable tabId="11" name="TdDetalhaDespesa"/>
  </pivotTables>
  <data>
    <tabular pivotCacheId="114200527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6C31D83E-CA4A-40F6-BE33-4D965219E78A}" sourceName="Ano Competência">
  <pivotTables>
    <pivotTable tabId="11" name="TdDetalhaDespesa"/>
  </pivotTables>
  <data>
    <tabular pivotCacheId="114200527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BB23D550-666D-49BB-ADE3-285AFEF0234B}" sourceName="Mês Previsto">
  <pivotTables>
    <pivotTable tabId="12" name="TdContasPagar"/>
  </pivotTables>
  <data>
    <tabular pivotCacheId="114200527">
      <items count="12">
        <i x="4" s="1"/>
        <i x="6" s="1"/>
        <i x="9" s="1"/>
        <i x="11" s="1"/>
        <i x="5" s="1" nd="1"/>
        <i x="7" s="1" nd="1"/>
        <i x="8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908D29D4-585A-4347-B134-65CD982B4E78}" sourceName="Ano Previsto">
  <pivotTables>
    <pivotTable tabId="12" name="TdContasPagar"/>
  </pivotTables>
  <data>
    <tabular pivotCacheId="114200527">
      <items count="3">
        <i x="0"/>
        <i x="1" s="1"/>
        <i x="2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C9A6BC5-1AAE-4C7D-8655-F2C8DCDF87E6}" sourceName="Mês Previsto">
  <pivotTables>
    <pivotTable tabId="13" name="TdContasReceber"/>
  </pivotTables>
  <data>
    <tabular pivotCacheId="1065587267">
      <items count="12">
        <i x="5" s="1"/>
        <i x="8" s="1"/>
        <i x="9" s="1"/>
        <i x="11" s="1"/>
        <i x="6" s="1" nd="1"/>
        <i x="7" s="1" nd="1"/>
        <i x="10" s="1" nd="1"/>
        <i x="0" s="1" nd="1"/>
        <i x="1" s="1" nd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8BC769D6-2BCB-4021-92EB-C2A7C3F88140}" sourceName="Ano Previsto">
  <pivotTables>
    <pivotTable tabId="13" name="TdContasReceber"/>
  </pivotTables>
  <data>
    <tabular pivotCacheId="1065587267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F75C8C44-9913-4D92-87FC-A05A9684608F}" sourceName="Ano Competência">
  <pivotTables>
    <pivotTable tabId="14" name="TdContasReceberVencidas"/>
  </pivotTables>
  <data>
    <tabular pivotCacheId="1065587267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2F6BEE73-C7B5-4C39-AD0A-AF7775884C6A}" cache="SegmentaçãodeDados_Mês_Competência" caption="Mês Competência" columnCount="6" rowHeight="241300"/>
  <slicer name="Ano Competência" xr10:uid="{F2D6C8D8-A390-40C1-A1B4-868E0B0513E2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F51B551C-A181-4EE1-B6C0-D8C431B1F2C8}" cache="SegmentaçãodeDados_Mês_Competência1" caption="Mês Competência" columnCount="6" rowHeight="241300"/>
  <slicer name="Ano Competência 1" xr10:uid="{8E8FDEFF-982F-4A85-BAAE-D31C589BB0F5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40D0FA51-4490-421A-804F-0388D80AF32C}" cache="SegmentaçãodeDados_Mês_Previsto" caption="Mês Previsto" columnCount="6" rowHeight="241300"/>
  <slicer name="Ano Previsto" xr10:uid="{494CF07B-7A07-4B5E-8E93-89FDF7C705E7}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EDDA81E7-F8EA-42E7-9DE1-84A644528A66}" cache="SegmentaçãodeDados_Mês_Previsto1" caption="Mês Previsto" columnCount="6" rowHeight="241300"/>
  <slicer name="Ano Previsto 1" xr10:uid="{5ED19C03-1D73-441C-8086-B80045FB4282}" cache="SegmentaçãodeDados_Ano_Previsto1" caption="Ano Previsto" columnCount="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B6725877-3D92-42BB-8953-DE81B8E23210}" cache="SegmentaçãodeDados_Ano_Competência2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F8753-E438-4671-9179-9FAC773474C6}" name="TbPCEntradasN1" displayName="TbPCEntradasN1" ref="B4:B9" totalsRowShown="0" headerRowDxfId="35">
  <autoFilter ref="B4:B9" xr:uid="{B1AF8753-E438-4671-9179-9FAC773474C6}"/>
  <tableColumns count="1">
    <tableColumn id="1" xr3:uid="{7874B4F4-7C4C-47C1-8F2E-03E72BA4F77D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BA3CEA-C8C7-4D94-8056-665CEC3B5F31}" name="Tabela2" displayName="Tabela2" ref="B4:C13" totalsRowShown="0" headerRowDxfId="34">
  <autoFilter ref="B4:C13" xr:uid="{76BA3CEA-C8C7-4D94-8056-665CEC3B5F31}"/>
  <tableColumns count="2">
    <tableColumn id="1" xr3:uid="{4AC97C49-046E-4641-A1AE-88E06495FDAB}" name="Nível 1"/>
    <tableColumn id="2" xr3:uid="{56BBB607-5D89-4E46-B72D-50E99121CB6E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6BFEC5-A8FF-45DB-9BE5-FD2BF029C0E8}" name="TbPCSaídasN1" displayName="TbPCSaídasN1" ref="B4:B10" totalsRowShown="0" headerRowDxfId="33">
  <autoFilter ref="B4:B10" xr:uid="{C36BFEC5-A8FF-45DB-9BE5-FD2BF029C0E8}"/>
  <tableColumns count="1">
    <tableColumn id="1" xr3:uid="{968E0D96-0EC6-4443-A027-8E29C6CC15F1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F96906-C210-42A5-9C44-BE8C0FB4A217}" name="TbPCSaídasN2" displayName="TbPCSaídasN2" ref="B4:C16" totalsRowShown="0" headerRowDxfId="32">
  <autoFilter ref="B4:C16" xr:uid="{05F96906-C210-42A5-9C44-BE8C0FB4A217}"/>
  <tableColumns count="2">
    <tableColumn id="1" xr3:uid="{CD7C05F0-ACD7-4F5D-8F0D-53C8484EB70E}" name="Nível 1"/>
    <tableColumn id="2" xr3:uid="{FEAA64E1-6E87-4F69-ACD5-47E4D9696D6E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1D082C-8351-4C10-A04E-AF322B46CB77}" name="TbRegistroEntradas" displayName="TbRegistroEntradas" ref="B3:Q234" totalsRowShown="0" headerRowDxfId="27">
  <autoFilter ref="B3:Q234" xr:uid="{AA1D082C-8351-4C10-A04E-AF322B46CB77}"/>
  <tableColumns count="16">
    <tableColumn id="1" xr3:uid="{4C5CAFEA-8367-44FD-AD3A-21E19B0613F0}" name="Data do Caixa Realizado" dataDxfId="31"/>
    <tableColumn id="2" xr3:uid="{CA04F314-BAA4-4722-BF60-60532D205B62}" name="Data da Competência" dataDxfId="30"/>
    <tableColumn id="3" xr3:uid="{AB6161BD-1198-4D07-813E-36848D8BB816}" name="Data do Caixa Previsto" dataDxfId="29"/>
    <tableColumn id="4" xr3:uid="{10240024-EE0C-46B5-A566-7AEC3F2D4EC1}" name="Conta Nível 1"/>
    <tableColumn id="5" xr3:uid="{091CCE53-F38C-47D3-8AAC-D2040C84A478}" name="Conta Nível 2"/>
    <tableColumn id="6" xr3:uid="{7FBF5594-C125-4702-92AD-9D2A9D683CB4}" name="Histórico"/>
    <tableColumn id="7" xr3:uid="{10585A4D-8C78-4E76-8D62-5A3D85791F18}" name="Valor" dataDxfId="28"/>
    <tableColumn id="8" xr3:uid="{33F21392-2888-4585-8F8C-16527472CA7F}" name="Mês Caixa" dataDxfId="19">
      <calculatedColumnFormula>IF(TbRegistroEntradas[[#This Row],[Data do Caixa Realizado]]="",0,MONTH(TbRegistroEntradas[[#This Row],[Data do Caixa Realizado]]))</calculatedColumnFormula>
    </tableColumn>
    <tableColumn id="9" xr3:uid="{E93866FC-1C2D-42ED-9F7B-F8BE7419CE44}" name="Ano Caixa" dataDxfId="18">
      <calculatedColumnFormula>IF(TbRegistroEntradas[[#This Row],[Data do Caixa Realizado]]="",0,YEAR(TbRegistroEntradas[[#This Row],[Data do Caixa Realizado]]))</calculatedColumnFormula>
    </tableColumn>
    <tableColumn id="10" xr3:uid="{C09CB603-B4C9-4484-B52F-79875DC04C06}" name="Mês Competência" dataDxfId="15">
      <calculatedColumnFormula>IF(TbRegistroEntradas[[#This Row],[Data da Competência]]="",0,MONTH(TbRegistroEntradas[[#This Row],[Data da Competência]]))</calculatedColumnFormula>
    </tableColumn>
    <tableColumn id="11" xr3:uid="{7A6857A0-5136-477C-9E82-D3F0215D7E0C}" name="Ano Competência" dataDxfId="14">
      <calculatedColumnFormula>IF(TbRegistroEntradas[[#This Row],[Data da Competência]]="",0,YEAR(TbRegistroEntradas[[#This Row],[Data da Competência]]))</calculatedColumnFormula>
    </tableColumn>
    <tableColumn id="12" xr3:uid="{6AC37C33-795B-4980-9BB5-B47E68A94626}" name="Mês Previsto" dataDxfId="10">
      <calculatedColumnFormula>IF(TbRegistroEntradas[[#This Row],[Data do Caixa Previsto]]="",0,MONTH(TbRegistroEntradas[[#This Row],[Data do Caixa Previsto]]))</calculatedColumnFormula>
    </tableColumn>
    <tableColumn id="13" xr3:uid="{108FB4C0-0DF9-48BA-AF18-F65177A504FC}" name="Ano Previsto" dataDxfId="9">
      <calculatedColumnFormula>IF(TbRegistroEntradas[[#This Row],[Data do Caixa Previsto]]="",0,YEAR(TbRegistroEntradas[[#This Row],[Data do Caixa Previsto]]))</calculatedColumnFormula>
    </tableColumn>
    <tableColumn id="14" xr3:uid="{0F9F1292-81BA-4616-8BAB-9988C42CD148}" name="Conta Vencida" dataDxfId="8">
      <calculatedColumnFormula>IF(AND(TbRegistroEntradas[[#This Row],[Data do Caixa Previsto]]&lt;TODAY(),TbRegistroEntradas[[#This Row],[Data do Caixa Realizado]]=""),"Vencida","Não Vencida")</calculatedColumnFormula>
    </tableColumn>
    <tableColumn id="15" xr3:uid="{A67D0BCA-42C8-4051-AFCB-F75B171C49EA}" name="Venda à Vista" dataDxfId="7">
      <calculatedColumnFormula>IF(TbRegistroEntradas[[#This Row],[Data da Competência]]=TbRegistroEntradas[[#This Row],[Data do Caixa Previsto]],"Vista","Prazo")</calculatedColumnFormula>
    </tableColumn>
    <tableColumn id="16" xr3:uid="{C83BC9B7-59F4-4610-BD0E-0D6847A052A5}" name="Dias de Atraso" dataDxfId="6">
      <calculatedColumnFormula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8578C4-8625-45E7-BC84-2BC5DF2A8B7C}" name="TbRegistroSaídas" displayName="TbRegistroSaídas" ref="B3:O232" totalsRowShown="0" headerRowDxfId="21" headerRowBorderDxfId="25" tableBorderDxfId="26">
  <autoFilter ref="B3:O232" xr:uid="{A58578C4-8625-45E7-BC84-2BC5DF2A8B7C}"/>
  <tableColumns count="14">
    <tableColumn id="1" xr3:uid="{2000C651-9713-436A-B7CF-2207D5F4E005}" name="Data do Caixa Realizado" dataDxfId="24"/>
    <tableColumn id="2" xr3:uid="{EEDF0B20-1208-4FC1-9A79-4F886BB0C6FD}" name="Data da Competência" dataDxfId="23"/>
    <tableColumn id="3" xr3:uid="{788C86B1-294E-4ED7-A15F-36FCC24F6980}" name="Data do Caixa Previsto" dataDxfId="22"/>
    <tableColumn id="4" xr3:uid="{AB4F5F9D-8710-48B6-9D19-D3CCF25B064C}" name="Conta Nível 1"/>
    <tableColumn id="5" xr3:uid="{BBCD81E4-C983-48A4-B03F-3F76E4235008}" name="Conta Nível 2"/>
    <tableColumn id="6" xr3:uid="{4578DD8E-96DD-440D-9FFC-21021A48DF7F}" name="Histórico"/>
    <tableColumn id="7" xr3:uid="{1C24D875-374F-4F82-B281-12AC99701FC7}" name="Valor" dataDxfId="20"/>
    <tableColumn id="8" xr3:uid="{4EE43BF2-A0DF-4A25-940F-0119015EF901}" name="Mês Caixa" dataDxfId="17">
      <calculatedColumnFormula>IF(TbRegistroSaídas[[#This Row],[Data do Caixa Realizado]]="",0,MONTH(TbRegistroSaídas[[#This Row],[Data do Caixa Realizado]]))</calculatedColumnFormula>
    </tableColumn>
    <tableColumn id="9" xr3:uid="{3FEBAA4C-F030-4D6D-AA4D-A3CDD2B60353}" name="Ano Caixa" dataDxfId="16">
      <calculatedColumnFormula>IF(TbRegistroSaídas[[#This Row],[Data do Caixa Realizado]]="",0,YEAR(TbRegistroSaídas[[#This Row],[Data do Caixa Realizado]]))</calculatedColumnFormula>
    </tableColumn>
    <tableColumn id="10" xr3:uid="{2294F22D-CD1A-4D33-9A6B-5A5C73BA99F8}" name="Mês Competência" dataDxfId="13">
      <calculatedColumnFormula>IF(TbRegistroSaídas[[#This Row],[Data da Competência]]="",0,MONTH(TbRegistroSaídas[[#This Row],[Data da Competência]]))</calculatedColumnFormula>
    </tableColumn>
    <tableColumn id="11" xr3:uid="{F1115BB5-F83D-4320-94A3-5E26F91ADC59}" name="Ano Competência" dataDxfId="12">
      <calculatedColumnFormula>IF(TbRegistroSaídas[[#This Row],[Data da Competência]]="",0,YEAR(TbRegistroSaídas[[#This Row],[Data da Competência]]))</calculatedColumnFormula>
    </tableColumn>
    <tableColumn id="12" xr3:uid="{7A67CA46-B1E0-4527-AC36-F7BFEB464195}" name="Mês Previsto" dataDxfId="11">
      <calculatedColumnFormula>IF(TbRegistroSaídas[[#This Row],[Data do Caixa Previsto]]="",0,MONTH(TbRegistroSaídas[[#This Row],[Data do Caixa Previsto]]))</calculatedColumnFormula>
    </tableColumn>
    <tableColumn id="13" xr3:uid="{ED7E7A30-5641-4E72-B526-097C590E465A}" name="Ano Previsto" dataDxfId="5">
      <calculatedColumnFormula>IF(TbRegistroSaídas[[#This Row],[Data do Caixa Previsto]]="",0,YEAR(TbRegistroSaídas[[#This Row],[Data do Caixa Previsto]]))</calculatedColumnFormula>
    </tableColumn>
    <tableColumn id="14" xr3:uid="{3AAE5B6A-E850-4229-8EEF-760822EE23AE}" name="Dias de Atraso" dataDxfId="4">
      <calculatedColumnFormula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showGridLines="0" showRowColHeaders="0" zoomScaleNormal="100" workbookViewId="0">
      <selection activeCell="B8" sqref="B8"/>
    </sheetView>
  </sheetViews>
  <sheetFormatPr defaultColWidth="0" defaultRowHeight="15" x14ac:dyDescent="0.25"/>
  <cols>
    <col min="1" max="1" width="4" customWidth="1"/>
    <col min="2" max="2" width="40.7109375" customWidth="1"/>
    <col min="3" max="14" width="11.7109375" customWidth="1"/>
    <col min="15" max="15" width="4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2:14" ht="39.950000000000003" customHeight="1" x14ac:dyDescent="0.25"/>
    <row r="3" spans="2:14" ht="20.100000000000001" customHeight="1" x14ac:dyDescent="0.25">
      <c r="B3" t="s">
        <v>2</v>
      </c>
    </row>
    <row r="4" spans="2:14" ht="20.100000000000001" customHeight="1" x14ac:dyDescent="0.25">
      <c r="B4" s="134" t="s">
        <v>4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3</v>
      </c>
    </row>
    <row r="8" spans="2:14" ht="20.100000000000001" customHeight="1" x14ac:dyDescent="0.25">
      <c r="B8" s="134" t="s">
        <v>1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3:14" ht="20.100000000000001" customHeight="1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33" customFormat="1" x14ac:dyDescent="0.25"/>
    <row r="34" customFormat="1" x14ac:dyDescent="0.25"/>
    <row r="35" customFormat="1" x14ac:dyDescent="0.25"/>
  </sheetData>
  <sheetProtection sheet="1" objects="1" scenarios="1" select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1A90-1DAF-4C2D-A5CC-2FF327BDBF9D}">
  <dimension ref="B1:XFD35"/>
  <sheetViews>
    <sheetView showGridLines="0" zoomScale="85" zoomScaleNormal="85" workbookViewId="0">
      <selection activeCell="F5" sqref="F5"/>
    </sheetView>
  </sheetViews>
  <sheetFormatPr defaultColWidth="0" defaultRowHeight="15" x14ac:dyDescent="0.25"/>
  <cols>
    <col min="1" max="1" width="4" customWidth="1"/>
    <col min="2" max="2" width="30.7109375" customWidth="1"/>
    <col min="3" max="14" width="13.7109375" customWidth="1"/>
    <col min="15" max="15" width="17.140625" customWidth="1"/>
    <col min="16" max="16383" width="9.140625" hidden="1"/>
    <col min="16384" max="16384" width="1.5703125" hidden="1" customWidth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13</v>
      </c>
    </row>
    <row r="2" spans="2:15" ht="73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/>
    <row r="4" spans="2:15" ht="20.100000000000001" customHeight="1" x14ac:dyDescent="0.25">
      <c r="B4" s="44" t="s">
        <v>546</v>
      </c>
      <c r="C4" t="s">
        <v>547</v>
      </c>
    </row>
    <row r="5" spans="2:15" ht="20.100000000000001" customHeight="1" x14ac:dyDescent="0.25"/>
    <row r="6" spans="2:15" ht="20.100000000000001" customHeight="1" x14ac:dyDescent="0.25">
      <c r="B6" s="44" t="s">
        <v>551</v>
      </c>
      <c r="C6" s="44" t="s">
        <v>550</v>
      </c>
    </row>
    <row r="7" spans="2:15" ht="20.100000000000001" customHeight="1" x14ac:dyDescent="0.25">
      <c r="B7" s="44" t="s">
        <v>548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549</v>
      </c>
    </row>
    <row r="8" spans="2:15" ht="20.100000000000001" customHeight="1" x14ac:dyDescent="0.25">
      <c r="B8" s="45" t="s">
        <v>27</v>
      </c>
      <c r="C8" s="47">
        <v>43479</v>
      </c>
      <c r="D8" s="47">
        <v>56516</v>
      </c>
      <c r="E8" s="47">
        <v>56059</v>
      </c>
      <c r="F8" s="47">
        <v>53165</v>
      </c>
      <c r="G8" s="47">
        <v>41611</v>
      </c>
      <c r="H8" s="47">
        <v>40576</v>
      </c>
      <c r="I8" s="47">
        <v>33298</v>
      </c>
      <c r="J8" s="47">
        <v>32438</v>
      </c>
      <c r="K8" s="47">
        <v>57887</v>
      </c>
      <c r="L8" s="47">
        <v>60137</v>
      </c>
      <c r="M8" s="47">
        <v>62513</v>
      </c>
      <c r="N8" s="47">
        <v>50431</v>
      </c>
      <c r="O8" s="47">
        <v>588110</v>
      </c>
    </row>
    <row r="9" spans="2:15" ht="20.100000000000001" customHeight="1" x14ac:dyDescent="0.25">
      <c r="B9" s="46" t="s">
        <v>63</v>
      </c>
      <c r="C9" s="47">
        <v>6857</v>
      </c>
      <c r="D9" s="47">
        <v>4461</v>
      </c>
      <c r="E9" s="47">
        <v>4800</v>
      </c>
      <c r="F9" s="47"/>
      <c r="G9" s="47">
        <v>10875</v>
      </c>
      <c r="H9" s="47">
        <v>9700</v>
      </c>
      <c r="I9" s="47">
        <v>2713</v>
      </c>
      <c r="J9" s="47">
        <v>3080</v>
      </c>
      <c r="K9" s="47">
        <v>2502</v>
      </c>
      <c r="L9" s="47">
        <v>7137</v>
      </c>
      <c r="M9" s="47">
        <v>7046</v>
      </c>
      <c r="N9" s="47">
        <v>4559</v>
      </c>
      <c r="O9" s="47">
        <v>63730</v>
      </c>
    </row>
    <row r="10" spans="2:15" ht="20.100000000000001" customHeight="1" x14ac:dyDescent="0.25">
      <c r="B10" s="46" t="s">
        <v>59</v>
      </c>
      <c r="C10" s="47">
        <v>3843</v>
      </c>
      <c r="D10" s="47">
        <v>11762</v>
      </c>
      <c r="E10" s="47">
        <v>9651</v>
      </c>
      <c r="F10" s="47">
        <v>14524</v>
      </c>
      <c r="G10" s="47">
        <v>5167</v>
      </c>
      <c r="H10" s="47">
        <v>2114</v>
      </c>
      <c r="I10" s="47">
        <v>8337</v>
      </c>
      <c r="J10" s="47">
        <v>7817</v>
      </c>
      <c r="K10" s="47">
        <v>14528</v>
      </c>
      <c r="L10" s="47">
        <v>10422</v>
      </c>
      <c r="M10" s="47">
        <v>10619</v>
      </c>
      <c r="N10" s="47">
        <v>16304</v>
      </c>
      <c r="O10" s="47">
        <v>115088</v>
      </c>
    </row>
    <row r="11" spans="2:15" ht="20.100000000000001" customHeight="1" x14ac:dyDescent="0.25">
      <c r="B11" s="46" t="s">
        <v>60</v>
      </c>
      <c r="C11" s="47">
        <v>6759</v>
      </c>
      <c r="D11" s="47">
        <v>13905</v>
      </c>
      <c r="E11" s="47">
        <v>10836</v>
      </c>
      <c r="F11" s="47">
        <v>5066</v>
      </c>
      <c r="G11" s="47">
        <v>2805</v>
      </c>
      <c r="H11" s="47">
        <v>4706</v>
      </c>
      <c r="I11" s="47">
        <v>1306</v>
      </c>
      <c r="J11" s="47"/>
      <c r="K11" s="47">
        <v>10681</v>
      </c>
      <c r="L11" s="47">
        <v>6465</v>
      </c>
      <c r="M11" s="47">
        <v>7373</v>
      </c>
      <c r="N11" s="47"/>
      <c r="O11" s="47">
        <v>69902</v>
      </c>
    </row>
    <row r="12" spans="2:15" ht="20.100000000000001" customHeight="1" x14ac:dyDescent="0.25">
      <c r="B12" s="46" t="s">
        <v>58</v>
      </c>
      <c r="C12" s="47">
        <v>18745</v>
      </c>
      <c r="D12" s="47">
        <v>20692</v>
      </c>
      <c r="E12" s="47">
        <v>13156</v>
      </c>
      <c r="F12" s="47">
        <v>32957</v>
      </c>
      <c r="G12" s="47">
        <v>13902</v>
      </c>
      <c r="H12" s="47">
        <v>19226</v>
      </c>
      <c r="I12" s="47">
        <v>12594</v>
      </c>
      <c r="J12" s="47">
        <v>11590</v>
      </c>
      <c r="K12" s="47">
        <v>27785</v>
      </c>
      <c r="L12" s="47">
        <v>20341</v>
      </c>
      <c r="M12" s="47">
        <v>28005</v>
      </c>
      <c r="N12" s="47">
        <v>17080</v>
      </c>
      <c r="O12" s="47">
        <v>236073</v>
      </c>
    </row>
    <row r="13" spans="2:15" ht="20.100000000000001" customHeight="1" x14ac:dyDescent="0.25">
      <c r="B13" s="46" t="s">
        <v>67</v>
      </c>
      <c r="C13" s="47">
        <v>7275</v>
      </c>
      <c r="D13" s="47">
        <v>5696</v>
      </c>
      <c r="E13" s="47">
        <v>17616</v>
      </c>
      <c r="F13" s="47">
        <v>618</v>
      </c>
      <c r="G13" s="47">
        <v>8862</v>
      </c>
      <c r="H13" s="47">
        <v>4830</v>
      </c>
      <c r="I13" s="47">
        <v>8348</v>
      </c>
      <c r="J13" s="47">
        <v>9951</v>
      </c>
      <c r="K13" s="47">
        <v>2391</v>
      </c>
      <c r="L13" s="47">
        <v>15772</v>
      </c>
      <c r="M13" s="47">
        <v>9470</v>
      </c>
      <c r="N13" s="47">
        <v>12488</v>
      </c>
      <c r="O13" s="47">
        <v>103317</v>
      </c>
    </row>
    <row r="14" spans="2:15" ht="20.100000000000001" customHeight="1" x14ac:dyDescent="0.25">
      <c r="B14" s="45" t="s">
        <v>549</v>
      </c>
      <c r="C14" s="47">
        <v>43479</v>
      </c>
      <c r="D14" s="47">
        <v>56516</v>
      </c>
      <c r="E14" s="47">
        <v>56059</v>
      </c>
      <c r="F14" s="47">
        <v>53165</v>
      </c>
      <c r="G14" s="47">
        <v>41611</v>
      </c>
      <c r="H14" s="47">
        <v>40576</v>
      </c>
      <c r="I14" s="47">
        <v>33298</v>
      </c>
      <c r="J14" s="47">
        <v>32438</v>
      </c>
      <c r="K14" s="47">
        <v>57887</v>
      </c>
      <c r="L14" s="47">
        <v>60137</v>
      </c>
      <c r="M14" s="47">
        <v>62513</v>
      </c>
      <c r="N14" s="47">
        <v>50431</v>
      </c>
      <c r="O14" s="47">
        <v>588110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33" customFormat="1" x14ac:dyDescent="0.25"/>
    <row r="34" customFormat="1" x14ac:dyDescent="0.25"/>
    <row r="35" customFormat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5D1B-765C-4CF7-ACA9-AE30D7B8571A}">
  <dimension ref="B1:O35"/>
  <sheetViews>
    <sheetView showGridLines="0" zoomScaleNormal="100" workbookViewId="0"/>
  </sheetViews>
  <sheetFormatPr defaultColWidth="0" defaultRowHeight="15" x14ac:dyDescent="0.25"/>
  <cols>
    <col min="1" max="1" width="4" customWidth="1"/>
    <col min="2" max="2" width="30.7109375" customWidth="1"/>
    <col min="3" max="14" width="13.7109375" customWidth="1"/>
    <col min="15" max="15" width="15.7109375" customWidth="1"/>
    <col min="16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2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/>
    <row r="4" spans="2:15" ht="20.100000000000001" customHeight="1" x14ac:dyDescent="0.25">
      <c r="B4" s="44" t="s">
        <v>546</v>
      </c>
      <c r="C4" t="s">
        <v>547</v>
      </c>
    </row>
    <row r="5" spans="2:15" ht="20.100000000000001" customHeight="1" x14ac:dyDescent="0.25"/>
    <row r="6" spans="2:15" ht="20.100000000000001" customHeight="1" x14ac:dyDescent="0.25">
      <c r="B6" s="44" t="s">
        <v>551</v>
      </c>
      <c r="C6" s="44" t="s">
        <v>550</v>
      </c>
    </row>
    <row r="7" spans="2:15" ht="20.100000000000001" customHeight="1" x14ac:dyDescent="0.25">
      <c r="B7" s="44" t="s">
        <v>548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549</v>
      </c>
    </row>
    <row r="8" spans="2:15" ht="20.100000000000001" customHeight="1" x14ac:dyDescent="0.25">
      <c r="B8" s="45" t="s">
        <v>62</v>
      </c>
      <c r="C8" s="47">
        <v>72353</v>
      </c>
      <c r="D8" s="47">
        <v>51906</v>
      </c>
      <c r="E8" s="47">
        <v>55619</v>
      </c>
      <c r="F8" s="47">
        <v>41790</v>
      </c>
      <c r="G8" s="47">
        <v>62092</v>
      </c>
      <c r="H8" s="47">
        <v>41896</v>
      </c>
      <c r="I8" s="47">
        <v>34065</v>
      </c>
      <c r="J8" s="47">
        <v>32710</v>
      </c>
      <c r="K8" s="47">
        <v>42011</v>
      </c>
      <c r="L8" s="47">
        <v>46262</v>
      </c>
      <c r="M8" s="47">
        <v>48607</v>
      </c>
      <c r="N8" s="47">
        <v>55563</v>
      </c>
      <c r="O8" s="47">
        <v>584874</v>
      </c>
    </row>
    <row r="9" spans="2:15" ht="20.100000000000001" customHeight="1" x14ac:dyDescent="0.25">
      <c r="B9" s="46" t="s">
        <v>63</v>
      </c>
      <c r="C9" s="47">
        <v>7953</v>
      </c>
      <c r="D9" s="47">
        <v>4012</v>
      </c>
      <c r="E9" s="47">
        <v>15192</v>
      </c>
      <c r="F9" s="47">
        <v>6213</v>
      </c>
      <c r="G9" s="47">
        <v>6400</v>
      </c>
      <c r="H9" s="47">
        <v>1613</v>
      </c>
      <c r="I9" s="47"/>
      <c r="J9" s="47">
        <v>9987</v>
      </c>
      <c r="K9" s="47">
        <v>5001</v>
      </c>
      <c r="L9" s="47">
        <v>13446</v>
      </c>
      <c r="M9" s="47">
        <v>1542</v>
      </c>
      <c r="N9" s="47">
        <v>16042</v>
      </c>
      <c r="O9" s="47">
        <v>87401</v>
      </c>
    </row>
    <row r="10" spans="2:15" ht="20.100000000000001" customHeight="1" x14ac:dyDescent="0.25">
      <c r="B10" s="46" t="s">
        <v>59</v>
      </c>
      <c r="C10" s="47">
        <v>6054</v>
      </c>
      <c r="D10" s="47">
        <v>15916</v>
      </c>
      <c r="E10" s="47">
        <v>474</v>
      </c>
      <c r="F10" s="47">
        <v>3722</v>
      </c>
      <c r="G10" s="47">
        <v>18195</v>
      </c>
      <c r="H10" s="47">
        <v>10540</v>
      </c>
      <c r="I10" s="47">
        <v>14461</v>
      </c>
      <c r="J10" s="47">
        <v>4383</v>
      </c>
      <c r="K10" s="47">
        <v>3022</v>
      </c>
      <c r="L10" s="47">
        <v>1158</v>
      </c>
      <c r="M10" s="47">
        <v>7204</v>
      </c>
      <c r="N10" s="47">
        <v>5768</v>
      </c>
      <c r="O10" s="47">
        <v>90897</v>
      </c>
    </row>
    <row r="11" spans="2:15" ht="20.100000000000001" customHeight="1" x14ac:dyDescent="0.25">
      <c r="B11" s="46" t="s">
        <v>60</v>
      </c>
      <c r="C11" s="47">
        <v>2247</v>
      </c>
      <c r="D11" s="47">
        <v>10721</v>
      </c>
      <c r="E11" s="47">
        <v>8747</v>
      </c>
      <c r="F11" s="47">
        <v>7574</v>
      </c>
      <c r="G11" s="47"/>
      <c r="H11" s="47"/>
      <c r="I11" s="47">
        <v>1108</v>
      </c>
      <c r="J11" s="47">
        <v>4462</v>
      </c>
      <c r="K11" s="47">
        <v>7143</v>
      </c>
      <c r="L11" s="47">
        <v>14837</v>
      </c>
      <c r="M11" s="47">
        <v>5208</v>
      </c>
      <c r="N11" s="47">
        <v>8248</v>
      </c>
      <c r="O11" s="47">
        <v>70295</v>
      </c>
    </row>
    <row r="12" spans="2:15" ht="20.100000000000001" customHeight="1" x14ac:dyDescent="0.25">
      <c r="B12" s="46" t="s">
        <v>67</v>
      </c>
      <c r="C12" s="47">
        <v>23815</v>
      </c>
      <c r="D12" s="47">
        <v>4148</v>
      </c>
      <c r="E12" s="47">
        <v>9064</v>
      </c>
      <c r="F12" s="47"/>
      <c r="G12" s="47">
        <v>9140</v>
      </c>
      <c r="H12" s="47">
        <v>15271</v>
      </c>
      <c r="I12" s="47">
        <v>7688</v>
      </c>
      <c r="J12" s="47">
        <v>7095</v>
      </c>
      <c r="K12" s="47">
        <v>9665</v>
      </c>
      <c r="L12" s="47">
        <v>1260</v>
      </c>
      <c r="M12" s="47">
        <v>5147</v>
      </c>
      <c r="N12" s="47">
        <v>6405</v>
      </c>
      <c r="O12" s="47">
        <v>98698</v>
      </c>
    </row>
    <row r="13" spans="2:15" ht="20.100000000000001" customHeight="1" x14ac:dyDescent="0.25">
      <c r="B13" s="46" t="s">
        <v>296</v>
      </c>
      <c r="C13" s="47">
        <v>32284</v>
      </c>
      <c r="D13" s="47">
        <v>17109</v>
      </c>
      <c r="E13" s="47">
        <v>22142</v>
      </c>
      <c r="F13" s="47">
        <v>24281</v>
      </c>
      <c r="G13" s="47">
        <v>28357</v>
      </c>
      <c r="H13" s="47">
        <v>14472</v>
      </c>
      <c r="I13" s="47">
        <v>10808</v>
      </c>
      <c r="J13" s="47">
        <v>6783</v>
      </c>
      <c r="K13" s="47">
        <v>17180</v>
      </c>
      <c r="L13" s="47">
        <v>15561</v>
      </c>
      <c r="M13" s="47">
        <v>29506</v>
      </c>
      <c r="N13" s="47">
        <v>19100</v>
      </c>
      <c r="O13" s="47">
        <v>237583</v>
      </c>
    </row>
    <row r="14" spans="2:15" ht="20.100000000000001" customHeight="1" x14ac:dyDescent="0.25">
      <c r="B14" s="45" t="s">
        <v>549</v>
      </c>
      <c r="C14" s="47">
        <v>72353</v>
      </c>
      <c r="D14" s="47">
        <v>51906</v>
      </c>
      <c r="E14" s="47">
        <v>55619</v>
      </c>
      <c r="F14" s="47">
        <v>41790</v>
      </c>
      <c r="G14" s="47">
        <v>62092</v>
      </c>
      <c r="H14" s="47">
        <v>41896</v>
      </c>
      <c r="I14" s="47">
        <v>34065</v>
      </c>
      <c r="J14" s="47">
        <v>32710</v>
      </c>
      <c r="K14" s="47">
        <v>42011</v>
      </c>
      <c r="L14" s="47">
        <v>46262</v>
      </c>
      <c r="M14" s="47">
        <v>48607</v>
      </c>
      <c r="N14" s="47">
        <v>55563</v>
      </c>
      <c r="O14" s="47">
        <v>584874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33" customFormat="1" x14ac:dyDescent="0.25"/>
    <row r="34" customFormat="1" x14ac:dyDescent="0.25"/>
    <row r="35" customFormat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619D-F1E0-4207-BA30-20360D10B12A}">
  <dimension ref="B1:O35"/>
  <sheetViews>
    <sheetView showGridLines="0" zoomScaleNormal="100" workbookViewId="0">
      <selection activeCell="K8" sqref="J8:K8"/>
    </sheetView>
  </sheetViews>
  <sheetFormatPr defaultColWidth="0" defaultRowHeight="15" x14ac:dyDescent="0.25"/>
  <cols>
    <col min="1" max="1" width="4" customWidth="1"/>
    <col min="2" max="2" width="24.140625" bestFit="1" customWidth="1"/>
    <col min="3" max="3" width="19.5703125" bestFit="1" customWidth="1"/>
    <col min="4" max="4" width="8.5703125" bestFit="1" customWidth="1"/>
    <col min="5" max="5" width="7" bestFit="1" customWidth="1"/>
    <col min="6" max="6" width="8.5703125" bestFit="1" customWidth="1"/>
    <col min="7" max="7" width="9.5703125" bestFit="1" customWidth="1"/>
    <col min="8" max="15" width="11.7109375" customWidth="1"/>
    <col min="16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2:15" ht="73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/>
    <row r="4" spans="2:15" ht="20.100000000000001" customHeight="1" x14ac:dyDescent="0.25">
      <c r="B4" s="44" t="s">
        <v>552</v>
      </c>
      <c r="C4" s="45">
        <v>2018</v>
      </c>
    </row>
    <row r="5" spans="2:15" ht="20.100000000000001" customHeight="1" x14ac:dyDescent="0.25"/>
    <row r="6" spans="2:15" ht="20.100000000000001" customHeight="1" x14ac:dyDescent="0.25">
      <c r="B6" s="44" t="s">
        <v>551</v>
      </c>
      <c r="C6" s="44" t="s">
        <v>550</v>
      </c>
    </row>
    <row r="7" spans="2:15" ht="20.100000000000001" customHeight="1" x14ac:dyDescent="0.25">
      <c r="C7">
        <v>0</v>
      </c>
      <c r="G7" t="s">
        <v>554</v>
      </c>
    </row>
    <row r="8" spans="2:15" ht="20.100000000000001" customHeight="1" x14ac:dyDescent="0.25">
      <c r="B8" s="44" t="s">
        <v>548</v>
      </c>
      <c r="C8">
        <v>1</v>
      </c>
      <c r="D8">
        <v>3</v>
      </c>
      <c r="E8">
        <v>6</v>
      </c>
      <c r="F8">
        <v>8</v>
      </c>
    </row>
    <row r="9" spans="2:15" ht="20.100000000000001" customHeight="1" x14ac:dyDescent="0.25">
      <c r="B9" s="45" t="s">
        <v>62</v>
      </c>
      <c r="C9" s="47">
        <v>1155</v>
      </c>
      <c r="D9" s="47">
        <v>4438</v>
      </c>
      <c r="E9" s="47">
        <v>701</v>
      </c>
      <c r="F9" s="47">
        <v>4217</v>
      </c>
      <c r="G9" s="47">
        <v>10511</v>
      </c>
    </row>
    <row r="10" spans="2:15" ht="20.100000000000001" customHeight="1" x14ac:dyDescent="0.25">
      <c r="B10" s="46" t="s">
        <v>59</v>
      </c>
      <c r="C10" s="47"/>
      <c r="D10" s="47"/>
      <c r="E10" s="47"/>
      <c r="F10" s="47">
        <v>4217</v>
      </c>
      <c r="G10" s="47">
        <v>4217</v>
      </c>
    </row>
    <row r="11" spans="2:15" ht="20.100000000000001" customHeight="1" x14ac:dyDescent="0.25">
      <c r="B11" s="46" t="s">
        <v>296</v>
      </c>
      <c r="C11" s="47">
        <v>1155</v>
      </c>
      <c r="D11" s="47">
        <v>4438</v>
      </c>
      <c r="E11" s="47">
        <v>701</v>
      </c>
      <c r="F11" s="47"/>
      <c r="G11" s="47">
        <v>6294</v>
      </c>
    </row>
    <row r="12" spans="2:15" ht="20.100000000000001" customHeight="1" x14ac:dyDescent="0.25">
      <c r="B12" s="45" t="s">
        <v>549</v>
      </c>
      <c r="C12" s="47">
        <v>1155</v>
      </c>
      <c r="D12" s="47">
        <v>4438</v>
      </c>
      <c r="E12" s="47">
        <v>701</v>
      </c>
      <c r="F12" s="47">
        <v>4217</v>
      </c>
      <c r="G12" s="47">
        <v>10511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33" customFormat="1" x14ac:dyDescent="0.25"/>
    <row r="34" customFormat="1" x14ac:dyDescent="0.25"/>
    <row r="35" customFormat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5029-011C-499C-9AFF-D012F83AD695}">
  <dimension ref="B1:O35"/>
  <sheetViews>
    <sheetView showGridLines="0" zoomScaleNormal="100" workbookViewId="0">
      <selection activeCell="B9" sqref="B9"/>
      <pivotSelection pane="bottomRight" showHeader="1" axis="axisRow" activeRow="12" activeCol="1" previousRow="12" previousCol="1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ColWidth="0" defaultRowHeight="15" x14ac:dyDescent="0.25"/>
  <cols>
    <col min="1" max="1" width="4" customWidth="1"/>
    <col min="2" max="2" width="30.7109375" customWidth="1"/>
    <col min="3" max="15" width="13.7109375" customWidth="1"/>
    <col min="16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2:15" ht="81.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/>
    <row r="4" spans="2:15" ht="20.100000000000001" customHeight="1" x14ac:dyDescent="0.25">
      <c r="B4" s="44" t="s">
        <v>552</v>
      </c>
      <c r="C4" s="45">
        <v>2019</v>
      </c>
    </row>
    <row r="5" spans="2:15" ht="20.100000000000001" customHeight="1" x14ac:dyDescent="0.25"/>
    <row r="6" spans="2:15" ht="20.100000000000001" customHeight="1" x14ac:dyDescent="0.25">
      <c r="B6" s="44" t="s">
        <v>551</v>
      </c>
      <c r="C6" s="44" t="s">
        <v>550</v>
      </c>
    </row>
    <row r="7" spans="2:15" ht="20.100000000000001" customHeight="1" x14ac:dyDescent="0.25">
      <c r="C7">
        <v>0</v>
      </c>
      <c r="G7" t="s">
        <v>554</v>
      </c>
    </row>
    <row r="8" spans="2:15" ht="20.100000000000001" customHeight="1" x14ac:dyDescent="0.25">
      <c r="B8" s="44" t="s">
        <v>548</v>
      </c>
      <c r="C8">
        <v>1</v>
      </c>
      <c r="D8">
        <v>4</v>
      </c>
      <c r="E8">
        <v>5</v>
      </c>
      <c r="F8">
        <v>7</v>
      </c>
    </row>
    <row r="9" spans="2:15" ht="20.100000000000001" customHeight="1" x14ac:dyDescent="0.25">
      <c r="B9" s="45" t="s">
        <v>27</v>
      </c>
      <c r="C9" s="47">
        <v>483</v>
      </c>
      <c r="D9" s="47">
        <v>928</v>
      </c>
      <c r="E9" s="47">
        <v>2015</v>
      </c>
      <c r="F9" s="47">
        <v>1987</v>
      </c>
      <c r="G9" s="47">
        <v>5413</v>
      </c>
    </row>
    <row r="10" spans="2:15" ht="20.100000000000001" customHeight="1" x14ac:dyDescent="0.25">
      <c r="B10" s="46" t="s">
        <v>63</v>
      </c>
      <c r="C10" s="47"/>
      <c r="D10" s="47"/>
      <c r="E10" s="47"/>
      <c r="F10" s="47">
        <v>508</v>
      </c>
      <c r="G10" s="47">
        <v>508</v>
      </c>
    </row>
    <row r="11" spans="2:15" ht="20.100000000000001" customHeight="1" x14ac:dyDescent="0.25">
      <c r="B11" s="46" t="s">
        <v>58</v>
      </c>
      <c r="C11" s="47"/>
      <c r="D11" s="47">
        <v>928</v>
      </c>
      <c r="E11" s="47">
        <v>667</v>
      </c>
      <c r="F11" s="47">
        <v>1479</v>
      </c>
      <c r="G11" s="47">
        <v>3074</v>
      </c>
    </row>
    <row r="12" spans="2:15" ht="20.100000000000001" customHeight="1" x14ac:dyDescent="0.25">
      <c r="B12" s="46" t="s">
        <v>67</v>
      </c>
      <c r="C12" s="47">
        <v>483</v>
      </c>
      <c r="D12" s="47"/>
      <c r="E12" s="47">
        <v>1348</v>
      </c>
      <c r="F12" s="47"/>
      <c r="G12" s="47">
        <v>1831</v>
      </c>
    </row>
    <row r="13" spans="2:15" ht="20.100000000000001" customHeight="1" x14ac:dyDescent="0.25">
      <c r="B13" s="45" t="s">
        <v>549</v>
      </c>
      <c r="C13" s="47">
        <v>483</v>
      </c>
      <c r="D13" s="47">
        <v>928</v>
      </c>
      <c r="E13" s="47">
        <v>2015</v>
      </c>
      <c r="F13" s="47">
        <v>1987</v>
      </c>
      <c r="G13" s="47">
        <v>5413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33" customFormat="1" x14ac:dyDescent="0.25"/>
    <row r="34" customFormat="1" x14ac:dyDescent="0.25"/>
    <row r="35" customFormat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C616-07F1-4D0A-94D6-03AFBA5FED8F}">
  <dimension ref="B1:O35"/>
  <sheetViews>
    <sheetView showGridLines="0" zoomScaleNormal="100" workbookViewId="0"/>
  </sheetViews>
  <sheetFormatPr defaultColWidth="0" defaultRowHeight="15" x14ac:dyDescent="0.25"/>
  <cols>
    <col min="1" max="1" width="4" customWidth="1"/>
    <col min="2" max="2" width="30.7109375" customWidth="1"/>
    <col min="3" max="15" width="13.7109375" customWidth="1"/>
    <col min="16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2:15" ht="60.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9">
        <f ca="1">TODAY()</f>
        <v>45816</v>
      </c>
    </row>
    <row r="3" spans="2:15" ht="20.100000000000001" customHeight="1" x14ac:dyDescent="0.25"/>
    <row r="4" spans="2:15" ht="20.100000000000001" customHeight="1" x14ac:dyDescent="0.25">
      <c r="B4" s="44" t="s">
        <v>546</v>
      </c>
      <c r="C4" s="45">
        <v>2017</v>
      </c>
    </row>
    <row r="5" spans="2:15" ht="20.100000000000001" customHeight="1" x14ac:dyDescent="0.25"/>
    <row r="6" spans="2:15" ht="20.100000000000001" customHeight="1" x14ac:dyDescent="0.25">
      <c r="B6" s="44" t="s">
        <v>551</v>
      </c>
      <c r="C6" s="44" t="s">
        <v>550</v>
      </c>
    </row>
    <row r="7" spans="2:15" ht="20.100000000000001" customHeight="1" x14ac:dyDescent="0.25">
      <c r="C7" t="s">
        <v>556</v>
      </c>
      <c r="F7" t="s">
        <v>557</v>
      </c>
      <c r="G7" t="s">
        <v>549</v>
      </c>
    </row>
    <row r="8" spans="2:15" ht="20.100000000000001" customHeight="1" x14ac:dyDescent="0.25">
      <c r="B8" s="44" t="s">
        <v>548</v>
      </c>
      <c r="C8">
        <v>9</v>
      </c>
      <c r="D8">
        <v>10</v>
      </c>
      <c r="E8">
        <v>11</v>
      </c>
    </row>
    <row r="9" spans="2:15" ht="20.100000000000001" customHeight="1" x14ac:dyDescent="0.25">
      <c r="B9" s="45" t="s">
        <v>27</v>
      </c>
      <c r="C9" s="47">
        <v>4983</v>
      </c>
      <c r="D9" s="47">
        <v>1171</v>
      </c>
      <c r="E9" s="47">
        <v>1284</v>
      </c>
      <c r="F9" s="47">
        <v>7438</v>
      </c>
      <c r="G9" s="47">
        <v>7438</v>
      </c>
    </row>
    <row r="10" spans="2:15" ht="20.100000000000001" customHeight="1" x14ac:dyDescent="0.25">
      <c r="B10" s="46" t="s">
        <v>63</v>
      </c>
      <c r="C10" s="47"/>
      <c r="D10" s="47"/>
      <c r="E10" s="47">
        <v>1284</v>
      </c>
      <c r="F10" s="47">
        <v>1284</v>
      </c>
      <c r="G10" s="47">
        <v>1284</v>
      </c>
    </row>
    <row r="11" spans="2:15" ht="20.100000000000001" customHeight="1" x14ac:dyDescent="0.25">
      <c r="B11" s="46" t="s">
        <v>59</v>
      </c>
      <c r="C11" s="47"/>
      <c r="D11" s="47">
        <v>1171</v>
      </c>
      <c r="E11" s="47"/>
      <c r="F11" s="47">
        <v>1171</v>
      </c>
      <c r="G11" s="47">
        <v>1171</v>
      </c>
    </row>
    <row r="12" spans="2:15" ht="20.100000000000001" customHeight="1" x14ac:dyDescent="0.25">
      <c r="B12" s="46" t="s">
        <v>58</v>
      </c>
      <c r="C12" s="47">
        <v>4983</v>
      </c>
      <c r="D12" s="47"/>
      <c r="E12" s="47"/>
      <c r="F12" s="47">
        <v>4983</v>
      </c>
      <c r="G12" s="47">
        <v>4983</v>
      </c>
    </row>
    <row r="13" spans="2:15" ht="20.100000000000001" customHeight="1" x14ac:dyDescent="0.25">
      <c r="B13" s="45" t="s">
        <v>549</v>
      </c>
      <c r="C13" s="47">
        <v>4983</v>
      </c>
      <c r="D13" s="47">
        <v>1171</v>
      </c>
      <c r="E13" s="47">
        <v>1284</v>
      </c>
      <c r="F13" s="47">
        <v>7438</v>
      </c>
      <c r="G13" s="47">
        <v>7438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33" customFormat="1" x14ac:dyDescent="0.25"/>
    <row r="34" customFormat="1" x14ac:dyDescent="0.25"/>
    <row r="35" customFormat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D575-C24D-46CB-B9B5-17CD156465F4}">
  <dimension ref="B1:N35"/>
  <sheetViews>
    <sheetView showGridLines="0" topLeftCell="E1" zoomScaleNormal="100" workbookViewId="0">
      <selection activeCell="I28" sqref="I28"/>
    </sheetView>
  </sheetViews>
  <sheetFormatPr defaultColWidth="0" defaultRowHeight="15" x14ac:dyDescent="0.25"/>
  <cols>
    <col min="1" max="1" width="4" customWidth="1"/>
    <col min="2" max="2" width="40.7109375" customWidth="1"/>
    <col min="3" max="3" width="6.28515625" customWidth="1"/>
    <col min="4" max="4" width="39.5703125" customWidth="1"/>
    <col min="5" max="7" width="11.7109375" customWidth="1"/>
    <col min="8" max="8" width="4.42578125" customWidth="1"/>
    <col min="9" max="9" width="37.5703125" customWidth="1"/>
    <col min="10" max="10" width="5" customWidth="1"/>
    <col min="11" max="11" width="33.5703125" customWidth="1"/>
    <col min="12" max="14" width="11.7109375" customWidth="1"/>
    <col min="15" max="15" width="4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571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93">
        <v>2019</v>
      </c>
    </row>
    <row r="3" spans="2:14" ht="20.100000000000001" customHeight="1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2:14" ht="20.100000000000001" customHeight="1" x14ac:dyDescent="0.25">
      <c r="B4" s="51" t="s">
        <v>558</v>
      </c>
      <c r="C4" s="50"/>
      <c r="D4" s="52" t="s">
        <v>559</v>
      </c>
      <c r="E4" s="50"/>
      <c r="F4" s="53"/>
      <c r="G4" s="54"/>
      <c r="H4" s="54"/>
      <c r="I4" s="55" t="s">
        <v>560</v>
      </c>
      <c r="J4" s="54"/>
      <c r="K4" s="56" t="s">
        <v>33</v>
      </c>
    </row>
    <row r="5" spans="2:14" ht="20.100000000000001" customHeight="1" x14ac:dyDescent="0.25">
      <c r="B5" s="126">
        <f>DashboardAnualID!C11</f>
        <v>-3097</v>
      </c>
      <c r="C5" s="50"/>
      <c r="D5" s="57" t="s">
        <v>611</v>
      </c>
      <c r="E5" s="50"/>
      <c r="F5" s="58"/>
      <c r="G5" s="59"/>
      <c r="H5" s="59"/>
      <c r="I5" s="50"/>
      <c r="J5" s="60"/>
      <c r="K5" s="61"/>
    </row>
    <row r="6" spans="2:14" ht="20.100000000000001" customHeight="1" x14ac:dyDescent="0.25">
      <c r="B6" s="50"/>
      <c r="C6" s="50"/>
      <c r="D6" s="50"/>
      <c r="E6" s="50"/>
      <c r="F6" s="58"/>
      <c r="G6" s="59"/>
      <c r="H6" s="59"/>
      <c r="I6" s="50"/>
      <c r="J6" s="50"/>
      <c r="K6" s="61"/>
    </row>
    <row r="7" spans="2:14" ht="20.100000000000001" customHeight="1" x14ac:dyDescent="0.25">
      <c r="B7" s="51" t="s">
        <v>561</v>
      </c>
      <c r="C7" s="50"/>
      <c r="D7" s="129"/>
      <c r="E7" s="50"/>
      <c r="F7" s="58"/>
      <c r="G7" s="59"/>
      <c r="H7" s="59"/>
      <c r="I7" s="50"/>
      <c r="J7" s="50"/>
      <c r="K7" s="62" t="s">
        <v>562</v>
      </c>
    </row>
    <row r="8" spans="2:14" ht="20.100000000000001" customHeight="1" x14ac:dyDescent="0.25">
      <c r="B8" s="127">
        <f>DashboardAnualID!D13</f>
        <v>12009</v>
      </c>
      <c r="C8" s="50"/>
      <c r="D8" s="130"/>
      <c r="E8" s="50"/>
      <c r="F8" s="58"/>
      <c r="G8" s="59"/>
      <c r="H8" s="59"/>
      <c r="I8" s="50"/>
      <c r="J8" s="50"/>
      <c r="K8" s="131">
        <f>SUM(DashboardAnualID!J5:J16)</f>
        <v>22130</v>
      </c>
    </row>
    <row r="9" spans="2:14" ht="20.100000000000001" customHeight="1" x14ac:dyDescent="0.25">
      <c r="B9" s="50"/>
      <c r="C9" s="50"/>
      <c r="D9" s="50"/>
      <c r="E9" s="50"/>
      <c r="F9" s="58"/>
      <c r="G9" s="59"/>
      <c r="H9" s="59"/>
      <c r="I9" s="50"/>
      <c r="J9" s="50"/>
      <c r="K9" s="64"/>
    </row>
    <row r="10" spans="2:14" ht="20.100000000000001" customHeight="1" x14ac:dyDescent="0.25">
      <c r="B10" s="51" t="s">
        <v>563</v>
      </c>
      <c r="C10" s="50"/>
      <c r="D10" s="129"/>
      <c r="E10" s="50"/>
      <c r="F10" s="58"/>
      <c r="G10" s="59"/>
      <c r="H10" s="59"/>
      <c r="I10" s="50"/>
      <c r="J10" s="50"/>
      <c r="K10" s="64"/>
    </row>
    <row r="11" spans="2:14" ht="20.100000000000001" customHeight="1" x14ac:dyDescent="0.25">
      <c r="B11" s="128">
        <f>DashboardAnualID!D14</f>
        <v>5413</v>
      </c>
      <c r="C11" s="50"/>
      <c r="D11" s="130"/>
      <c r="E11" s="50"/>
      <c r="F11" s="65"/>
      <c r="G11" s="66"/>
      <c r="H11" s="66"/>
      <c r="I11" s="67"/>
      <c r="J11" s="67"/>
      <c r="K11" s="68"/>
    </row>
    <row r="12" spans="2:14" ht="20.100000000000001" customHeight="1" x14ac:dyDescent="0.25">
      <c r="B12" s="50"/>
      <c r="C12" s="50"/>
      <c r="D12" s="50"/>
      <c r="E12" s="50"/>
      <c r="F12" s="59"/>
      <c r="G12" s="59"/>
      <c r="H12" s="59"/>
      <c r="I12" s="50"/>
      <c r="J12" s="50"/>
      <c r="K12" s="50"/>
    </row>
    <row r="13" spans="2:14" ht="20.100000000000001" customHeight="1" x14ac:dyDescent="0.25">
      <c r="B13" s="69" t="s">
        <v>564</v>
      </c>
      <c r="C13" s="70"/>
      <c r="D13" s="71"/>
      <c r="E13" s="50"/>
      <c r="F13" s="69" t="s">
        <v>565</v>
      </c>
      <c r="G13" s="71"/>
      <c r="H13" s="59"/>
      <c r="I13" s="51" t="s">
        <v>566</v>
      </c>
      <c r="J13" s="50"/>
      <c r="K13" s="51" t="s">
        <v>567</v>
      </c>
    </row>
    <row r="14" spans="2:14" ht="20.100000000000001" customHeight="1" x14ac:dyDescent="0.25">
      <c r="B14" s="72"/>
      <c r="C14" s="73"/>
      <c r="D14" s="74"/>
      <c r="E14" s="50"/>
      <c r="F14" s="72" t="s">
        <v>568</v>
      </c>
      <c r="G14" s="75" t="s">
        <v>569</v>
      </c>
      <c r="H14" s="59"/>
      <c r="I14" s="76">
        <f>DashboardAnualID!E32</f>
        <v>-39131</v>
      </c>
      <c r="J14" s="50"/>
      <c r="K14" s="77" t="s">
        <v>32</v>
      </c>
    </row>
    <row r="15" spans="2:14" ht="20.100000000000001" customHeight="1" x14ac:dyDescent="0.25">
      <c r="B15" s="72"/>
      <c r="C15" s="50"/>
      <c r="D15" s="74"/>
      <c r="E15" s="50"/>
      <c r="F15" s="78"/>
      <c r="G15" s="79"/>
      <c r="H15" s="59"/>
      <c r="I15" s="80"/>
      <c r="J15" s="50"/>
      <c r="K15" s="81">
        <f>DashboardAnualID!H43</f>
        <v>25077</v>
      </c>
    </row>
    <row r="16" spans="2:14" ht="20.100000000000001" customHeight="1" x14ac:dyDescent="0.25">
      <c r="B16" s="82">
        <f>DashboardAnualID!E22</f>
        <v>130659</v>
      </c>
      <c r="C16" s="50"/>
      <c r="D16" s="74"/>
      <c r="E16" s="50"/>
      <c r="F16" s="83">
        <f ca="1">DashboardAnualID!E27</f>
        <v>580.92946487401639</v>
      </c>
      <c r="G16" s="84">
        <f ca="1">DashboardAnualID!J26</f>
        <v>445.71063975176094</v>
      </c>
      <c r="H16" s="59"/>
      <c r="I16" s="80"/>
      <c r="J16" s="50"/>
      <c r="K16" s="80"/>
    </row>
    <row r="17" spans="2:11" ht="20.100000000000001" customHeight="1" x14ac:dyDescent="0.25">
      <c r="B17" s="82"/>
      <c r="C17" s="50"/>
      <c r="D17" s="74"/>
      <c r="E17" s="50"/>
      <c r="F17" s="85"/>
      <c r="G17" s="79"/>
      <c r="H17" s="59"/>
      <c r="I17" s="80"/>
      <c r="J17" s="50"/>
      <c r="K17" s="80"/>
    </row>
    <row r="18" spans="2:11" ht="18.75" x14ac:dyDescent="0.25">
      <c r="B18" s="72"/>
      <c r="C18" s="50"/>
      <c r="D18" s="74"/>
      <c r="E18" s="50"/>
      <c r="F18" s="86" t="s">
        <v>570</v>
      </c>
      <c r="G18" s="87" t="s">
        <v>570</v>
      </c>
      <c r="H18" s="59"/>
      <c r="I18" s="80"/>
      <c r="J18" s="50"/>
      <c r="K18" s="80"/>
    </row>
    <row r="19" spans="2:11" ht="26.25" x14ac:dyDescent="0.25">
      <c r="B19" s="88"/>
      <c r="C19" s="67"/>
      <c r="D19" s="89"/>
      <c r="E19" s="50"/>
      <c r="F19" s="90"/>
      <c r="G19" s="91"/>
      <c r="H19" s="59"/>
      <c r="I19" s="63"/>
      <c r="J19" s="50"/>
      <c r="K19" s="63"/>
    </row>
    <row r="20" spans="2:11" x14ac:dyDescent="0.25">
      <c r="B20" s="50"/>
      <c r="C20" s="50"/>
      <c r="D20" s="50"/>
      <c r="E20" s="50"/>
      <c r="F20" s="59"/>
      <c r="G20" s="59"/>
      <c r="H20" s="59"/>
      <c r="I20" s="50"/>
      <c r="J20" s="50"/>
      <c r="K20" s="50"/>
    </row>
    <row r="21" spans="2:11" x14ac:dyDescent="0.25">
      <c r="B21" s="92"/>
      <c r="C21" s="92"/>
      <c r="D21" s="92"/>
      <c r="E21" s="92"/>
      <c r="F21" s="92"/>
      <c r="G21" s="92"/>
      <c r="H21" s="92"/>
      <c r="I21" s="92"/>
      <c r="J21" s="92"/>
      <c r="K21" s="92"/>
    </row>
    <row r="33" customFormat="1" x14ac:dyDescent="0.25"/>
    <row r="34" customFormat="1" x14ac:dyDescent="0.25"/>
    <row r="35" customFormat="1" x14ac:dyDescent="0.25"/>
  </sheetData>
  <mergeCells count="4">
    <mergeCell ref="B13:D13"/>
    <mergeCell ref="F13:G13"/>
    <mergeCell ref="D7:D8"/>
    <mergeCell ref="D10:D11"/>
  </mergeCells>
  <conditionalFormatting sqref="I14">
    <cfRule type="cellIs" dxfId="2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 xr:uid="{D43E8A70-9435-48D3-8BEB-AA489B444737}">
      <formula1>PCSaídasN2_Nível_2</formula1>
    </dataValidation>
    <dataValidation type="list" allowBlank="1" showInputMessage="1" showErrorMessage="1" errorTitle="Conta Inexisente!" error="Selecione um item da conta." sqref="K4" xr:uid="{7BF3082F-52D8-488D-8C37-5F2C1FF8AD62}">
      <formula1>PCEntradasN2_Nível_2</formula1>
    </dataValidation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17BE5F5-5B07-4A2C-A11E-810AD6CD4CED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DashboardAnualID!H5:H16</xm:f>
              <xm:sqref>D10</xm:sqref>
            </x14:sparkline>
          </x14:sparklines>
        </x14:sparklineGroup>
        <x14:sparklineGroup type="column" displayEmptyCellsAs="gap" xr2:uid="{49E9BC95-1610-4DB1-A364-3F25CD5FD684}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DashboardAnualID!G5:G16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2264-DBCC-4748-A068-A90AA943A3FE}">
  <dimension ref="B1:L44"/>
  <sheetViews>
    <sheetView showGridLines="0" zoomScale="130" zoomScaleNormal="130" workbookViewId="0">
      <selection activeCell="J5" sqref="J5"/>
    </sheetView>
  </sheetViews>
  <sheetFormatPr defaultRowHeight="15" x14ac:dyDescent="0.25"/>
  <cols>
    <col min="2" max="12" width="13.7109375" customWidth="1"/>
  </cols>
  <sheetData>
    <row r="1" spans="2:12" x14ac:dyDescent="0.25">
      <c r="B1" s="94" t="s">
        <v>572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2:12" x14ac:dyDescent="0.25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2:12" x14ac:dyDescent="0.25">
      <c r="B3" s="50"/>
      <c r="C3" s="50"/>
      <c r="D3" s="50"/>
      <c r="E3" s="50"/>
      <c r="F3" s="95" t="s">
        <v>573</v>
      </c>
      <c r="G3" s="50"/>
      <c r="H3" s="50"/>
      <c r="I3" s="50"/>
      <c r="J3" s="95" t="s">
        <v>574</v>
      </c>
      <c r="K3" s="96" t="s">
        <v>575</v>
      </c>
      <c r="L3" s="97">
        <f>C4</f>
        <v>2019</v>
      </c>
    </row>
    <row r="4" spans="2:12" ht="30" x14ac:dyDescent="0.25">
      <c r="B4" s="96" t="s">
        <v>576</v>
      </c>
      <c r="C4" s="98">
        <f>DashboardFinanceiroAnual!N2</f>
        <v>2019</v>
      </c>
      <c r="D4" s="50"/>
      <c r="E4" s="50"/>
      <c r="F4" s="99" t="s">
        <v>577</v>
      </c>
      <c r="G4" s="100" t="s">
        <v>578</v>
      </c>
      <c r="H4" s="99" t="s">
        <v>579</v>
      </c>
      <c r="I4" s="50"/>
      <c r="J4" s="101" t="str">
        <f>DashboardFinanceiroAnual!K4</f>
        <v xml:space="preserve">Livros </v>
      </c>
      <c r="K4" s="99" t="s">
        <v>580</v>
      </c>
      <c r="L4" s="99" t="s">
        <v>577</v>
      </c>
    </row>
    <row r="5" spans="2:12" x14ac:dyDescent="0.25">
      <c r="B5" s="50"/>
      <c r="C5" s="50"/>
      <c r="D5" s="50"/>
      <c r="E5" s="50"/>
      <c r="F5" s="102">
        <v>1</v>
      </c>
      <c r="G5" s="103">
        <f>SUMIFS(TbRegistroSaídas[Valor],TbRegistroSaídas[Mês Previsto],F5,TbRegistroSaídas[Ano Previsto],$C$4,TbRegistroSaídas[Data do Caixa Realizado],"")</f>
        <v>5159</v>
      </c>
      <c r="H5" s="103">
        <f>SUMIFS(TbRegistroEntradas[Valor],TbRegistroEntradas[Mês Previsto],F5,TbRegistroEntradas[Ano Previsto],$C$4,TbRegistroEntradas[Data do Caixa Realizado],"")</f>
        <v>483</v>
      </c>
      <c r="I5" s="50"/>
      <c r="J5" s="103">
        <f>SUMIFS(TbRegistroEntradas[Valor],TbRegistroEntradas[Conta Nível 2],$J$4,TbRegistroEntradas[Ano Competência],$L$3,TbRegistroEntradas[Mês Competência],F5)</f>
        <v>6759</v>
      </c>
      <c r="K5" s="103">
        <f>IF(J5=0,NA(),J5)</f>
        <v>6759</v>
      </c>
      <c r="L5" s="104" t="s">
        <v>581</v>
      </c>
    </row>
    <row r="6" spans="2:12" x14ac:dyDescent="0.25">
      <c r="B6" s="50"/>
      <c r="C6" s="50"/>
      <c r="D6" s="50"/>
      <c r="E6" s="50"/>
      <c r="F6" s="50">
        <v>2</v>
      </c>
      <c r="G6" s="105">
        <f>SUMIFS(TbRegistroSaídas[Valor],TbRegistroSaídas[Mês Previsto],F6,TbRegistroSaídas[Ano Previsto],$C$4,TbRegistroSaídas[Data do Caixa Realizado],"")</f>
        <v>0</v>
      </c>
      <c r="H6" s="105">
        <f>SUMIFS(TbRegistroEntradas[Valor],TbRegistroEntradas[Mês Previsto],F6,TbRegistroEntradas[Ano Previsto],$C$4,TbRegistroEntradas[Data do Caixa Realizado],"")</f>
        <v>0</v>
      </c>
      <c r="I6" s="50"/>
      <c r="J6" s="105">
        <f>SUMIFS(TbRegistroEntradas[Valor],TbRegistroEntradas[Conta Nível 2],$J$4,TbRegistroEntradas[Ano Competência],$L$3,TbRegistroEntradas[Mês Competência],F6)</f>
        <v>4157</v>
      </c>
      <c r="K6" s="105">
        <f t="shared" ref="K6:K16" si="0">IF(J6=0,NA(),J6)</f>
        <v>4157</v>
      </c>
      <c r="L6" s="96" t="s">
        <v>582</v>
      </c>
    </row>
    <row r="7" spans="2:12" x14ac:dyDescent="0.25">
      <c r="B7" s="95" t="s">
        <v>583</v>
      </c>
      <c r="C7" s="50"/>
      <c r="D7" s="50"/>
      <c r="E7" s="50"/>
      <c r="F7" s="50">
        <v>3</v>
      </c>
      <c r="G7" s="105">
        <f>SUMIFS(TbRegistroSaídas[Valor],TbRegistroSaídas[Mês Previsto],F7,TbRegistroSaídas[Ano Previsto],$C$4,TbRegistroSaídas[Data do Caixa Realizado],"")</f>
        <v>0</v>
      </c>
      <c r="H7" s="105">
        <f>SUMIFS(TbRegistroEntradas[Valor],TbRegistroEntradas[Mês Previsto],F7,TbRegistroEntradas[Ano Previsto],$C$4,TbRegistroEntradas[Data do Caixa Realizado],"")</f>
        <v>0</v>
      </c>
      <c r="I7" s="50"/>
      <c r="J7" s="105">
        <f>SUMIFS(TbRegistroEntradas[Valor],TbRegistroEntradas[Conta Nível 2],$J$4,TbRegistroEntradas[Ano Competência],$L$3,TbRegistroEntradas[Mês Competência],F7)</f>
        <v>5918</v>
      </c>
      <c r="K7" s="105">
        <f t="shared" si="0"/>
        <v>5918</v>
      </c>
      <c r="L7" s="96" t="s">
        <v>584</v>
      </c>
    </row>
    <row r="8" spans="2:12" x14ac:dyDescent="0.25">
      <c r="B8" s="102" t="s">
        <v>610</v>
      </c>
      <c r="C8" s="106">
        <f>SUMIFS(TbRegistroEntradas[Valor],TbRegistroEntradas[Ano Caixa],"&lt;"&amp;C4,TbRegistroEntradas[Ano Caixa],"&lt;&gt;0")-SUMIFS(TbRegistroSaídas[Valor],TbRegistroSaídas[Ano Caixa],"&lt;"&amp;C4,TbRegistroSaídas[Ano Caixa],"&lt;&gt;0")</f>
        <v>14746</v>
      </c>
      <c r="D8" s="50"/>
      <c r="E8" s="50"/>
      <c r="F8" s="50">
        <v>4</v>
      </c>
      <c r="G8" s="105">
        <f>SUMIFS(TbRegistroSaídas[Valor],TbRegistroSaídas[Mês Previsto],F8,TbRegistroSaídas[Ano Previsto],$C$4,TbRegistroSaídas[Data do Caixa Realizado],"")</f>
        <v>1753</v>
      </c>
      <c r="H8" s="105">
        <f>SUMIFS(TbRegistroEntradas[Valor],TbRegistroEntradas[Mês Previsto],F8,TbRegistroEntradas[Ano Previsto],$C$4,TbRegistroEntradas[Data do Caixa Realizado],"")</f>
        <v>928</v>
      </c>
      <c r="I8" s="50"/>
      <c r="J8" s="105">
        <f>SUMIFS(TbRegistroEntradas[Valor],TbRegistroEntradas[Conta Nível 2],$J$4,TbRegistroEntradas[Ano Competência],$L$3,TbRegistroEntradas[Mês Competência],F8)</f>
        <v>1620</v>
      </c>
      <c r="K8" s="105">
        <f t="shared" si="0"/>
        <v>1620</v>
      </c>
      <c r="L8" s="96" t="s">
        <v>586</v>
      </c>
    </row>
    <row r="9" spans="2:12" x14ac:dyDescent="0.25">
      <c r="B9" s="125" t="s">
        <v>585</v>
      </c>
      <c r="C9" s="107">
        <f>SUMIFS(TbRegistroEntradas[Valor],TbRegistroEntradas[Ano Caixa],"="&amp;C4,TbRegistroEntradas[Ano Caixa],"&lt;&gt;0")</f>
        <v>161998</v>
      </c>
      <c r="D9" s="50"/>
      <c r="E9" s="50"/>
      <c r="F9" s="50">
        <v>5</v>
      </c>
      <c r="G9" s="105">
        <f>SUMIFS(TbRegistroSaídas[Valor],TbRegistroSaídas[Mês Previsto],F9,TbRegistroSaídas[Ano Previsto],$C$4,TbRegistroSaídas[Data do Caixa Realizado],"")</f>
        <v>0</v>
      </c>
      <c r="H9" s="105">
        <f>SUMIFS(TbRegistroEntradas[Valor],TbRegistroEntradas[Mês Previsto],F9,TbRegistroEntradas[Ano Previsto],$C$4,TbRegistroEntradas[Data do Caixa Realizado],"")</f>
        <v>2015</v>
      </c>
      <c r="I9" s="50"/>
      <c r="J9" s="105">
        <f>SUMIFS(TbRegistroEntradas[Valor],TbRegistroEntradas[Conta Nível 2],$J$4,TbRegistroEntradas[Ano Competência],$L$3,TbRegistroEntradas[Mês Competência],F9)</f>
        <v>2194</v>
      </c>
      <c r="K9" s="105">
        <f t="shared" si="0"/>
        <v>2194</v>
      </c>
      <c r="L9" s="96" t="s">
        <v>588</v>
      </c>
    </row>
    <row r="10" spans="2:12" x14ac:dyDescent="0.25">
      <c r="B10" s="50" t="s">
        <v>587</v>
      </c>
      <c r="C10" s="107">
        <f>SUMIFS(TbRegistroSaídas[Valor],TbRegistroSaídas[Ano Caixa],"="&amp;C4,TbRegistroSaídas[Ano Caixa],"&lt;&gt;0")</f>
        <v>179841</v>
      </c>
      <c r="D10" s="50"/>
      <c r="E10" s="50"/>
      <c r="F10" s="50">
        <v>6</v>
      </c>
      <c r="G10" s="105">
        <f>SUMIFS(TbRegistroSaídas[Valor],TbRegistroSaídas[Mês Previsto],F10,TbRegistroSaídas[Ano Previsto],$C$4,TbRegistroSaídas[Data do Caixa Realizado],"")</f>
        <v>0</v>
      </c>
      <c r="H10" s="105">
        <f>SUMIFS(TbRegistroEntradas[Valor],TbRegistroEntradas[Mês Previsto],F10,TbRegistroEntradas[Ano Previsto],$C$4,TbRegistroEntradas[Data do Caixa Realizado],"")</f>
        <v>0</v>
      </c>
      <c r="I10" s="50"/>
      <c r="J10" s="105">
        <f>SUMIFS(TbRegistroEntradas[Valor],TbRegistroEntradas[Conta Nível 2],$J$4,TbRegistroEntradas[Ano Competência],$L$3,TbRegistroEntradas[Mês Competência],F10)</f>
        <v>1482</v>
      </c>
      <c r="K10" s="105">
        <f t="shared" si="0"/>
        <v>1482</v>
      </c>
      <c r="L10" s="96" t="s">
        <v>590</v>
      </c>
    </row>
    <row r="11" spans="2:12" x14ac:dyDescent="0.25">
      <c r="B11" s="108" t="s">
        <v>589</v>
      </c>
      <c r="C11" s="109">
        <f>C8+C9-C10</f>
        <v>-3097</v>
      </c>
      <c r="D11" s="50"/>
      <c r="E11" s="50"/>
      <c r="F11" s="50">
        <v>7</v>
      </c>
      <c r="G11" s="105">
        <f>SUMIFS(TbRegistroSaídas[Valor],TbRegistroSaídas[Mês Previsto],F11,TbRegistroSaídas[Ano Previsto],$C$4,TbRegistroSaídas[Data do Caixa Realizado],"")</f>
        <v>2338</v>
      </c>
      <c r="H11" s="105">
        <f>SUMIFS(TbRegistroEntradas[Valor],TbRegistroEntradas[Mês Previsto],F11,TbRegistroEntradas[Ano Previsto],$C$4,TbRegistroEntradas[Data do Caixa Realizado],"")</f>
        <v>1987</v>
      </c>
      <c r="I11" s="50"/>
      <c r="J11" s="105">
        <f>SUMIFS(TbRegistroEntradas[Valor],TbRegistroEntradas[Conta Nível 2],$J$4,TbRegistroEntradas[Ano Competência],$L$3,TbRegistroEntradas[Mês Competência],F11)</f>
        <v>0</v>
      </c>
      <c r="K11" s="105" t="e">
        <f t="shared" si="0"/>
        <v>#N/A</v>
      </c>
      <c r="L11" s="96" t="s">
        <v>591</v>
      </c>
    </row>
    <row r="12" spans="2:12" x14ac:dyDescent="0.25">
      <c r="B12" s="50"/>
      <c r="C12" s="50"/>
      <c r="E12" s="50"/>
      <c r="F12" s="50">
        <v>8</v>
      </c>
      <c r="G12" s="105">
        <f>SUMIFS(TbRegistroSaídas[Valor],TbRegistroSaídas[Mês Previsto],F12,TbRegistroSaídas[Ano Previsto],$C$4,TbRegistroSaídas[Data do Caixa Realizado],"")</f>
        <v>2759</v>
      </c>
      <c r="H12" s="105">
        <f>SUMIFS(TbRegistroEntradas[Valor],TbRegistroEntradas[Mês Previsto],F12,TbRegistroEntradas[Ano Previsto],$C$4,TbRegistroEntradas[Data do Caixa Realizado],"")</f>
        <v>0</v>
      </c>
      <c r="I12" s="50"/>
      <c r="J12" s="105">
        <f>SUMIFS(TbRegistroEntradas[Valor],TbRegistroEntradas[Conta Nível 2],$J$4,TbRegistroEntradas[Ano Competência],$L$3,TbRegistroEntradas[Mês Competência],F12)</f>
        <v>0</v>
      </c>
      <c r="K12" s="105" t="e">
        <f t="shared" si="0"/>
        <v>#N/A</v>
      </c>
      <c r="L12" s="96" t="s">
        <v>593</v>
      </c>
    </row>
    <row r="13" spans="2:12" x14ac:dyDescent="0.25">
      <c r="B13" s="110" t="s">
        <v>592</v>
      </c>
      <c r="C13" s="110"/>
      <c r="D13" s="106">
        <f>SUMIFS(TbRegistroSaídas[Valor],TbRegistroSaídas[Data do Caixa Realizado],"",TbRegistroSaídas[Ano Previsto],C4)</f>
        <v>12009</v>
      </c>
      <c r="E13" s="50"/>
      <c r="F13" s="50">
        <v>9</v>
      </c>
      <c r="G13" s="105">
        <f>SUMIFS(TbRegistroSaídas[Valor],TbRegistroSaídas[Mês Previsto],F13,TbRegistroSaídas[Ano Previsto],$C$4,TbRegistroSaídas[Data do Caixa Realizado],"")</f>
        <v>0</v>
      </c>
      <c r="H13" s="105">
        <f>SUMIFS(TbRegistroEntradas[Valor],TbRegistroEntradas[Mês Previsto],F13,TbRegistroEntradas[Ano Previsto],$C$4,TbRegistroEntradas[Data do Caixa Realizado],"")</f>
        <v>0</v>
      </c>
      <c r="I13" s="50"/>
      <c r="J13" s="105">
        <f>SUMIFS(TbRegistroEntradas[Valor],TbRegistroEntradas[Conta Nível 2],$J$4,TbRegistroEntradas[Ano Competência],$L$3,TbRegistroEntradas[Mês Competência],F13)</f>
        <v>0</v>
      </c>
      <c r="K13" s="105" t="e">
        <f t="shared" si="0"/>
        <v>#N/A</v>
      </c>
      <c r="L13" s="96" t="s">
        <v>595</v>
      </c>
    </row>
    <row r="14" spans="2:12" x14ac:dyDescent="0.25">
      <c r="B14" s="111" t="s">
        <v>594</v>
      </c>
      <c r="C14" s="111"/>
      <c r="D14" s="112">
        <f>SUMIFS(TbRegistroEntradas[Valor],TbRegistroEntradas[Data do Caixa Realizado],"",TbRegistroEntradas[Ano Previsto],C4)</f>
        <v>5413</v>
      </c>
      <c r="E14" s="50"/>
      <c r="F14" s="50">
        <v>10</v>
      </c>
      <c r="G14" s="105">
        <f>SUMIFS(TbRegistroSaídas[Valor],TbRegistroSaídas[Mês Previsto],F14,TbRegistroSaídas[Ano Previsto],$C$4,TbRegistroSaídas[Data do Caixa Realizado],"")</f>
        <v>0</v>
      </c>
      <c r="H14" s="105">
        <f>SUMIFS(TbRegistroEntradas[Valor],TbRegistroEntradas[Mês Previsto],F14,TbRegistroEntradas[Ano Previsto],$C$4,TbRegistroEntradas[Data do Caixa Realizado],"")</f>
        <v>0</v>
      </c>
      <c r="I14" s="50"/>
      <c r="J14" s="105">
        <f>SUMIFS(TbRegistroEntradas[Valor],TbRegistroEntradas[Conta Nível 2],$J$4,TbRegistroEntradas[Ano Competência],$L$3,TbRegistroEntradas[Mês Competência],F14)</f>
        <v>0</v>
      </c>
      <c r="K14" s="105" t="e">
        <f t="shared" si="0"/>
        <v>#N/A</v>
      </c>
      <c r="L14" s="96" t="s">
        <v>596</v>
      </c>
    </row>
    <row r="15" spans="2:12" x14ac:dyDescent="0.25">
      <c r="B15" s="50"/>
      <c r="C15" s="50"/>
      <c r="D15" s="50"/>
      <c r="E15" s="50"/>
      <c r="F15" s="50">
        <v>11</v>
      </c>
      <c r="G15" s="105">
        <f>SUMIFS(TbRegistroSaídas[Valor],TbRegistroSaídas[Mês Previsto],F15,TbRegistroSaídas[Ano Previsto],$C$4,TbRegistroSaídas[Data do Caixa Realizado],"")</f>
        <v>0</v>
      </c>
      <c r="H15" s="105">
        <f>SUMIFS(TbRegistroEntradas[Valor],TbRegistroEntradas[Mês Previsto],F15,TbRegistroEntradas[Ano Previsto],$C$4,TbRegistroEntradas[Data do Caixa Realizado],"")</f>
        <v>0</v>
      </c>
      <c r="I15" s="50"/>
      <c r="J15" s="105">
        <f>SUMIFS(TbRegistroEntradas[Valor],TbRegistroEntradas[Conta Nível 2],$J$4,TbRegistroEntradas[Ano Competência],$L$3,TbRegistroEntradas[Mês Competência],F15)</f>
        <v>0</v>
      </c>
      <c r="K15" s="105" t="e">
        <f t="shared" si="0"/>
        <v>#N/A</v>
      </c>
      <c r="L15" s="96" t="s">
        <v>597</v>
      </c>
    </row>
    <row r="16" spans="2:12" x14ac:dyDescent="0.25">
      <c r="B16" s="50"/>
      <c r="C16" s="50"/>
      <c r="D16" s="50"/>
      <c r="E16" s="50"/>
      <c r="F16" s="108">
        <v>12</v>
      </c>
      <c r="G16" s="113">
        <f>SUMIFS(TbRegistroSaídas[Valor],TbRegistroSaídas[Mês Previsto],F16,TbRegistroSaídas[Ano Previsto],$C$4,TbRegistroSaídas[Data do Caixa Realizado],"")</f>
        <v>0</v>
      </c>
      <c r="H16" s="113">
        <f>SUMIFS(TbRegistroEntradas[Valor],TbRegistroEntradas[Mês Previsto],F16,TbRegistroEntradas[Ano Previsto],$C$4,TbRegistroEntradas[Data do Caixa Realizado],"")</f>
        <v>0</v>
      </c>
      <c r="I16" s="50"/>
      <c r="J16" s="113">
        <f>SUMIFS(TbRegistroEntradas[Valor],TbRegistroEntradas[Conta Nível 2],$J$4,TbRegistroEntradas[Ano Competência],$L$3,TbRegistroEntradas[Mês Competência],F16)</f>
        <v>0</v>
      </c>
      <c r="K16" s="113" t="e">
        <f t="shared" si="0"/>
        <v>#N/A</v>
      </c>
      <c r="L16" s="114" t="s">
        <v>598</v>
      </c>
    </row>
    <row r="17" spans="2:12" x14ac:dyDescent="0.25"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</row>
    <row r="18" spans="2:12" x14ac:dyDescent="0.25"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19" spans="2:12" x14ac:dyDescent="0.25">
      <c r="B19" s="50"/>
      <c r="C19" s="50"/>
      <c r="D19" s="50"/>
      <c r="E19" s="115"/>
      <c r="F19" s="50"/>
      <c r="G19" s="50"/>
      <c r="H19" s="50"/>
      <c r="I19" s="50"/>
      <c r="J19" s="50"/>
      <c r="K19" s="50"/>
      <c r="L19" s="50"/>
    </row>
    <row r="20" spans="2:12" x14ac:dyDescent="0.25">
      <c r="B20" s="95" t="s">
        <v>599</v>
      </c>
      <c r="C20" s="50"/>
      <c r="F20" s="50"/>
      <c r="G20" s="50"/>
      <c r="H20" s="50"/>
      <c r="I20" s="50"/>
      <c r="J20" s="50"/>
      <c r="K20" s="50"/>
      <c r="L20" s="50"/>
    </row>
    <row r="21" spans="2:12" x14ac:dyDescent="0.25">
      <c r="B21" s="99" t="s">
        <v>600</v>
      </c>
      <c r="C21" s="100" t="s">
        <v>601</v>
      </c>
      <c r="D21" s="100" t="s">
        <v>602</v>
      </c>
      <c r="E21" s="100" t="s">
        <v>562</v>
      </c>
      <c r="F21" s="50"/>
      <c r="G21" s="50"/>
      <c r="H21" s="50"/>
      <c r="I21" s="50"/>
      <c r="J21" s="50"/>
      <c r="K21" s="50"/>
      <c r="L21" s="50"/>
    </row>
    <row r="22" spans="2:12" x14ac:dyDescent="0.25">
      <c r="B22" s="116">
        <f>C4</f>
        <v>2019</v>
      </c>
      <c r="C22" s="117">
        <f>SUMIFS(TbRegistroEntradas[Valor],TbRegistroEntradas[Venda à Vista],"Vista",TbRegistroEntradas[Ano Competência],B22)</f>
        <v>0</v>
      </c>
      <c r="D22" s="117">
        <f>SUMIFS(TbRegistroEntradas[Valor],TbRegistroEntradas[Venda à Vista],"Prazo",TbRegistroEntradas[Ano Competência],B22)</f>
        <v>130659</v>
      </c>
      <c r="E22" s="117">
        <f>C22+D22</f>
        <v>130659</v>
      </c>
      <c r="F22" s="50"/>
      <c r="G22" s="50"/>
      <c r="H22" s="50"/>
      <c r="I22" s="50"/>
      <c r="J22" s="50"/>
      <c r="K22" s="50"/>
      <c r="L22" s="50"/>
    </row>
    <row r="23" spans="2:12" x14ac:dyDescent="0.25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</row>
    <row r="24" spans="2:12" x14ac:dyDescent="0.25">
      <c r="B24" s="50"/>
      <c r="C24" s="50"/>
      <c r="D24" s="50"/>
      <c r="E24" s="50"/>
      <c r="F24" s="50"/>
      <c r="G24" s="95" t="s">
        <v>604</v>
      </c>
      <c r="H24" s="50"/>
      <c r="I24" s="50"/>
      <c r="J24" s="50"/>
      <c r="K24" s="50"/>
      <c r="L24" s="50"/>
    </row>
    <row r="25" spans="2:12" x14ac:dyDescent="0.25">
      <c r="B25" s="95" t="s">
        <v>603</v>
      </c>
      <c r="C25" s="50"/>
      <c r="F25" s="50"/>
      <c r="G25" s="99" t="s">
        <v>600</v>
      </c>
      <c r="H25" s="100" t="s">
        <v>605</v>
      </c>
      <c r="I25" s="100" t="s">
        <v>570</v>
      </c>
      <c r="J25" s="100" t="s">
        <v>606</v>
      </c>
      <c r="K25" s="50"/>
      <c r="L25" s="50"/>
    </row>
    <row r="26" spans="2:12" x14ac:dyDescent="0.25">
      <c r="B26" s="99" t="s">
        <v>600</v>
      </c>
      <c r="C26" s="100" t="s">
        <v>605</v>
      </c>
      <c r="D26" s="100" t="s">
        <v>570</v>
      </c>
      <c r="E26" s="100" t="s">
        <v>606</v>
      </c>
      <c r="F26" s="50"/>
      <c r="G26" s="116">
        <f>C4</f>
        <v>2019</v>
      </c>
      <c r="H26" s="118">
        <f ca="1">COUNTIFS(TbRegistroSaídas[Ano Competência],G26,TbRegistroSaídas[Dias de Atraso],"&gt;0")</f>
        <v>16</v>
      </c>
      <c r="I26" s="118">
        <f ca="1">SUMIFS(TbRegistroSaídas[Dias de Atraso],TbRegistroSaídas[Ano Competência],B27,TbRegistroSaídas[Dias de Atraso],"&gt;0")</f>
        <v>7131.370236028175</v>
      </c>
      <c r="J26" s="118">
        <f ca="1">I26/H26</f>
        <v>445.71063975176094</v>
      </c>
      <c r="K26" s="50"/>
      <c r="L26" s="50"/>
    </row>
    <row r="27" spans="2:12" x14ac:dyDescent="0.25">
      <c r="B27" s="116">
        <f>C4</f>
        <v>2019</v>
      </c>
      <c r="C27" s="118">
        <f ca="1">COUNTIFS(TbRegistroEntradas[Ano Competência],B27,TbRegistroEntradas[Dias de Atraso],"&gt;0")</f>
        <v>20</v>
      </c>
      <c r="D27" s="118">
        <f ca="1">SUMIFS(TbRegistroEntradas[Dias de Atraso],TbRegistroEntradas[Ano Competência],B27,TbRegistroEntradas[Dias de Atraso],"&gt;0")</f>
        <v>11618.589297480328</v>
      </c>
      <c r="E27" s="118">
        <f ca="1">D27/C27</f>
        <v>580.92946487401639</v>
      </c>
      <c r="F27" s="50"/>
      <c r="G27" s="50"/>
      <c r="H27" s="50"/>
      <c r="I27" s="50"/>
      <c r="J27" s="50"/>
      <c r="K27" s="50"/>
      <c r="L27" s="50"/>
    </row>
    <row r="28" spans="2:12" x14ac:dyDescent="0.25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</row>
    <row r="29" spans="2:12" x14ac:dyDescent="0.25">
      <c r="B29" s="50"/>
      <c r="C29" s="50"/>
      <c r="D29" s="50"/>
      <c r="E29" s="50"/>
      <c r="F29" s="50"/>
      <c r="G29" s="95" t="s">
        <v>608</v>
      </c>
      <c r="H29" s="119">
        <f>C4</f>
        <v>2019</v>
      </c>
      <c r="I29" s="50"/>
      <c r="J29" s="50"/>
      <c r="K29" s="50"/>
      <c r="L29" s="50"/>
    </row>
    <row r="30" spans="2:12" x14ac:dyDescent="0.25">
      <c r="B30" s="95" t="s">
        <v>607</v>
      </c>
      <c r="C30" s="50"/>
      <c r="F30" s="50"/>
      <c r="G30" s="99" t="s">
        <v>577</v>
      </c>
      <c r="H30" s="121" t="str">
        <f>DashboardFinanceiroAnual!K14</f>
        <v xml:space="preserve">Informática </v>
      </c>
      <c r="I30" s="50"/>
      <c r="J30" s="50"/>
      <c r="K30" s="50"/>
      <c r="L30" s="50"/>
    </row>
    <row r="31" spans="2:12" x14ac:dyDescent="0.25">
      <c r="B31" s="120" t="s">
        <v>600</v>
      </c>
      <c r="C31" s="104" t="s">
        <v>585</v>
      </c>
      <c r="D31" s="104" t="s">
        <v>587</v>
      </c>
      <c r="E31" s="104" t="s">
        <v>609</v>
      </c>
      <c r="F31" s="50"/>
      <c r="G31" s="50">
        <v>1</v>
      </c>
      <c r="H31" s="105">
        <f>SUMIFS(TbRegistroSaídas[Valor],TbRegistroSaídas[Conta Nível 2],$H$30,TbRegistroSaídas[Ano Competência],$H$29,TbRegistroSaídas[Mês Competência],G31)</f>
        <v>0</v>
      </c>
      <c r="I31" s="50"/>
      <c r="J31" s="50"/>
      <c r="K31" s="50"/>
      <c r="L31" s="50"/>
    </row>
    <row r="32" spans="2:12" x14ac:dyDescent="0.25">
      <c r="B32" s="133">
        <f>C4</f>
        <v>2019</v>
      </c>
      <c r="C32" s="122">
        <f>SUMIFS(TbRegistroEntradas[Valor],TbRegistroEntradas[Ano Competência],B32)</f>
        <v>130659</v>
      </c>
      <c r="D32" s="122">
        <f>SUMIFS(TbRegistroSaídas[Valor],TbRegistroSaídas[Ano Competência],B32)</f>
        <v>169790</v>
      </c>
      <c r="E32" s="123">
        <f>C32-D32</f>
        <v>-39131</v>
      </c>
      <c r="F32" s="50"/>
      <c r="G32" s="50">
        <v>2</v>
      </c>
      <c r="H32" s="105">
        <f>SUMIFS(TbRegistroSaídas[Valor],TbRegistroSaídas[Conta Nível 2],$H$30,TbRegistroSaídas[Ano Competência],$H$29,TbRegistroSaídas[Mês Competência],G32)</f>
        <v>7214</v>
      </c>
      <c r="I32" s="50"/>
      <c r="J32" s="50"/>
      <c r="K32" s="50"/>
      <c r="L32" s="50"/>
    </row>
    <row r="33" spans="2:12" x14ac:dyDescent="0.25">
      <c r="B33" s="50"/>
      <c r="C33" s="50"/>
      <c r="D33" s="50"/>
      <c r="E33" s="50"/>
      <c r="F33" s="50"/>
      <c r="G33" s="50">
        <v>3</v>
      </c>
      <c r="H33" s="105">
        <f>SUMIFS(TbRegistroSaídas[Valor],TbRegistroSaídas[Conta Nível 2],$H$30,TbRegistroSaídas[Ano Competência],$H$29,TbRegistroSaídas[Mês Competência],G33)</f>
        <v>0</v>
      </c>
      <c r="I33" s="50"/>
      <c r="J33" s="50"/>
      <c r="K33" s="50"/>
      <c r="L33" s="50"/>
    </row>
    <row r="34" spans="2:12" x14ac:dyDescent="0.25">
      <c r="B34" s="50"/>
      <c r="C34" s="50"/>
      <c r="D34" s="50"/>
      <c r="E34" s="50"/>
      <c r="F34" s="50"/>
      <c r="G34" s="50">
        <v>4</v>
      </c>
      <c r="H34" s="105">
        <f>SUMIFS(TbRegistroSaídas[Valor],TbRegistroSaídas[Conta Nível 2],$H$30,TbRegistroSaídas[Ano Competência],$H$29,TbRegistroSaídas[Mês Competência],G34)</f>
        <v>1259</v>
      </c>
      <c r="I34" s="50"/>
      <c r="J34" s="50"/>
      <c r="K34" s="50"/>
      <c r="L34" s="50"/>
    </row>
    <row r="35" spans="2:12" x14ac:dyDescent="0.25">
      <c r="B35" s="50"/>
      <c r="C35" s="50"/>
      <c r="D35" s="50"/>
      <c r="E35" s="50"/>
      <c r="F35" s="50"/>
      <c r="G35" s="50">
        <v>5</v>
      </c>
      <c r="H35" s="105">
        <f>SUMIFS(TbRegistroSaídas[Valor],TbRegistroSaídas[Conta Nível 2],$H$30,TbRegistroSaídas[Ano Competência],$H$29,TbRegistroSaídas[Mês Competência],G35)</f>
        <v>16307</v>
      </c>
      <c r="I35" s="50"/>
      <c r="J35" s="50"/>
      <c r="K35" s="50"/>
      <c r="L35" s="50"/>
    </row>
    <row r="36" spans="2:12" x14ac:dyDescent="0.25">
      <c r="B36" s="50"/>
      <c r="C36" s="50"/>
      <c r="D36" s="50"/>
      <c r="E36" s="50"/>
      <c r="F36" s="50"/>
      <c r="G36" s="50">
        <v>6</v>
      </c>
      <c r="H36" s="105">
        <f>SUMIFS(TbRegistroSaídas[Valor],TbRegistroSaídas[Conta Nível 2],$H$30,TbRegistroSaídas[Ano Competência],$H$29,TbRegistroSaídas[Mês Competência],G36)</f>
        <v>297</v>
      </c>
      <c r="I36" s="50"/>
      <c r="J36" s="50"/>
      <c r="K36" s="50"/>
      <c r="L36" s="50"/>
    </row>
    <row r="37" spans="2:12" x14ac:dyDescent="0.25">
      <c r="B37" s="50"/>
      <c r="C37" s="50"/>
      <c r="D37" s="50"/>
      <c r="E37" s="50"/>
      <c r="F37" s="50"/>
      <c r="G37" s="50">
        <v>7</v>
      </c>
      <c r="H37" s="105">
        <f>SUMIFS(TbRegistroSaídas[Valor],TbRegistroSaídas[Conta Nível 2],$H$30,TbRegistroSaídas[Ano Competência],$H$29,TbRegistroSaídas[Mês Competência],G37)</f>
        <v>0</v>
      </c>
      <c r="I37" s="50"/>
      <c r="J37" s="50"/>
      <c r="K37" s="50"/>
      <c r="L37" s="50"/>
    </row>
    <row r="38" spans="2:12" x14ac:dyDescent="0.25">
      <c r="B38" s="50"/>
      <c r="C38" s="50"/>
      <c r="D38" s="50"/>
      <c r="E38" s="50"/>
      <c r="F38" s="50"/>
      <c r="G38" s="50">
        <v>8</v>
      </c>
      <c r="H38" s="105">
        <f>SUMIFS(TbRegistroSaídas[Valor],TbRegistroSaídas[Conta Nível 2],$H$30,TbRegistroSaídas[Ano Competência],$H$29,TbRegistroSaídas[Mês Competência],G38)</f>
        <v>0</v>
      </c>
      <c r="I38" s="50"/>
      <c r="J38" s="50"/>
      <c r="K38" s="50"/>
      <c r="L38" s="50"/>
    </row>
    <row r="39" spans="2:12" x14ac:dyDescent="0.25">
      <c r="B39" s="50"/>
      <c r="C39" s="50"/>
      <c r="D39" s="50"/>
      <c r="E39" s="50"/>
      <c r="F39" s="50"/>
      <c r="G39" s="50">
        <v>9</v>
      </c>
      <c r="H39" s="105">
        <f>SUMIFS(TbRegistroSaídas[Valor],TbRegistroSaídas[Conta Nível 2],$H$30,TbRegistroSaídas[Ano Competência],$H$29,TbRegistroSaídas[Mês Competência],G39)</f>
        <v>0</v>
      </c>
      <c r="I39" s="50"/>
      <c r="J39" s="50"/>
      <c r="K39" s="50"/>
      <c r="L39" s="50"/>
    </row>
    <row r="40" spans="2:12" x14ac:dyDescent="0.25">
      <c r="B40" s="50"/>
      <c r="C40" s="50"/>
      <c r="D40" s="50"/>
      <c r="E40" s="50"/>
      <c r="F40" s="50"/>
      <c r="G40" s="50">
        <v>10</v>
      </c>
      <c r="H40" s="105">
        <f>SUMIFS(TbRegistroSaídas[Valor],TbRegistroSaídas[Conta Nível 2],$H$30,TbRegistroSaídas[Ano Competência],$H$29,TbRegistroSaídas[Mês Competência],G40)</f>
        <v>0</v>
      </c>
      <c r="I40" s="50"/>
      <c r="J40" s="50"/>
      <c r="K40" s="50"/>
      <c r="L40" s="50"/>
    </row>
    <row r="41" spans="2:12" x14ac:dyDescent="0.25">
      <c r="B41" s="50"/>
      <c r="C41" s="50"/>
      <c r="D41" s="50"/>
      <c r="E41" s="50"/>
      <c r="F41" s="50"/>
      <c r="G41" s="50">
        <v>11</v>
      </c>
      <c r="H41" s="105">
        <f>SUMIFS(TbRegistroSaídas[Valor],TbRegistroSaídas[Conta Nível 2],$H$30,TbRegistroSaídas[Ano Competência],$H$29,TbRegistroSaídas[Mês Competência],G41)</f>
        <v>0</v>
      </c>
      <c r="I41" s="50"/>
      <c r="J41" s="50"/>
      <c r="K41" s="50"/>
      <c r="L41" s="50"/>
    </row>
    <row r="42" spans="2:12" x14ac:dyDescent="0.25">
      <c r="B42" s="50"/>
      <c r="C42" s="50"/>
      <c r="D42" s="50"/>
      <c r="E42" s="50"/>
      <c r="F42" s="50"/>
      <c r="G42" s="108">
        <v>12</v>
      </c>
      <c r="H42" s="105">
        <f>SUMIFS(TbRegistroSaídas[Valor],TbRegistroSaídas[Conta Nível 2],$H$30,TbRegistroSaídas[Ano Competência],$H$29,TbRegistroSaídas[Mês Competência],G42)</f>
        <v>0</v>
      </c>
      <c r="I42" s="50"/>
      <c r="J42" s="50"/>
      <c r="K42" s="50"/>
      <c r="L42" s="50"/>
    </row>
    <row r="43" spans="2:12" x14ac:dyDescent="0.25">
      <c r="B43" s="50"/>
      <c r="C43" s="50"/>
      <c r="D43" s="50"/>
      <c r="E43" s="50"/>
      <c r="F43" s="50"/>
      <c r="G43" s="99" t="s">
        <v>562</v>
      </c>
      <c r="H43" s="124">
        <f>SUM(H31:H42)</f>
        <v>25077</v>
      </c>
      <c r="I43" s="50"/>
      <c r="J43" s="50"/>
      <c r="K43" s="50"/>
      <c r="L43" s="50"/>
    </row>
    <row r="44" spans="2:12" x14ac:dyDescent="0.25">
      <c r="B44" s="50"/>
      <c r="C44" s="50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6232-B713-4EB1-BC49-59864C7F881B}">
  <dimension ref="B1:N35"/>
  <sheetViews>
    <sheetView showGridLines="0" zoomScaleNormal="100" workbookViewId="0">
      <selection activeCell="A3" sqref="A3:N17"/>
    </sheetView>
  </sheetViews>
  <sheetFormatPr defaultColWidth="0" defaultRowHeight="15" x14ac:dyDescent="0.25"/>
  <cols>
    <col min="1" max="1" width="4" customWidth="1"/>
    <col min="2" max="2" width="40.7109375" customWidth="1"/>
    <col min="3" max="14" width="11.7109375" customWidth="1"/>
    <col min="15" max="15" width="4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5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  <row r="33" customFormat="1" x14ac:dyDescent="0.25"/>
    <row r="34" customFormat="1" x14ac:dyDescent="0.25"/>
    <row r="35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4B21-8B87-4A7C-AA81-1157C03FF14C}">
  <dimension ref="B1:N35"/>
  <sheetViews>
    <sheetView showGridLines="0" zoomScaleNormal="10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4" customWidth="1"/>
    <col min="2" max="2" width="40.7109375" customWidth="1"/>
    <col min="3" max="14" width="11.7109375" customWidth="1"/>
    <col min="15" max="15" width="4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8" t="s">
        <v>18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7" t="s">
        <v>19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20</v>
      </c>
    </row>
    <row r="6" spans="2:14" ht="20.100000000000001" customHeight="1" x14ac:dyDescent="0.25">
      <c r="B6" t="s">
        <v>21</v>
      </c>
    </row>
    <row r="7" spans="2:14" ht="20.100000000000001" customHeight="1" x14ac:dyDescent="0.25">
      <c r="B7" t="s">
        <v>22</v>
      </c>
    </row>
    <row r="8" spans="2:14" ht="20.100000000000001" customHeight="1" x14ac:dyDescent="0.25">
      <c r="B8" t="s">
        <v>23</v>
      </c>
    </row>
    <row r="9" spans="2:14" ht="20.100000000000001" customHeight="1" x14ac:dyDescent="0.25">
      <c r="B9" t="s">
        <v>24</v>
      </c>
    </row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22F8-5E34-432B-AF90-B4F4A8595F0C}">
  <dimension ref="B1:N35"/>
  <sheetViews>
    <sheetView showGridLines="0" zoomScaleNormal="100" workbookViewId="0">
      <pane ySplit="4" topLeftCell="A5" activePane="bottomLeft" state="frozen"/>
      <selection pane="bottomLeft" activeCell="C14" sqref="C14"/>
    </sheetView>
  </sheetViews>
  <sheetFormatPr defaultColWidth="0" defaultRowHeight="15" x14ac:dyDescent="0.25"/>
  <cols>
    <col min="1" max="1" width="4" customWidth="1"/>
    <col min="2" max="2" width="40.7109375" customWidth="1"/>
    <col min="3" max="3" width="45.140625" customWidth="1"/>
    <col min="4" max="14" width="8.7109375" customWidth="1"/>
    <col min="15" max="15" width="4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9" t="s">
        <v>25</v>
      </c>
      <c r="C3" s="10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7" t="s">
        <v>19</v>
      </c>
      <c r="C4" s="7" t="s">
        <v>26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20</v>
      </c>
      <c r="C5" t="s">
        <v>28</v>
      </c>
    </row>
    <row r="6" spans="2:14" ht="20.100000000000001" customHeight="1" x14ac:dyDescent="0.25">
      <c r="B6" t="s">
        <v>22</v>
      </c>
      <c r="C6" t="s">
        <v>29</v>
      </c>
    </row>
    <row r="7" spans="2:14" ht="20.100000000000001" customHeight="1" x14ac:dyDescent="0.25">
      <c r="B7" t="s">
        <v>23</v>
      </c>
      <c r="C7" t="s">
        <v>30</v>
      </c>
    </row>
    <row r="8" spans="2:14" ht="20.100000000000001" customHeight="1" x14ac:dyDescent="0.25">
      <c r="B8" t="s">
        <v>24</v>
      </c>
      <c r="C8" t="s">
        <v>31</v>
      </c>
    </row>
    <row r="9" spans="2:14" ht="20.100000000000001" customHeight="1" x14ac:dyDescent="0.25">
      <c r="B9" t="s">
        <v>24</v>
      </c>
      <c r="C9" t="s">
        <v>32</v>
      </c>
    </row>
    <row r="10" spans="2:14" ht="20.100000000000001" customHeight="1" x14ac:dyDescent="0.25">
      <c r="B10" t="s">
        <v>24</v>
      </c>
      <c r="C10" t="s">
        <v>33</v>
      </c>
    </row>
    <row r="11" spans="2:14" ht="20.100000000000001" customHeight="1" x14ac:dyDescent="0.25">
      <c r="B11" t="s">
        <v>24</v>
      </c>
      <c r="C11" t="s">
        <v>34</v>
      </c>
    </row>
    <row r="12" spans="2:14" ht="20.100000000000001" customHeight="1" x14ac:dyDescent="0.25">
      <c r="B12" t="s">
        <v>24</v>
      </c>
      <c r="C12" t="s">
        <v>35</v>
      </c>
    </row>
    <row r="13" spans="2:14" ht="20.100000000000001" customHeight="1" x14ac:dyDescent="0.25">
      <c r="B13" t="s">
        <v>21</v>
      </c>
      <c r="C13" t="s">
        <v>61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  <row r="33" customFormat="1" x14ac:dyDescent="0.25"/>
    <row r="34" customFormat="1" x14ac:dyDescent="0.25"/>
    <row r="35" customFormat="1" x14ac:dyDescent="0.25"/>
  </sheetData>
  <mergeCells count="1">
    <mergeCell ref="B3:C3"/>
  </mergeCells>
  <dataValidations count="1">
    <dataValidation type="list" allowBlank="1" showInputMessage="1" showErrorMessage="1" sqref="B5:B13" xr:uid="{23B24067-CEEB-4D4A-92E7-54FDB7187543}">
      <formula1>PCEntradasN1_Nível_1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DF1B-26A7-4769-906E-22C1D762EF6F}">
  <dimension ref="B1:N35"/>
  <sheetViews>
    <sheetView showGridLines="0" zoomScaleNormal="100" workbookViewId="0">
      <pane ySplit="4" topLeftCell="A5" activePane="bottomLeft" state="frozen"/>
      <selection pane="bottomLeft" activeCell="B5" sqref="B5:B10"/>
    </sheetView>
  </sheetViews>
  <sheetFormatPr defaultColWidth="0" defaultRowHeight="15" x14ac:dyDescent="0.25"/>
  <cols>
    <col min="1" max="1" width="4" customWidth="1"/>
    <col min="2" max="2" width="40.7109375" customWidth="1"/>
    <col min="3" max="14" width="11.7109375" customWidth="1"/>
    <col min="15" max="15" width="4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6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8" t="s">
        <v>36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7" t="s">
        <v>19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37</v>
      </c>
    </row>
    <row r="6" spans="2:14" ht="20.100000000000001" customHeight="1" x14ac:dyDescent="0.25">
      <c r="B6" t="s">
        <v>38</v>
      </c>
    </row>
    <row r="7" spans="2:14" ht="20.100000000000001" customHeight="1" x14ac:dyDescent="0.25">
      <c r="B7" t="s">
        <v>39</v>
      </c>
    </row>
    <row r="8" spans="2:14" ht="20.100000000000001" customHeight="1" x14ac:dyDescent="0.25">
      <c r="B8" t="s">
        <v>40</v>
      </c>
    </row>
    <row r="9" spans="2:14" ht="20.100000000000001" customHeight="1" x14ac:dyDescent="0.25">
      <c r="B9" t="s">
        <v>41</v>
      </c>
    </row>
    <row r="10" spans="2:14" ht="20.100000000000001" customHeight="1" x14ac:dyDescent="0.25">
      <c r="B10" t="s">
        <v>42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62DC-D872-4E13-B2D4-25EC25B69DD6}">
  <dimension ref="B1:N35"/>
  <sheetViews>
    <sheetView showGridLines="0" zoomScaleNormal="100" workbookViewId="0">
      <pane ySplit="4" topLeftCell="A5" activePane="bottomLeft" state="frozen"/>
      <selection pane="bottomLeft" activeCell="C22" sqref="C22"/>
    </sheetView>
  </sheetViews>
  <sheetFormatPr defaultColWidth="0" defaultRowHeight="15" x14ac:dyDescent="0.25"/>
  <cols>
    <col min="1" max="1" width="4" customWidth="1"/>
    <col min="2" max="2" width="40.7109375" customWidth="1"/>
    <col min="3" max="3" width="44.42578125" customWidth="1"/>
    <col min="4" max="14" width="8.7109375" customWidth="1"/>
    <col min="15" max="15" width="4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9" t="s">
        <v>43</v>
      </c>
      <c r="C3" s="10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7" t="s">
        <v>19</v>
      </c>
      <c r="C4" s="7" t="s">
        <v>26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37</v>
      </c>
      <c r="C5" t="s">
        <v>31</v>
      </c>
    </row>
    <row r="6" spans="2:14" ht="20.100000000000001" customHeight="1" x14ac:dyDescent="0.25">
      <c r="B6" t="s">
        <v>37</v>
      </c>
      <c r="C6" t="s">
        <v>32</v>
      </c>
    </row>
    <row r="7" spans="2:14" ht="20.100000000000001" customHeight="1" x14ac:dyDescent="0.25">
      <c r="B7" t="s">
        <v>37</v>
      </c>
      <c r="C7" t="s">
        <v>33</v>
      </c>
    </row>
    <row r="8" spans="2:14" ht="20.100000000000001" customHeight="1" x14ac:dyDescent="0.25">
      <c r="B8" t="s">
        <v>37</v>
      </c>
      <c r="C8" t="s">
        <v>35</v>
      </c>
    </row>
    <row r="9" spans="2:14" ht="20.100000000000001" customHeight="1" x14ac:dyDescent="0.25">
      <c r="B9" t="s">
        <v>37</v>
      </c>
      <c r="C9" t="s">
        <v>44</v>
      </c>
    </row>
    <row r="10" spans="2:14" ht="20.100000000000001" customHeight="1" x14ac:dyDescent="0.25">
      <c r="B10" t="s">
        <v>38</v>
      </c>
      <c r="C10" t="s">
        <v>45</v>
      </c>
    </row>
    <row r="11" spans="2:14" ht="20.100000000000001" customHeight="1" x14ac:dyDescent="0.25">
      <c r="B11" t="s">
        <v>38</v>
      </c>
      <c r="C11" t="s">
        <v>46</v>
      </c>
    </row>
    <row r="12" spans="2:14" ht="20.100000000000001" customHeight="1" x14ac:dyDescent="0.25">
      <c r="B12" t="s">
        <v>39</v>
      </c>
      <c r="C12" t="s">
        <v>47</v>
      </c>
    </row>
    <row r="13" spans="2:14" ht="20.100000000000001" customHeight="1" x14ac:dyDescent="0.25">
      <c r="B13" t="s">
        <v>39</v>
      </c>
      <c r="C13" t="s">
        <v>48</v>
      </c>
    </row>
    <row r="14" spans="2:14" ht="20.100000000000001" customHeight="1" x14ac:dyDescent="0.25">
      <c r="B14" t="s">
        <v>40</v>
      </c>
      <c r="C14" t="s">
        <v>49</v>
      </c>
    </row>
    <row r="15" spans="2:14" ht="20.100000000000001" customHeight="1" x14ac:dyDescent="0.25">
      <c r="B15" t="s">
        <v>41</v>
      </c>
      <c r="C15" t="s">
        <v>50</v>
      </c>
    </row>
    <row r="16" spans="2:14" ht="20.100000000000001" customHeight="1" x14ac:dyDescent="0.25">
      <c r="B16" t="s">
        <v>42</v>
      </c>
      <c r="C16" t="s">
        <v>61</v>
      </c>
    </row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</sheetData>
  <mergeCells count="1">
    <mergeCell ref="B3:C3"/>
  </mergeCells>
  <dataValidations count="1">
    <dataValidation type="list" allowBlank="1" showInputMessage="1" showErrorMessage="1" sqref="B5:B16" xr:uid="{A6727C69-503F-49F5-A726-6387A5EA0E4A}">
      <formula1>PCSaídasN1_Nível_1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7476-5596-4148-A57E-CF4F78C0AD33}">
  <dimension ref="B1:Q234"/>
  <sheetViews>
    <sheetView showGridLines="0" tabSelected="1" topLeftCell="K1" zoomScale="145" zoomScaleNormal="145" workbookViewId="0">
      <pane ySplit="3" topLeftCell="A140" activePane="bottomLeft" state="frozen"/>
      <selection pane="bottomLeft" activeCell="F140" sqref="F140"/>
    </sheetView>
  </sheetViews>
  <sheetFormatPr defaultColWidth="9.140625" defaultRowHeight="15" x14ac:dyDescent="0.25"/>
  <cols>
    <col min="1" max="1" width="4" customWidth="1"/>
    <col min="2" max="2" width="20.140625" style="14" customWidth="1"/>
    <col min="3" max="3" width="18" style="14" customWidth="1"/>
    <col min="4" max="4" width="17.140625" style="14" customWidth="1"/>
    <col min="5" max="5" width="27" customWidth="1"/>
    <col min="6" max="6" width="36.140625" customWidth="1"/>
    <col min="7" max="7" width="43.42578125" customWidth="1"/>
    <col min="8" max="8" width="16.42578125" style="17" customWidth="1"/>
    <col min="9" max="9" width="13" customWidth="1"/>
    <col min="10" max="10" width="11.85546875" customWidth="1"/>
    <col min="11" max="11" width="14.7109375" customWidth="1"/>
    <col min="12" max="12" width="13.7109375" customWidth="1"/>
    <col min="13" max="13" width="11.5703125" customWidth="1"/>
    <col min="14" max="14" width="10.7109375" customWidth="1"/>
    <col min="15" max="15" width="14.5703125" customWidth="1"/>
  </cols>
  <sheetData>
    <row r="1" spans="2:17" ht="39.950000000000003" customHeight="1" x14ac:dyDescent="0.25">
      <c r="B1" s="11" t="s">
        <v>1</v>
      </c>
      <c r="C1" s="12"/>
      <c r="D1" s="12"/>
      <c r="E1" s="1"/>
      <c r="F1" s="1"/>
      <c r="G1" s="1"/>
      <c r="H1" s="15" t="s">
        <v>10</v>
      </c>
    </row>
    <row r="2" spans="2:17" ht="39.950000000000003" customHeight="1" x14ac:dyDescent="0.25">
      <c r="B2" s="13"/>
      <c r="C2" s="13"/>
      <c r="D2" s="13"/>
      <c r="E2" s="5"/>
      <c r="F2" s="5"/>
      <c r="G2" s="5"/>
      <c r="H2" s="16"/>
    </row>
    <row r="3" spans="2:17" s="18" customFormat="1" ht="42" customHeight="1" x14ac:dyDescent="0.25">
      <c r="B3" s="19" t="s">
        <v>51</v>
      </c>
      <c r="C3" s="19" t="s">
        <v>52</v>
      </c>
      <c r="D3" s="19" t="s">
        <v>53</v>
      </c>
      <c r="E3" s="20" t="s">
        <v>54</v>
      </c>
      <c r="F3" s="20" t="s">
        <v>55</v>
      </c>
      <c r="G3" s="20" t="s">
        <v>56</v>
      </c>
      <c r="H3" s="21" t="s">
        <v>57</v>
      </c>
      <c r="I3" s="20" t="s">
        <v>543</v>
      </c>
      <c r="J3" s="20" t="s">
        <v>544</v>
      </c>
      <c r="K3" s="20" t="s">
        <v>545</v>
      </c>
      <c r="L3" s="20" t="s">
        <v>546</v>
      </c>
      <c r="M3" s="20" t="s">
        <v>553</v>
      </c>
      <c r="N3" s="20" t="s">
        <v>552</v>
      </c>
      <c r="O3" s="20" t="s">
        <v>555</v>
      </c>
      <c r="P3" s="20" t="s">
        <v>612</v>
      </c>
      <c r="Q3" s="20" t="s">
        <v>613</v>
      </c>
    </row>
    <row r="4" spans="2:17" ht="20.100000000000001" customHeight="1" x14ac:dyDescent="0.25">
      <c r="B4" s="14">
        <v>42994.360242603791</v>
      </c>
      <c r="C4" s="14">
        <v>42957</v>
      </c>
      <c r="D4" s="14">
        <v>42972.730282070355</v>
      </c>
      <c r="E4" t="s">
        <v>24</v>
      </c>
      <c r="F4" t="s">
        <v>32</v>
      </c>
      <c r="G4" t="s">
        <v>64</v>
      </c>
      <c r="H4" s="17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 s="48">
        <f>IF(TbRegistroEntradas[[#This Row],[Data do Caixa Previsto]]="",0,MONTH(TbRegistroEntradas[[#This Row],[Data do Caixa Previsto]]))</f>
        <v>8</v>
      </c>
      <c r="N4" s="48">
        <f>IF(TbRegistroEntradas[[#This Row],[Data do Caixa Previsto]]="",0,YEAR(TbRegistroEntradas[[#This Row],[Data do Caixa Previsto]]))</f>
        <v>2017</v>
      </c>
      <c r="O4" s="48" t="str">
        <f ca="1">IF(AND(TbRegistroEntradas[[#This Row],[Data do Caixa Previsto]]&lt;TODAY(),TbRegistroEntradas[[#This Row],[Data do Caixa Realizado]]=""),"Vencida","Não Vencida")</f>
        <v>Não Vencida</v>
      </c>
      <c r="P4" s="48" t="str">
        <f>IF(TbRegistroEntradas[[#This Row],[Data da Competência]]=TbRegistroEntradas[[#This Row],[Data do Caixa Previsto]],"Vista","Prazo")</f>
        <v>Prazo</v>
      </c>
      <c r="Q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21.629960533435224</v>
      </c>
    </row>
    <row r="5" spans="2:17" ht="20.100000000000001" customHeight="1" x14ac:dyDescent="0.25">
      <c r="B5" s="14">
        <v>42985.921072815276</v>
      </c>
      <c r="C5" s="14">
        <v>42960</v>
      </c>
      <c r="D5" s="14">
        <v>42985.08192799228</v>
      </c>
      <c r="E5" t="s">
        <v>24</v>
      </c>
      <c r="F5" t="s">
        <v>34</v>
      </c>
      <c r="G5" t="s">
        <v>65</v>
      </c>
      <c r="H5" s="17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 s="48">
        <f>IF(TbRegistroEntradas[[#This Row],[Data do Caixa Previsto]]="",0,MONTH(TbRegistroEntradas[[#This Row],[Data do Caixa Previsto]]))</f>
        <v>9</v>
      </c>
      <c r="N5" s="48">
        <f>IF(TbRegistroEntradas[[#This Row],[Data do Caixa Previsto]]="",0,YEAR(TbRegistroEntradas[[#This Row],[Data do Caixa Previsto]]))</f>
        <v>2017</v>
      </c>
      <c r="O5" s="48" t="str">
        <f ca="1">IF(AND(TbRegistroEntradas[[#This Row],[Data do Caixa Previsto]]&lt;TODAY(),TbRegistroEntradas[[#This Row],[Data do Caixa Realizado]]=""),"Vencida","Não Vencida")</f>
        <v>Não Vencida</v>
      </c>
      <c r="P5" s="48" t="str">
        <f>IF(TbRegistroEntradas[[#This Row],[Data da Competência]]=TbRegistroEntradas[[#This Row],[Data do Caixa Previsto]],"Vista","Prazo")</f>
        <v>Prazo</v>
      </c>
      <c r="Q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0.83914482299587689</v>
      </c>
    </row>
    <row r="6" spans="2:17" ht="20.100000000000001" customHeight="1" x14ac:dyDescent="0.25">
      <c r="B6" s="14">
        <v>43007.497531597422</v>
      </c>
      <c r="C6" s="14">
        <v>42964</v>
      </c>
      <c r="D6" s="14">
        <v>43001.085754998392</v>
      </c>
      <c r="E6" t="s">
        <v>24</v>
      </c>
      <c r="F6" t="s">
        <v>34</v>
      </c>
      <c r="G6" t="s">
        <v>66</v>
      </c>
      <c r="H6" s="17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 s="48">
        <f>IF(TbRegistroEntradas[[#This Row],[Data do Caixa Previsto]]="",0,MONTH(TbRegistroEntradas[[#This Row],[Data do Caixa Previsto]]))</f>
        <v>9</v>
      </c>
      <c r="N6" s="48">
        <f>IF(TbRegistroEntradas[[#This Row],[Data do Caixa Previsto]]="",0,YEAR(TbRegistroEntradas[[#This Row],[Data do Caixa Previsto]]))</f>
        <v>2017</v>
      </c>
      <c r="O6" s="48" t="str">
        <f ca="1">IF(AND(TbRegistroEntradas[[#This Row],[Data do Caixa Previsto]]&lt;TODAY(),TbRegistroEntradas[[#This Row],[Data do Caixa Realizado]]=""),"Vencida","Não Vencida")</f>
        <v>Não Vencida</v>
      </c>
      <c r="P6" s="48" t="str">
        <f>IF(TbRegistroEntradas[[#This Row],[Data da Competência]]=TbRegistroEntradas[[#This Row],[Data do Caixa Previsto]],"Vista","Prazo")</f>
        <v>Prazo</v>
      </c>
      <c r="Q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6.4117765990304179</v>
      </c>
    </row>
    <row r="7" spans="2:17" ht="20.100000000000001" customHeight="1" x14ac:dyDescent="0.25">
      <c r="B7" s="14">
        <v>43020.93099062844</v>
      </c>
      <c r="C7" s="14">
        <v>42969</v>
      </c>
      <c r="D7" s="14">
        <v>43020.93099062844</v>
      </c>
      <c r="E7" t="s">
        <v>24</v>
      </c>
      <c r="F7" t="s">
        <v>35</v>
      </c>
      <c r="G7" t="s">
        <v>68</v>
      </c>
      <c r="H7" s="17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 s="48">
        <f>IF(TbRegistroEntradas[[#This Row],[Data do Caixa Previsto]]="",0,MONTH(TbRegistroEntradas[[#This Row],[Data do Caixa Previsto]]))</f>
        <v>10</v>
      </c>
      <c r="N7" s="48">
        <f>IF(TbRegistroEntradas[[#This Row],[Data do Caixa Previsto]]="",0,YEAR(TbRegistroEntradas[[#This Row],[Data do Caixa Previsto]]))</f>
        <v>2017</v>
      </c>
      <c r="O7" s="48" t="str">
        <f ca="1">IF(AND(TbRegistroEntradas[[#This Row],[Data do Caixa Previsto]]&lt;TODAY(),TbRegistroEntradas[[#This Row],[Data do Caixa Realizado]]=""),"Vencida","Não Vencida")</f>
        <v>Não Vencida</v>
      </c>
      <c r="P7" s="48" t="str">
        <f>IF(TbRegistroEntradas[[#This Row],[Data da Competência]]=TbRegistroEntradas[[#This Row],[Data do Caixa Previsto]],"Vista","Prazo")</f>
        <v>Prazo</v>
      </c>
      <c r="Q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" spans="2:17" ht="20.100000000000001" customHeight="1" x14ac:dyDescent="0.25">
      <c r="B8" s="14">
        <v>43014.490029992223</v>
      </c>
      <c r="C8" s="14">
        <v>42972</v>
      </c>
      <c r="D8" s="14">
        <v>43014.490029992223</v>
      </c>
      <c r="E8" t="s">
        <v>24</v>
      </c>
      <c r="F8" t="s">
        <v>32</v>
      </c>
      <c r="G8" t="s">
        <v>69</v>
      </c>
      <c r="H8" s="17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 s="48">
        <f>IF(TbRegistroEntradas[[#This Row],[Data do Caixa Previsto]]="",0,MONTH(TbRegistroEntradas[[#This Row],[Data do Caixa Previsto]]))</f>
        <v>10</v>
      </c>
      <c r="N8" s="48">
        <f>IF(TbRegistroEntradas[[#This Row],[Data do Caixa Previsto]]="",0,YEAR(TbRegistroEntradas[[#This Row],[Data do Caixa Previsto]]))</f>
        <v>2017</v>
      </c>
      <c r="O8" s="48" t="str">
        <f ca="1">IF(AND(TbRegistroEntradas[[#This Row],[Data do Caixa Previsto]]&lt;TODAY(),TbRegistroEntradas[[#This Row],[Data do Caixa Realizado]]=""),"Vencida","Não Vencida")</f>
        <v>Não Vencida</v>
      </c>
      <c r="P8" s="48" t="str">
        <f>IF(TbRegistroEntradas[[#This Row],[Data da Competência]]=TbRegistroEntradas[[#This Row],[Data do Caixa Previsto]],"Vista","Prazo")</f>
        <v>Prazo</v>
      </c>
      <c r="Q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" spans="2:17" ht="20.100000000000001" customHeight="1" x14ac:dyDescent="0.25">
      <c r="B9" s="14">
        <v>43054.754604096757</v>
      </c>
      <c r="C9" s="14">
        <v>42974</v>
      </c>
      <c r="D9" s="14">
        <v>43030.597366701804</v>
      </c>
      <c r="E9" t="s">
        <v>24</v>
      </c>
      <c r="F9" t="s">
        <v>34</v>
      </c>
      <c r="G9" t="s">
        <v>70</v>
      </c>
      <c r="H9" s="17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 s="48">
        <f>IF(TbRegistroEntradas[[#This Row],[Data do Caixa Previsto]]="",0,MONTH(TbRegistroEntradas[[#This Row],[Data do Caixa Previsto]]))</f>
        <v>10</v>
      </c>
      <c r="N9" s="48">
        <f>IF(TbRegistroEntradas[[#This Row],[Data do Caixa Previsto]]="",0,YEAR(TbRegistroEntradas[[#This Row],[Data do Caixa Previsto]]))</f>
        <v>2017</v>
      </c>
      <c r="O9" s="48" t="str">
        <f ca="1">IF(AND(TbRegistroEntradas[[#This Row],[Data do Caixa Previsto]]&lt;TODAY(),TbRegistroEntradas[[#This Row],[Data do Caixa Realizado]]=""),"Vencida","Não Vencida")</f>
        <v>Não Vencida</v>
      </c>
      <c r="P9" s="48" t="str">
        <f>IF(TbRegistroEntradas[[#This Row],[Data da Competência]]=TbRegistroEntradas[[#This Row],[Data do Caixa Previsto]],"Vista","Prazo")</f>
        <v>Prazo</v>
      </c>
      <c r="Q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24.157237394952972</v>
      </c>
    </row>
    <row r="10" spans="2:17" ht="20.100000000000001" customHeight="1" x14ac:dyDescent="0.25">
      <c r="B10" s="14">
        <v>43087.201387518355</v>
      </c>
      <c r="C10" s="14">
        <v>42979</v>
      </c>
      <c r="D10" s="14">
        <v>43009.803181410032</v>
      </c>
      <c r="E10" t="s">
        <v>24</v>
      </c>
      <c r="F10" t="s">
        <v>32</v>
      </c>
      <c r="G10" t="s">
        <v>71</v>
      </c>
      <c r="H10" s="17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 s="48">
        <f>IF(TbRegistroEntradas[[#This Row],[Data do Caixa Previsto]]="",0,MONTH(TbRegistroEntradas[[#This Row],[Data do Caixa Previsto]]))</f>
        <v>10</v>
      </c>
      <c r="N10" s="48">
        <f>IF(TbRegistroEntradas[[#This Row],[Data do Caixa Previsto]]="",0,YEAR(TbRegistroEntradas[[#This Row],[Data do Caixa Previsto]]))</f>
        <v>2017</v>
      </c>
      <c r="O10" s="48" t="str">
        <f ca="1">IF(AND(TbRegistroEntradas[[#This Row],[Data do Caixa Previsto]]&lt;TODAY(),TbRegistroEntradas[[#This Row],[Data do Caixa Realizado]]=""),"Vencida","Não Vencida")</f>
        <v>Não Vencida</v>
      </c>
      <c r="P10" s="48" t="str">
        <f>IF(TbRegistroEntradas[[#This Row],[Data da Competência]]=TbRegistroEntradas[[#This Row],[Data do Caixa Previsto]],"Vista","Prazo")</f>
        <v>Prazo</v>
      </c>
      <c r="Q1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77.398206108322483</v>
      </c>
    </row>
    <row r="11" spans="2:17" ht="20.100000000000001" customHeight="1" x14ac:dyDescent="0.25">
      <c r="B11" s="14">
        <v>43004.688402044558</v>
      </c>
      <c r="C11" s="14">
        <v>42980</v>
      </c>
      <c r="D11" s="14">
        <v>43004.688402044558</v>
      </c>
      <c r="E11" t="s">
        <v>21</v>
      </c>
      <c r="F11" t="s">
        <v>61</v>
      </c>
      <c r="G11" t="s">
        <v>72</v>
      </c>
      <c r="H11" s="17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 s="48">
        <f>IF(TbRegistroEntradas[[#This Row],[Data do Caixa Previsto]]="",0,MONTH(TbRegistroEntradas[[#This Row],[Data do Caixa Previsto]]))</f>
        <v>9</v>
      </c>
      <c r="N11" s="48">
        <f>IF(TbRegistroEntradas[[#This Row],[Data do Caixa Previsto]]="",0,YEAR(TbRegistroEntradas[[#This Row],[Data do Caixa Previsto]]))</f>
        <v>2017</v>
      </c>
      <c r="O11" s="48" t="str">
        <f ca="1">IF(AND(TbRegistroEntradas[[#This Row],[Data do Caixa Previsto]]&lt;TODAY(),TbRegistroEntradas[[#This Row],[Data do Caixa Realizado]]=""),"Vencida","Não Vencida")</f>
        <v>Não Vencida</v>
      </c>
      <c r="P11" s="48" t="str">
        <f>IF(TbRegistroEntradas[[#This Row],[Data da Competência]]=TbRegistroEntradas[[#This Row],[Data do Caixa Previsto]],"Vista","Prazo")</f>
        <v>Prazo</v>
      </c>
      <c r="Q1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" spans="2:17" ht="20.100000000000001" customHeight="1" x14ac:dyDescent="0.25">
      <c r="B12" s="14">
        <v>43015.979718768547</v>
      </c>
      <c r="C12" s="14">
        <v>42984</v>
      </c>
      <c r="D12" s="14">
        <v>43015.979718768547</v>
      </c>
      <c r="E12" t="s">
        <v>24</v>
      </c>
      <c r="F12" t="s">
        <v>34</v>
      </c>
      <c r="G12" t="s">
        <v>73</v>
      </c>
      <c r="H12" s="17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 s="48">
        <f>IF(TbRegistroEntradas[[#This Row],[Data do Caixa Previsto]]="",0,MONTH(TbRegistroEntradas[[#This Row],[Data do Caixa Previsto]]))</f>
        <v>10</v>
      </c>
      <c r="N12" s="48">
        <f>IF(TbRegistroEntradas[[#This Row],[Data do Caixa Previsto]]="",0,YEAR(TbRegistroEntradas[[#This Row],[Data do Caixa Previsto]]))</f>
        <v>2017</v>
      </c>
      <c r="O12" s="48" t="str">
        <f ca="1">IF(AND(TbRegistroEntradas[[#This Row],[Data do Caixa Previsto]]&lt;TODAY(),TbRegistroEntradas[[#This Row],[Data do Caixa Realizado]]=""),"Vencida","Não Vencida")</f>
        <v>Não Vencida</v>
      </c>
      <c r="P12" s="48" t="str">
        <f>IF(TbRegistroEntradas[[#This Row],[Data da Competência]]=TbRegistroEntradas[[#This Row],[Data do Caixa Previsto]],"Vista","Prazo")</f>
        <v>Prazo</v>
      </c>
      <c r="Q1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" spans="2:17" ht="20.100000000000001" customHeight="1" x14ac:dyDescent="0.25">
      <c r="B13" s="14" t="s">
        <v>74</v>
      </c>
      <c r="C13" s="14">
        <v>42988</v>
      </c>
      <c r="D13" s="14">
        <v>43013.954304648258</v>
      </c>
      <c r="E13" t="s">
        <v>24</v>
      </c>
      <c r="F13" t="s">
        <v>34</v>
      </c>
      <c r="G13" t="s">
        <v>75</v>
      </c>
      <c r="H13" s="17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 s="48">
        <f>IF(TbRegistroEntradas[[#This Row],[Data do Caixa Previsto]]="",0,MONTH(TbRegistroEntradas[[#This Row],[Data do Caixa Previsto]]))</f>
        <v>10</v>
      </c>
      <c r="N13" s="48">
        <f>IF(TbRegistroEntradas[[#This Row],[Data do Caixa Previsto]]="",0,YEAR(TbRegistroEntradas[[#This Row],[Data do Caixa Previsto]]))</f>
        <v>2017</v>
      </c>
      <c r="O13" s="48" t="str">
        <f ca="1">IF(AND(TbRegistroEntradas[[#This Row],[Data do Caixa Previsto]]&lt;TODAY(),TbRegistroEntradas[[#This Row],[Data do Caixa Realizado]]=""),"Vencida","Não Vencida")</f>
        <v>Vencida</v>
      </c>
      <c r="P13" s="48" t="str">
        <f>IF(TbRegistroEntradas[[#This Row],[Data da Competência]]=TbRegistroEntradas[[#This Row],[Data do Caixa Previsto]],"Vista","Prazo")</f>
        <v>Prazo</v>
      </c>
      <c r="Q1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2802.0456953517423</v>
      </c>
    </row>
    <row r="14" spans="2:17" ht="20.100000000000001" customHeight="1" x14ac:dyDescent="0.25">
      <c r="B14" s="14">
        <v>42997.551902670813</v>
      </c>
      <c r="C14" s="14">
        <v>42990</v>
      </c>
      <c r="D14" s="14">
        <v>42997.551902670813</v>
      </c>
      <c r="E14" t="s">
        <v>24</v>
      </c>
      <c r="F14" t="s">
        <v>31</v>
      </c>
      <c r="G14" t="s">
        <v>76</v>
      </c>
      <c r="H14" s="17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 s="48">
        <f>IF(TbRegistroEntradas[[#This Row],[Data do Caixa Previsto]]="",0,MONTH(TbRegistroEntradas[[#This Row],[Data do Caixa Previsto]]))</f>
        <v>9</v>
      </c>
      <c r="N14" s="48">
        <f>IF(TbRegistroEntradas[[#This Row],[Data do Caixa Previsto]]="",0,YEAR(TbRegistroEntradas[[#This Row],[Data do Caixa Previsto]]))</f>
        <v>2017</v>
      </c>
      <c r="O14" s="48" t="str">
        <f ca="1">IF(AND(TbRegistroEntradas[[#This Row],[Data do Caixa Previsto]]&lt;TODAY(),TbRegistroEntradas[[#This Row],[Data do Caixa Realizado]]=""),"Vencida","Não Vencida")</f>
        <v>Não Vencida</v>
      </c>
      <c r="P14" s="48" t="str">
        <f>IF(TbRegistroEntradas[[#This Row],[Data da Competência]]=TbRegistroEntradas[[#This Row],[Data do Caixa Previsto]],"Vista","Prazo")</f>
        <v>Prazo</v>
      </c>
      <c r="Q1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" spans="2:17" ht="20.100000000000001" customHeight="1" x14ac:dyDescent="0.25">
      <c r="B15" s="14">
        <v>43004.663371860901</v>
      </c>
      <c r="C15" s="14">
        <v>42994</v>
      </c>
      <c r="D15" s="14">
        <v>43002.856606349254</v>
      </c>
      <c r="E15" t="s">
        <v>24</v>
      </c>
      <c r="F15" t="s">
        <v>34</v>
      </c>
      <c r="G15" t="s">
        <v>77</v>
      </c>
      <c r="H15" s="17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 s="48">
        <f>IF(TbRegistroEntradas[[#This Row],[Data do Caixa Previsto]]="",0,MONTH(TbRegistroEntradas[[#This Row],[Data do Caixa Previsto]]))</f>
        <v>9</v>
      </c>
      <c r="N15" s="48">
        <f>IF(TbRegistroEntradas[[#This Row],[Data do Caixa Previsto]]="",0,YEAR(TbRegistroEntradas[[#This Row],[Data do Caixa Previsto]]))</f>
        <v>2017</v>
      </c>
      <c r="O15" s="48" t="str">
        <f ca="1">IF(AND(TbRegistroEntradas[[#This Row],[Data do Caixa Previsto]]&lt;TODAY(),TbRegistroEntradas[[#This Row],[Data do Caixa Realizado]]=""),"Vencida","Não Vencida")</f>
        <v>Não Vencida</v>
      </c>
      <c r="P15" s="48" t="str">
        <f>IF(TbRegistroEntradas[[#This Row],[Data da Competência]]=TbRegistroEntradas[[#This Row],[Data do Caixa Previsto]],"Vista","Prazo")</f>
        <v>Prazo</v>
      </c>
      <c r="Q1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1.8067655116465176</v>
      </c>
    </row>
    <row r="16" spans="2:17" ht="20.100000000000001" customHeight="1" x14ac:dyDescent="0.25">
      <c r="B16" s="14">
        <v>43010.987674560682</v>
      </c>
      <c r="C16" s="14">
        <v>43001</v>
      </c>
      <c r="D16" s="14">
        <v>43010.987674560682</v>
      </c>
      <c r="E16" t="s">
        <v>24</v>
      </c>
      <c r="F16" t="s">
        <v>33</v>
      </c>
      <c r="G16" t="s">
        <v>78</v>
      </c>
      <c r="H16" s="17">
        <v>3125</v>
      </c>
      <c r="I16">
        <f>IF(TbRegistroEntradas[[#This Row],[Data do Caixa Realizado]]="",0,MONTH(TbRegistroEntradas[[#This Row],[Data do Caixa Realizado]]))</f>
        <v>10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 s="48">
        <f>IF(TbRegistroEntradas[[#This Row],[Data do Caixa Previsto]]="",0,MONTH(TbRegistroEntradas[[#This Row],[Data do Caixa Previsto]]))</f>
        <v>10</v>
      </c>
      <c r="N16" s="48">
        <f>IF(TbRegistroEntradas[[#This Row],[Data do Caixa Previsto]]="",0,YEAR(TbRegistroEntradas[[#This Row],[Data do Caixa Previsto]]))</f>
        <v>2017</v>
      </c>
      <c r="O16" s="48" t="str">
        <f ca="1">IF(AND(TbRegistroEntradas[[#This Row],[Data do Caixa Previsto]]&lt;TODAY(),TbRegistroEntradas[[#This Row],[Data do Caixa Realizado]]=""),"Vencida","Não Vencida")</f>
        <v>Não Vencida</v>
      </c>
      <c r="P16" s="48" t="str">
        <f>IF(TbRegistroEntradas[[#This Row],[Data da Competência]]=TbRegistroEntradas[[#This Row],[Data do Caixa Previsto]],"Vista","Prazo")</f>
        <v>Prazo</v>
      </c>
      <c r="Q1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" spans="2:17" ht="20.100000000000001" customHeight="1" x14ac:dyDescent="0.25">
      <c r="B17" s="14">
        <v>43056.628172621648</v>
      </c>
      <c r="C17" s="14">
        <v>43004</v>
      </c>
      <c r="D17" s="14">
        <v>43056.628172621648</v>
      </c>
      <c r="E17" t="s">
        <v>24</v>
      </c>
      <c r="F17" t="s">
        <v>34</v>
      </c>
      <c r="G17" t="s">
        <v>79</v>
      </c>
      <c r="H17" s="17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 s="48">
        <f>IF(TbRegistroEntradas[[#This Row],[Data do Caixa Previsto]]="",0,MONTH(TbRegistroEntradas[[#This Row],[Data do Caixa Previsto]]))</f>
        <v>11</v>
      </c>
      <c r="N17" s="48">
        <f>IF(TbRegistroEntradas[[#This Row],[Data do Caixa Previsto]]="",0,YEAR(TbRegistroEntradas[[#This Row],[Data do Caixa Previsto]]))</f>
        <v>2017</v>
      </c>
      <c r="O17" s="48" t="str">
        <f ca="1">IF(AND(TbRegistroEntradas[[#This Row],[Data do Caixa Previsto]]&lt;TODAY(),TbRegistroEntradas[[#This Row],[Data do Caixa Realizado]]=""),"Vencida","Não Vencida")</f>
        <v>Não Vencida</v>
      </c>
      <c r="P17" s="48" t="str">
        <f>IF(TbRegistroEntradas[[#This Row],[Data da Competência]]=TbRegistroEntradas[[#This Row],[Data do Caixa Previsto]],"Vista","Prazo")</f>
        <v>Prazo</v>
      </c>
      <c r="Q1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" spans="2:17" x14ac:dyDescent="0.25">
      <c r="B18" s="14">
        <v>43033.143288673884</v>
      </c>
      <c r="C18" s="14">
        <v>43005</v>
      </c>
      <c r="D18" s="14">
        <v>43018.800773350056</v>
      </c>
      <c r="E18" t="s">
        <v>24</v>
      </c>
      <c r="F18" t="s">
        <v>32</v>
      </c>
      <c r="G18" t="s">
        <v>80</v>
      </c>
      <c r="H18" s="17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 s="48">
        <f>IF(TbRegistroEntradas[[#This Row],[Data do Caixa Previsto]]="",0,MONTH(TbRegistroEntradas[[#This Row],[Data do Caixa Previsto]]))</f>
        <v>10</v>
      </c>
      <c r="N18" s="48">
        <f>IF(TbRegistroEntradas[[#This Row],[Data do Caixa Previsto]]="",0,YEAR(TbRegistroEntradas[[#This Row],[Data do Caixa Previsto]]))</f>
        <v>2017</v>
      </c>
      <c r="O18" s="48" t="str">
        <f ca="1">IF(AND(TbRegistroEntradas[[#This Row],[Data do Caixa Previsto]]&lt;TODAY(),TbRegistroEntradas[[#This Row],[Data do Caixa Realizado]]=""),"Vencida","Não Vencida")</f>
        <v>Não Vencida</v>
      </c>
      <c r="P18" s="48" t="str">
        <f>IF(TbRegistroEntradas[[#This Row],[Data da Competência]]=TbRegistroEntradas[[#This Row],[Data do Caixa Previsto]],"Vista","Prazo")</f>
        <v>Prazo</v>
      </c>
      <c r="Q1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14.342515323827683</v>
      </c>
    </row>
    <row r="19" spans="2:17" x14ac:dyDescent="0.25">
      <c r="B19" s="14">
        <v>43019.580095755031</v>
      </c>
      <c r="C19" s="14">
        <v>43008</v>
      </c>
      <c r="D19" s="14">
        <v>43019.580095755031</v>
      </c>
      <c r="E19" t="s">
        <v>24</v>
      </c>
      <c r="F19" t="s">
        <v>33</v>
      </c>
      <c r="G19" t="s">
        <v>81</v>
      </c>
      <c r="H19" s="17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 s="48">
        <f>IF(TbRegistroEntradas[[#This Row],[Data do Caixa Previsto]]="",0,MONTH(TbRegistroEntradas[[#This Row],[Data do Caixa Previsto]]))</f>
        <v>10</v>
      </c>
      <c r="N19" s="48">
        <f>IF(TbRegistroEntradas[[#This Row],[Data do Caixa Previsto]]="",0,YEAR(TbRegistroEntradas[[#This Row],[Data do Caixa Previsto]]))</f>
        <v>2017</v>
      </c>
      <c r="O19" s="48" t="str">
        <f ca="1">IF(AND(TbRegistroEntradas[[#This Row],[Data do Caixa Previsto]]&lt;TODAY(),TbRegistroEntradas[[#This Row],[Data do Caixa Realizado]]=""),"Vencida","Não Vencida")</f>
        <v>Não Vencida</v>
      </c>
      <c r="P19" s="48" t="str">
        <f>IF(TbRegistroEntradas[[#This Row],[Data da Competência]]=TbRegistroEntradas[[#This Row],[Data do Caixa Previsto]],"Vista","Prazo")</f>
        <v>Prazo</v>
      </c>
      <c r="Q1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" spans="2:17" x14ac:dyDescent="0.25">
      <c r="B20" s="14">
        <v>43025.995076094237</v>
      </c>
      <c r="C20" s="14">
        <v>43012</v>
      </c>
      <c r="D20" s="14">
        <v>43025.995076094237</v>
      </c>
      <c r="E20" t="s">
        <v>24</v>
      </c>
      <c r="F20" t="s">
        <v>35</v>
      </c>
      <c r="G20" t="s">
        <v>82</v>
      </c>
      <c r="H20" s="17">
        <v>4590</v>
      </c>
      <c r="I20">
        <f>IF(TbRegistroEntradas[[#This Row],[Data do Caixa Realizado]]="",0,MONTH(TbRegistroEntradas[[#This Row],[Data do Caixa Realizado]]))</f>
        <v>10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 s="48">
        <f>IF(TbRegistroEntradas[[#This Row],[Data do Caixa Previsto]]="",0,MONTH(TbRegistroEntradas[[#This Row],[Data do Caixa Previsto]]))</f>
        <v>10</v>
      </c>
      <c r="N20" s="48">
        <f>IF(TbRegistroEntradas[[#This Row],[Data do Caixa Previsto]]="",0,YEAR(TbRegistroEntradas[[#This Row],[Data do Caixa Previsto]]))</f>
        <v>2017</v>
      </c>
      <c r="O20" s="48" t="str">
        <f ca="1">IF(AND(TbRegistroEntradas[[#This Row],[Data do Caixa Previsto]]&lt;TODAY(),TbRegistroEntradas[[#This Row],[Data do Caixa Realizado]]=""),"Vencida","Não Vencida")</f>
        <v>Não Vencida</v>
      </c>
      <c r="P20" s="48" t="str">
        <f>IF(TbRegistroEntradas[[#This Row],[Data da Competência]]=TbRegistroEntradas[[#This Row],[Data do Caixa Previsto]],"Vista","Prazo")</f>
        <v>Prazo</v>
      </c>
      <c r="Q2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" spans="2:17" x14ac:dyDescent="0.25">
      <c r="B21" s="14">
        <v>43052.454388600381</v>
      </c>
      <c r="C21" s="14">
        <v>43015</v>
      </c>
      <c r="D21" s="14">
        <v>43052.454388600381</v>
      </c>
      <c r="E21" t="s">
        <v>24</v>
      </c>
      <c r="F21" t="s">
        <v>31</v>
      </c>
      <c r="G21" t="s">
        <v>83</v>
      </c>
      <c r="H21" s="17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 s="48">
        <f>IF(TbRegistroEntradas[[#This Row],[Data do Caixa Previsto]]="",0,MONTH(TbRegistroEntradas[[#This Row],[Data do Caixa Previsto]]))</f>
        <v>11</v>
      </c>
      <c r="N21" s="48">
        <f>IF(TbRegistroEntradas[[#This Row],[Data do Caixa Previsto]]="",0,YEAR(TbRegistroEntradas[[#This Row],[Data do Caixa Previsto]]))</f>
        <v>2017</v>
      </c>
      <c r="O21" s="48" t="str">
        <f ca="1">IF(AND(TbRegistroEntradas[[#This Row],[Data do Caixa Previsto]]&lt;TODAY(),TbRegistroEntradas[[#This Row],[Data do Caixa Realizado]]=""),"Vencida","Não Vencida")</f>
        <v>Não Vencida</v>
      </c>
      <c r="P21" s="48" t="str">
        <f>IF(TbRegistroEntradas[[#This Row],[Data da Competência]]=TbRegistroEntradas[[#This Row],[Data do Caixa Previsto]],"Vista","Prazo")</f>
        <v>Prazo</v>
      </c>
      <c r="Q2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" spans="2:17" x14ac:dyDescent="0.25">
      <c r="B22" s="14" t="s">
        <v>74</v>
      </c>
      <c r="C22" s="14">
        <v>43017</v>
      </c>
      <c r="D22" s="14">
        <v>43043.298497771881</v>
      </c>
      <c r="E22" t="s">
        <v>24</v>
      </c>
      <c r="F22" t="s">
        <v>32</v>
      </c>
      <c r="G22" t="s">
        <v>84</v>
      </c>
      <c r="H22" s="17">
        <v>1171</v>
      </c>
      <c r="I22">
        <f>IF(TbRegistroEntradas[[#This Row],[Data do Caixa Realizado]]="",0,MONTH(TbRegistroEntradas[[#This Row],[Data do Caixa Realizado]]))</f>
        <v>0</v>
      </c>
      <c r="J22">
        <f>IF(TbRegistroEntradas[[#This Row],[Data do Caixa Realizado]]="",0,YEAR(TbRegistroEntradas[[#This Row],[Data do Caixa Realizado]]))</f>
        <v>0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 s="48">
        <f>IF(TbRegistroEntradas[[#This Row],[Data do Caixa Previsto]]="",0,MONTH(TbRegistroEntradas[[#This Row],[Data do Caixa Previsto]]))</f>
        <v>11</v>
      </c>
      <c r="N22" s="48">
        <f>IF(TbRegistroEntradas[[#This Row],[Data do Caixa Previsto]]="",0,YEAR(TbRegistroEntradas[[#This Row],[Data do Caixa Previsto]]))</f>
        <v>2017</v>
      </c>
      <c r="O22" s="48" t="str">
        <f ca="1">IF(AND(TbRegistroEntradas[[#This Row],[Data do Caixa Previsto]]&lt;TODAY(),TbRegistroEntradas[[#This Row],[Data do Caixa Realizado]]=""),"Vencida","Não Vencida")</f>
        <v>Vencida</v>
      </c>
      <c r="P22" s="48" t="str">
        <f>IF(TbRegistroEntradas[[#This Row],[Data da Competência]]=TbRegistroEntradas[[#This Row],[Data do Caixa Previsto]],"Vista","Prazo")</f>
        <v>Prazo</v>
      </c>
      <c r="Q2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2772.7015022281194</v>
      </c>
    </row>
    <row r="23" spans="2:17" x14ac:dyDescent="0.25">
      <c r="B23" s="14">
        <v>43134.960630268302</v>
      </c>
      <c r="C23" s="14">
        <v>43019</v>
      </c>
      <c r="D23" s="14">
        <v>43060.909367737389</v>
      </c>
      <c r="E23" t="s">
        <v>24</v>
      </c>
      <c r="F23" t="s">
        <v>34</v>
      </c>
      <c r="G23" t="s">
        <v>85</v>
      </c>
      <c r="H23" s="17">
        <v>2587</v>
      </c>
      <c r="I23">
        <f>IF(TbRegistroEntradas[[#This Row],[Data do Caixa Realizado]]="",0,MONTH(TbRegistroEntradas[[#This Row],[Data do Caixa Realizado]]))</f>
        <v>2</v>
      </c>
      <c r="J23">
        <f>IF(TbRegistroEntradas[[#This Row],[Data do Caixa Realizado]]="",0,YEAR(TbRegistroEntradas[[#This Row],[Data do Caixa Realizado]]))</f>
        <v>2018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 s="48">
        <f>IF(TbRegistroEntradas[[#This Row],[Data do Caixa Previsto]]="",0,MONTH(TbRegistroEntradas[[#This Row],[Data do Caixa Previsto]]))</f>
        <v>11</v>
      </c>
      <c r="N23" s="48">
        <f>IF(TbRegistroEntradas[[#This Row],[Data do Caixa Previsto]]="",0,YEAR(TbRegistroEntradas[[#This Row],[Data do Caixa Previsto]]))</f>
        <v>2017</v>
      </c>
      <c r="O23" s="48" t="str">
        <f ca="1">IF(AND(TbRegistroEntradas[[#This Row],[Data do Caixa Previsto]]&lt;TODAY(),TbRegistroEntradas[[#This Row],[Data do Caixa Realizado]]=""),"Vencida","Não Vencida")</f>
        <v>Não Vencida</v>
      </c>
      <c r="P23" s="48" t="str">
        <f>IF(TbRegistroEntradas[[#This Row],[Data da Competência]]=TbRegistroEntradas[[#This Row],[Data do Caixa Previsto]],"Vista","Prazo")</f>
        <v>Prazo</v>
      </c>
      <c r="Q2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74.051262530912936</v>
      </c>
    </row>
    <row r="24" spans="2:17" x14ac:dyDescent="0.25">
      <c r="B24" s="14">
        <v>43045.105355406915</v>
      </c>
      <c r="C24" s="14">
        <v>43023</v>
      </c>
      <c r="D24" s="14">
        <v>43045.105355406915</v>
      </c>
      <c r="E24" t="s">
        <v>24</v>
      </c>
      <c r="F24" t="s">
        <v>34</v>
      </c>
      <c r="G24" t="s">
        <v>86</v>
      </c>
      <c r="H24" s="17">
        <v>3425</v>
      </c>
      <c r="I24">
        <f>IF(TbRegistroEntradas[[#This Row],[Data do Caixa Realizado]]="",0,MONTH(TbRegistroEntradas[[#This Row],[Data do Caixa Realizado]]))</f>
        <v>11</v>
      </c>
      <c r="J24">
        <f>IF(TbRegistroEntradas[[#This Row],[Data do Caixa Realizado]]="",0,YEAR(TbRegistroEntradas[[#This Row],[Data do Caixa Realizado]]))</f>
        <v>2017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 s="48">
        <f>IF(TbRegistroEntradas[[#This Row],[Data do Caixa Previsto]]="",0,MONTH(TbRegistroEntradas[[#This Row],[Data do Caixa Previsto]]))</f>
        <v>11</v>
      </c>
      <c r="N24" s="48">
        <f>IF(TbRegistroEntradas[[#This Row],[Data do Caixa Previsto]]="",0,YEAR(TbRegistroEntradas[[#This Row],[Data do Caixa Previsto]]))</f>
        <v>2017</v>
      </c>
      <c r="O24" s="48" t="str">
        <f ca="1">IF(AND(TbRegistroEntradas[[#This Row],[Data do Caixa Previsto]]&lt;TODAY(),TbRegistroEntradas[[#This Row],[Data do Caixa Realizado]]=""),"Vencida","Não Vencida")</f>
        <v>Não Vencida</v>
      </c>
      <c r="P24" s="48" t="str">
        <f>IF(TbRegistroEntradas[[#This Row],[Data da Competência]]=TbRegistroEntradas[[#This Row],[Data do Caixa Previsto]],"Vista","Prazo")</f>
        <v>Prazo</v>
      </c>
      <c r="Q2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5" spans="2:17" x14ac:dyDescent="0.25">
      <c r="B25" s="14">
        <v>43057.775638731524</v>
      </c>
      <c r="C25" s="14">
        <v>43026</v>
      </c>
      <c r="D25" s="14">
        <v>43057.775638731524</v>
      </c>
      <c r="E25" t="s">
        <v>24</v>
      </c>
      <c r="F25" t="s">
        <v>35</v>
      </c>
      <c r="G25" t="s">
        <v>87</v>
      </c>
      <c r="H25" s="17">
        <v>4454</v>
      </c>
      <c r="I25">
        <f>IF(TbRegistroEntradas[[#This Row],[Data do Caixa Realizado]]="",0,MONTH(TbRegistroEntradas[[#This Row],[Data do Caixa Realizado]]))</f>
        <v>11</v>
      </c>
      <c r="J25">
        <f>IF(TbRegistroEntradas[[#This Row],[Data do Caixa Realizado]]="",0,YEAR(TbRegistroEntradas[[#This Row],[Data do Caixa Realizado]]))</f>
        <v>2017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 s="48">
        <f>IF(TbRegistroEntradas[[#This Row],[Data do Caixa Previsto]]="",0,MONTH(TbRegistroEntradas[[#This Row],[Data do Caixa Previsto]]))</f>
        <v>11</v>
      </c>
      <c r="N25" s="48">
        <f>IF(TbRegistroEntradas[[#This Row],[Data do Caixa Previsto]]="",0,YEAR(TbRegistroEntradas[[#This Row],[Data do Caixa Previsto]]))</f>
        <v>2017</v>
      </c>
      <c r="O25" s="48" t="str">
        <f ca="1">IF(AND(TbRegistroEntradas[[#This Row],[Data do Caixa Previsto]]&lt;TODAY(),TbRegistroEntradas[[#This Row],[Data do Caixa Realizado]]=""),"Vencida","Não Vencida")</f>
        <v>Não Vencida</v>
      </c>
      <c r="P25" s="48" t="str">
        <f>IF(TbRegistroEntradas[[#This Row],[Data da Competência]]=TbRegistroEntradas[[#This Row],[Data do Caixa Previsto]],"Vista","Prazo")</f>
        <v>Prazo</v>
      </c>
      <c r="Q2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6" spans="2:17" x14ac:dyDescent="0.25">
      <c r="B26" s="14">
        <v>43037.453877289088</v>
      </c>
      <c r="C26" s="14">
        <v>43030</v>
      </c>
      <c r="D26" s="14">
        <v>43037.453877289088</v>
      </c>
      <c r="E26" t="s">
        <v>24</v>
      </c>
      <c r="F26" t="s">
        <v>32</v>
      </c>
      <c r="G26" t="s">
        <v>88</v>
      </c>
      <c r="H26" s="17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 s="48">
        <f>IF(TbRegistroEntradas[[#This Row],[Data do Caixa Previsto]]="",0,MONTH(TbRegistroEntradas[[#This Row],[Data do Caixa Previsto]]))</f>
        <v>10</v>
      </c>
      <c r="N26" s="48">
        <f>IF(TbRegistroEntradas[[#This Row],[Data do Caixa Previsto]]="",0,YEAR(TbRegistroEntradas[[#This Row],[Data do Caixa Previsto]]))</f>
        <v>2017</v>
      </c>
      <c r="O26" s="48" t="str">
        <f ca="1">IF(AND(TbRegistroEntradas[[#This Row],[Data do Caixa Previsto]]&lt;TODAY(),TbRegistroEntradas[[#This Row],[Data do Caixa Realizado]]=""),"Vencida","Não Vencida")</f>
        <v>Não Vencida</v>
      </c>
      <c r="P26" s="48" t="str">
        <f>IF(TbRegistroEntradas[[#This Row],[Data da Competência]]=TbRegistroEntradas[[#This Row],[Data do Caixa Previsto]],"Vista","Prazo")</f>
        <v>Prazo</v>
      </c>
      <c r="Q2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7" spans="2:17" x14ac:dyDescent="0.25">
      <c r="B27" s="14">
        <v>43086.43235653804</v>
      </c>
      <c r="C27" s="14">
        <v>43032</v>
      </c>
      <c r="D27" s="14">
        <v>43058.598248659349</v>
      </c>
      <c r="E27" t="s">
        <v>24</v>
      </c>
      <c r="F27" t="s">
        <v>31</v>
      </c>
      <c r="G27" t="s">
        <v>89</v>
      </c>
      <c r="H27" s="17">
        <v>257</v>
      </c>
      <c r="I27">
        <f>IF(TbRegistroEntradas[[#This Row],[Data do Caixa Realizado]]="",0,MONTH(TbRegistroEntradas[[#This Row],[Data do Caixa Realizado]]))</f>
        <v>12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 s="48">
        <f>IF(TbRegistroEntradas[[#This Row],[Data do Caixa Previsto]]="",0,MONTH(TbRegistroEntradas[[#This Row],[Data do Caixa Previsto]]))</f>
        <v>11</v>
      </c>
      <c r="N27" s="48">
        <f>IF(TbRegistroEntradas[[#This Row],[Data do Caixa Previsto]]="",0,YEAR(TbRegistroEntradas[[#This Row],[Data do Caixa Previsto]]))</f>
        <v>2017</v>
      </c>
      <c r="O27" s="48" t="str">
        <f ca="1">IF(AND(TbRegistroEntradas[[#This Row],[Data do Caixa Previsto]]&lt;TODAY(),TbRegistroEntradas[[#This Row],[Data do Caixa Realizado]]=""),"Vencida","Não Vencida")</f>
        <v>Não Vencida</v>
      </c>
      <c r="P27" s="48" t="str">
        <f>IF(TbRegistroEntradas[[#This Row],[Data da Competência]]=TbRegistroEntradas[[#This Row],[Data do Caixa Previsto]],"Vista","Prazo")</f>
        <v>Prazo</v>
      </c>
      <c r="Q2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27.834107878690702</v>
      </c>
    </row>
    <row r="28" spans="2:17" x14ac:dyDescent="0.25">
      <c r="B28" s="14">
        <v>43068.089414353737</v>
      </c>
      <c r="C28" s="14">
        <v>43032</v>
      </c>
      <c r="D28" s="14">
        <v>43068.089414353737</v>
      </c>
      <c r="E28" t="s">
        <v>24</v>
      </c>
      <c r="F28" t="s">
        <v>33</v>
      </c>
      <c r="G28" t="s">
        <v>90</v>
      </c>
      <c r="H28" s="17">
        <v>2019</v>
      </c>
      <c r="I28">
        <f>IF(TbRegistroEntradas[[#This Row],[Data do Caixa Realizado]]="",0,MONTH(TbRegistroEntradas[[#This Row],[Data do Caixa Realizado]]))</f>
        <v>11</v>
      </c>
      <c r="J28">
        <f>IF(TbRegistroEntradas[[#This Row],[Data do Caixa Realizado]]="",0,YEAR(TbRegistroEntradas[[#This Row],[Data do Caixa Realizado]]))</f>
        <v>2017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 s="48">
        <f>IF(TbRegistroEntradas[[#This Row],[Data do Caixa Previsto]]="",0,MONTH(TbRegistroEntradas[[#This Row],[Data do Caixa Previsto]]))</f>
        <v>11</v>
      </c>
      <c r="N28" s="48">
        <f>IF(TbRegistroEntradas[[#This Row],[Data do Caixa Previsto]]="",0,YEAR(TbRegistroEntradas[[#This Row],[Data do Caixa Previsto]]))</f>
        <v>2017</v>
      </c>
      <c r="O28" s="48" t="str">
        <f ca="1">IF(AND(TbRegistroEntradas[[#This Row],[Data do Caixa Previsto]]&lt;TODAY(),TbRegistroEntradas[[#This Row],[Data do Caixa Realizado]]=""),"Vencida","Não Vencida")</f>
        <v>Não Vencida</v>
      </c>
      <c r="P28" s="48" t="str">
        <f>IF(TbRegistroEntradas[[#This Row],[Data da Competência]]=TbRegistroEntradas[[#This Row],[Data do Caixa Previsto]],"Vista","Prazo")</f>
        <v>Prazo</v>
      </c>
      <c r="Q2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9" spans="2:17" x14ac:dyDescent="0.25">
      <c r="B29" s="14">
        <v>43091.729186681107</v>
      </c>
      <c r="C29" s="14">
        <v>43034</v>
      </c>
      <c r="D29" s="14">
        <v>43091.729186681107</v>
      </c>
      <c r="E29" t="s">
        <v>24</v>
      </c>
      <c r="F29" t="s">
        <v>34</v>
      </c>
      <c r="G29" t="s">
        <v>91</v>
      </c>
      <c r="H29" s="17">
        <v>3696</v>
      </c>
      <c r="I29">
        <f>IF(TbRegistroEntradas[[#This Row],[Data do Caixa Realizado]]="",0,MONTH(TbRegistroEntradas[[#This Row],[Data do Caixa Realizado]]))</f>
        <v>12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 s="48">
        <f>IF(TbRegistroEntradas[[#This Row],[Data do Caixa Previsto]]="",0,MONTH(TbRegistroEntradas[[#This Row],[Data do Caixa Previsto]]))</f>
        <v>12</v>
      </c>
      <c r="N29" s="48">
        <f>IF(TbRegistroEntradas[[#This Row],[Data do Caixa Previsto]]="",0,YEAR(TbRegistroEntradas[[#This Row],[Data do Caixa Previsto]]))</f>
        <v>2017</v>
      </c>
      <c r="O29" s="48" t="str">
        <f ca="1">IF(AND(TbRegistroEntradas[[#This Row],[Data do Caixa Previsto]]&lt;TODAY(),TbRegistroEntradas[[#This Row],[Data do Caixa Realizado]]=""),"Vencida","Não Vencida")</f>
        <v>Não Vencida</v>
      </c>
      <c r="P29" s="48" t="str">
        <f>IF(TbRegistroEntradas[[#This Row],[Data da Competência]]=TbRegistroEntradas[[#This Row],[Data do Caixa Previsto]],"Vista","Prazo")</f>
        <v>Prazo</v>
      </c>
      <c r="Q2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0" spans="2:17" x14ac:dyDescent="0.25">
      <c r="B30" s="14">
        <v>43052.461098465239</v>
      </c>
      <c r="C30" s="14">
        <v>43038</v>
      </c>
      <c r="D30" s="14">
        <v>43052.461098465239</v>
      </c>
      <c r="E30" t="s">
        <v>24</v>
      </c>
      <c r="F30" t="s">
        <v>33</v>
      </c>
      <c r="G30" t="s">
        <v>92</v>
      </c>
      <c r="H30" s="17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 s="48">
        <f>IF(TbRegistroEntradas[[#This Row],[Data do Caixa Previsto]]="",0,MONTH(TbRegistroEntradas[[#This Row],[Data do Caixa Previsto]]))</f>
        <v>11</v>
      </c>
      <c r="N30" s="48">
        <f>IF(TbRegistroEntradas[[#This Row],[Data do Caixa Previsto]]="",0,YEAR(TbRegistroEntradas[[#This Row],[Data do Caixa Previsto]]))</f>
        <v>2017</v>
      </c>
      <c r="O30" s="48" t="str">
        <f ca="1">IF(AND(TbRegistroEntradas[[#This Row],[Data do Caixa Previsto]]&lt;TODAY(),TbRegistroEntradas[[#This Row],[Data do Caixa Realizado]]=""),"Vencida","Não Vencida")</f>
        <v>Não Vencida</v>
      </c>
      <c r="P30" s="48" t="str">
        <f>IF(TbRegistroEntradas[[#This Row],[Data da Competência]]=TbRegistroEntradas[[#This Row],[Data do Caixa Previsto]],"Vista","Prazo")</f>
        <v>Prazo</v>
      </c>
      <c r="Q3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1" spans="2:17" x14ac:dyDescent="0.25">
      <c r="B31" s="14">
        <v>43057.597589016004</v>
      </c>
      <c r="C31" s="14">
        <v>43040</v>
      </c>
      <c r="D31" s="14">
        <v>43057.597589016004</v>
      </c>
      <c r="E31" t="s">
        <v>24</v>
      </c>
      <c r="F31" t="s">
        <v>33</v>
      </c>
      <c r="G31" t="s">
        <v>93</v>
      </c>
      <c r="H31" s="17">
        <v>1445</v>
      </c>
      <c r="I31">
        <f>IF(TbRegistroEntradas[[#This Row],[Data do Caixa Realizado]]="",0,MONTH(TbRegistroEntradas[[#This Row],[Data do Caixa Realizado]]))</f>
        <v>11</v>
      </c>
      <c r="J31">
        <f>IF(TbRegistroEntradas[[#This Row],[Data do Caixa Realizado]]="",0,YEAR(TbRegistroEntradas[[#This Row],[Data do Caixa Realizado]]))</f>
        <v>2017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 s="48">
        <f>IF(TbRegistroEntradas[[#This Row],[Data do Caixa Previsto]]="",0,MONTH(TbRegistroEntradas[[#This Row],[Data do Caixa Previsto]]))</f>
        <v>11</v>
      </c>
      <c r="N31" s="48">
        <f>IF(TbRegistroEntradas[[#This Row],[Data do Caixa Previsto]]="",0,YEAR(TbRegistroEntradas[[#This Row],[Data do Caixa Previsto]]))</f>
        <v>2017</v>
      </c>
      <c r="O31" s="48" t="str">
        <f ca="1">IF(AND(TbRegistroEntradas[[#This Row],[Data do Caixa Previsto]]&lt;TODAY(),TbRegistroEntradas[[#This Row],[Data do Caixa Realizado]]=""),"Vencida","Não Vencida")</f>
        <v>Não Vencida</v>
      </c>
      <c r="P31" s="48" t="str">
        <f>IF(TbRegistroEntradas[[#This Row],[Data da Competência]]=TbRegistroEntradas[[#This Row],[Data do Caixa Previsto]],"Vista","Prazo")</f>
        <v>Prazo</v>
      </c>
      <c r="Q3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2" spans="2:17" x14ac:dyDescent="0.25">
      <c r="B32" s="14">
        <v>43082.490898737618</v>
      </c>
      <c r="C32" s="14">
        <v>43043</v>
      </c>
      <c r="D32" s="14">
        <v>43068.583109095191</v>
      </c>
      <c r="E32" t="s">
        <v>24</v>
      </c>
      <c r="F32" t="s">
        <v>32</v>
      </c>
      <c r="G32" t="s">
        <v>94</v>
      </c>
      <c r="H32" s="17">
        <v>3559</v>
      </c>
      <c r="I32">
        <f>IF(TbRegistroEntradas[[#This Row],[Data do Caixa Realizado]]="",0,MONTH(TbRegistroEntradas[[#This Row],[Data do Caixa Realizado]]))</f>
        <v>12</v>
      </c>
      <c r="J32">
        <f>IF(TbRegistroEntradas[[#This Row],[Data do Caixa Realizado]]="",0,YEAR(TbRegistroEntradas[[#This Row],[Data do Caixa Realizado]]))</f>
        <v>2017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 s="48">
        <f>IF(TbRegistroEntradas[[#This Row],[Data do Caixa Previsto]]="",0,MONTH(TbRegistroEntradas[[#This Row],[Data do Caixa Previsto]]))</f>
        <v>11</v>
      </c>
      <c r="N32" s="48">
        <f>IF(TbRegistroEntradas[[#This Row],[Data do Caixa Previsto]]="",0,YEAR(TbRegistroEntradas[[#This Row],[Data do Caixa Previsto]]))</f>
        <v>2017</v>
      </c>
      <c r="O32" s="48" t="str">
        <f ca="1">IF(AND(TbRegistroEntradas[[#This Row],[Data do Caixa Previsto]]&lt;TODAY(),TbRegistroEntradas[[#This Row],[Data do Caixa Realizado]]=""),"Vencida","Não Vencida")</f>
        <v>Não Vencida</v>
      </c>
      <c r="P32" s="48" t="str">
        <f>IF(TbRegistroEntradas[[#This Row],[Data da Competência]]=TbRegistroEntradas[[#This Row],[Data do Caixa Previsto]],"Vista","Prazo")</f>
        <v>Prazo</v>
      </c>
      <c r="Q3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13.907789642427815</v>
      </c>
    </row>
    <row r="33" spans="2:17" x14ac:dyDescent="0.25">
      <c r="B33" s="14">
        <v>43073.038025931273</v>
      </c>
      <c r="C33" s="14">
        <v>43047</v>
      </c>
      <c r="D33" s="14">
        <v>43053.702992393824</v>
      </c>
      <c r="E33" t="s">
        <v>24</v>
      </c>
      <c r="F33" t="s">
        <v>34</v>
      </c>
      <c r="G33" t="s">
        <v>95</v>
      </c>
      <c r="H33" s="17">
        <v>547</v>
      </c>
      <c r="I33">
        <f>IF(TbRegistroEntradas[[#This Row],[Data do Caixa Realizado]]="",0,MONTH(TbRegistroEntradas[[#This Row],[Data do Caixa Realizado]]))</f>
        <v>12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 s="48">
        <f>IF(TbRegistroEntradas[[#This Row],[Data do Caixa Previsto]]="",0,MONTH(TbRegistroEntradas[[#This Row],[Data do Caixa Previsto]]))</f>
        <v>11</v>
      </c>
      <c r="N33" s="48">
        <f>IF(TbRegistroEntradas[[#This Row],[Data do Caixa Previsto]]="",0,YEAR(TbRegistroEntradas[[#This Row],[Data do Caixa Previsto]]))</f>
        <v>2017</v>
      </c>
      <c r="O33" s="48" t="str">
        <f ca="1">IF(AND(TbRegistroEntradas[[#This Row],[Data do Caixa Previsto]]&lt;TODAY(),TbRegistroEntradas[[#This Row],[Data do Caixa Realizado]]=""),"Vencida","Não Vencida")</f>
        <v>Não Vencida</v>
      </c>
      <c r="P33" s="48" t="str">
        <f>IF(TbRegistroEntradas[[#This Row],[Data da Competência]]=TbRegistroEntradas[[#This Row],[Data do Caixa Previsto]],"Vista","Prazo")</f>
        <v>Prazo</v>
      </c>
      <c r="Q3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19.335033537448908</v>
      </c>
    </row>
    <row r="34" spans="2:17" x14ac:dyDescent="0.25">
      <c r="B34" s="14">
        <v>43090.51661478445</v>
      </c>
      <c r="C34" s="14">
        <v>43051</v>
      </c>
      <c r="D34" s="14">
        <v>43090.51661478445</v>
      </c>
      <c r="E34" t="s">
        <v>24</v>
      </c>
      <c r="F34" t="s">
        <v>34</v>
      </c>
      <c r="G34" t="s">
        <v>96</v>
      </c>
      <c r="H34" s="17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 s="48">
        <f>IF(TbRegistroEntradas[[#This Row],[Data do Caixa Previsto]]="",0,MONTH(TbRegistroEntradas[[#This Row],[Data do Caixa Previsto]]))</f>
        <v>12</v>
      </c>
      <c r="N34" s="48">
        <f>IF(TbRegistroEntradas[[#This Row],[Data do Caixa Previsto]]="",0,YEAR(TbRegistroEntradas[[#This Row],[Data do Caixa Previsto]]))</f>
        <v>2017</v>
      </c>
      <c r="O34" s="48" t="str">
        <f ca="1">IF(AND(TbRegistroEntradas[[#This Row],[Data do Caixa Previsto]]&lt;TODAY(),TbRegistroEntradas[[#This Row],[Data do Caixa Realizado]]=""),"Vencida","Não Vencida")</f>
        <v>Não Vencida</v>
      </c>
      <c r="P34" s="48" t="str">
        <f>IF(TbRegistroEntradas[[#This Row],[Data da Competência]]=TbRegistroEntradas[[#This Row],[Data do Caixa Previsto]],"Vista","Prazo")</f>
        <v>Prazo</v>
      </c>
      <c r="Q3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5" spans="2:17" x14ac:dyDescent="0.25">
      <c r="B35" s="14">
        <v>43130.815754318886</v>
      </c>
      <c r="C35" s="14">
        <v>43053</v>
      </c>
      <c r="D35" s="14">
        <v>43101.638058855067</v>
      </c>
      <c r="E35" t="s">
        <v>24</v>
      </c>
      <c r="F35" t="s">
        <v>33</v>
      </c>
      <c r="G35" t="s">
        <v>97</v>
      </c>
      <c r="H35" s="17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 s="48">
        <f>IF(TbRegistroEntradas[[#This Row],[Data do Caixa Previsto]]="",0,MONTH(TbRegistroEntradas[[#This Row],[Data do Caixa Previsto]]))</f>
        <v>1</v>
      </c>
      <c r="N35" s="48">
        <f>IF(TbRegistroEntradas[[#This Row],[Data do Caixa Previsto]]="",0,YEAR(TbRegistroEntradas[[#This Row],[Data do Caixa Previsto]]))</f>
        <v>2018</v>
      </c>
      <c r="O35" s="48" t="str">
        <f ca="1">IF(AND(TbRegistroEntradas[[#This Row],[Data do Caixa Previsto]]&lt;TODAY(),TbRegistroEntradas[[#This Row],[Data do Caixa Realizado]]=""),"Vencida","Não Vencida")</f>
        <v>Não Vencida</v>
      </c>
      <c r="P35" s="48" t="str">
        <f>IF(TbRegistroEntradas[[#This Row],[Data da Competência]]=TbRegistroEntradas[[#This Row],[Data do Caixa Previsto]],"Vista","Prazo")</f>
        <v>Prazo</v>
      </c>
      <c r="Q3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29.177695463818964</v>
      </c>
    </row>
    <row r="36" spans="2:17" x14ac:dyDescent="0.25">
      <c r="B36" s="14">
        <v>43081.249044856137</v>
      </c>
      <c r="C36" s="14">
        <v>43055</v>
      </c>
      <c r="D36" s="14">
        <v>43081.249044856137</v>
      </c>
      <c r="E36" t="s">
        <v>24</v>
      </c>
      <c r="F36" t="s">
        <v>34</v>
      </c>
      <c r="G36" t="s">
        <v>98</v>
      </c>
      <c r="H36" s="17">
        <v>3714</v>
      </c>
      <c r="I36">
        <f>IF(TbRegistroEntradas[[#This Row],[Data do Caixa Realizado]]="",0,MONTH(TbRegistroEntradas[[#This Row],[Data do Caixa Realizado]]))</f>
        <v>12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 s="48">
        <f>IF(TbRegistroEntradas[[#This Row],[Data do Caixa Previsto]]="",0,MONTH(TbRegistroEntradas[[#This Row],[Data do Caixa Previsto]]))</f>
        <v>12</v>
      </c>
      <c r="N36" s="48">
        <f>IF(TbRegistroEntradas[[#This Row],[Data do Caixa Previsto]]="",0,YEAR(TbRegistroEntradas[[#This Row],[Data do Caixa Previsto]]))</f>
        <v>2017</v>
      </c>
      <c r="O36" s="48" t="str">
        <f ca="1">IF(AND(TbRegistroEntradas[[#This Row],[Data do Caixa Previsto]]&lt;TODAY(),TbRegistroEntradas[[#This Row],[Data do Caixa Realizado]]=""),"Vencida","Não Vencida")</f>
        <v>Não Vencida</v>
      </c>
      <c r="P36" s="48" t="str">
        <f>IF(TbRegistroEntradas[[#This Row],[Data da Competência]]=TbRegistroEntradas[[#This Row],[Data do Caixa Previsto]],"Vista","Prazo")</f>
        <v>Prazo</v>
      </c>
      <c r="Q3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7" spans="2:17" x14ac:dyDescent="0.25">
      <c r="B37" s="14">
        <v>43101.376481739084</v>
      </c>
      <c r="C37" s="14">
        <v>43057</v>
      </c>
      <c r="D37" s="14">
        <v>43101.376481739084</v>
      </c>
      <c r="E37" t="s">
        <v>24</v>
      </c>
      <c r="F37" t="s">
        <v>31</v>
      </c>
      <c r="G37" t="s">
        <v>99</v>
      </c>
      <c r="H37" s="17">
        <v>4843</v>
      </c>
      <c r="I37">
        <f>IF(TbRegistroEntradas[[#This Row],[Data do Caixa Realizado]]="",0,MONTH(TbRegistroEntradas[[#This Row],[Data do Caixa Realizado]]))</f>
        <v>1</v>
      </c>
      <c r="J37">
        <f>IF(TbRegistroEntradas[[#This Row],[Data do Caixa Realizado]]="",0,YEAR(TbRegistroEntradas[[#This Row],[Data do Caixa Realizado]]))</f>
        <v>2018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 s="48">
        <f>IF(TbRegistroEntradas[[#This Row],[Data do Caixa Previsto]]="",0,MONTH(TbRegistroEntradas[[#This Row],[Data do Caixa Previsto]]))</f>
        <v>1</v>
      </c>
      <c r="N37" s="48">
        <f>IF(TbRegistroEntradas[[#This Row],[Data do Caixa Previsto]]="",0,YEAR(TbRegistroEntradas[[#This Row],[Data do Caixa Previsto]]))</f>
        <v>2018</v>
      </c>
      <c r="O37" s="48" t="str">
        <f ca="1">IF(AND(TbRegistroEntradas[[#This Row],[Data do Caixa Previsto]]&lt;TODAY(),TbRegistroEntradas[[#This Row],[Data do Caixa Realizado]]=""),"Vencida","Não Vencida")</f>
        <v>Não Vencida</v>
      </c>
      <c r="P37" s="48" t="str">
        <f>IF(TbRegistroEntradas[[#This Row],[Data da Competência]]=TbRegistroEntradas[[#This Row],[Data do Caixa Previsto]],"Vista","Prazo")</f>
        <v>Prazo</v>
      </c>
      <c r="Q3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38" spans="2:17" x14ac:dyDescent="0.25">
      <c r="B38" s="14">
        <v>43151.25396646517</v>
      </c>
      <c r="C38" s="14">
        <v>43058</v>
      </c>
      <c r="D38" s="14">
        <v>43090.626109903205</v>
      </c>
      <c r="E38" t="s">
        <v>24</v>
      </c>
      <c r="F38" t="s">
        <v>35</v>
      </c>
      <c r="G38" t="s">
        <v>100</v>
      </c>
      <c r="H38" s="17">
        <v>4831</v>
      </c>
      <c r="I38">
        <f>IF(TbRegistroEntradas[[#This Row],[Data do Caixa Realizado]]="",0,MONTH(TbRegistroEntradas[[#This Row],[Data do Caixa Realizado]]))</f>
        <v>2</v>
      </c>
      <c r="J38">
        <f>IF(TbRegistroEntradas[[#This Row],[Data do Caixa Realizado]]="",0,YEAR(TbRegistroEntradas[[#This Row],[Data do Caixa Realizado]]))</f>
        <v>2018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 s="48">
        <f>IF(TbRegistroEntradas[[#This Row],[Data do Caixa Previsto]]="",0,MONTH(TbRegistroEntradas[[#This Row],[Data do Caixa Previsto]]))</f>
        <v>12</v>
      </c>
      <c r="N38" s="48">
        <f>IF(TbRegistroEntradas[[#This Row],[Data do Caixa Previsto]]="",0,YEAR(TbRegistroEntradas[[#This Row],[Data do Caixa Previsto]]))</f>
        <v>2017</v>
      </c>
      <c r="O38" s="48" t="str">
        <f ca="1">IF(AND(TbRegistroEntradas[[#This Row],[Data do Caixa Previsto]]&lt;TODAY(),TbRegistroEntradas[[#This Row],[Data do Caixa Realizado]]=""),"Vencida","Não Vencida")</f>
        <v>Não Vencida</v>
      </c>
      <c r="P38" s="48" t="str">
        <f>IF(TbRegistroEntradas[[#This Row],[Data da Competência]]=TbRegistroEntradas[[#This Row],[Data do Caixa Previsto]],"Vista","Prazo")</f>
        <v>Prazo</v>
      </c>
      <c r="Q3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60.627856561965018</v>
      </c>
    </row>
    <row r="39" spans="2:17" x14ac:dyDescent="0.25">
      <c r="B39" s="14">
        <v>43188.080050119235</v>
      </c>
      <c r="C39" s="14">
        <v>43059</v>
      </c>
      <c r="D39" s="14">
        <v>43105.942043921394</v>
      </c>
      <c r="E39" t="s">
        <v>24</v>
      </c>
      <c r="F39" t="s">
        <v>34</v>
      </c>
      <c r="G39" t="s">
        <v>101</v>
      </c>
      <c r="H39" s="17">
        <v>2072</v>
      </c>
      <c r="I39">
        <f>IF(TbRegistroEntradas[[#This Row],[Data do Caixa Realizado]]="",0,MONTH(TbRegistroEntradas[[#This Row],[Data do Caixa Realizado]]))</f>
        <v>3</v>
      </c>
      <c r="J39">
        <f>IF(TbRegistroEntradas[[#This Row],[Data do Caixa Realizado]]="",0,YEAR(TbRegistroEntradas[[#This Row],[Data do Caixa Realizado]]))</f>
        <v>2018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 s="48">
        <f>IF(TbRegistroEntradas[[#This Row],[Data do Caixa Previsto]]="",0,MONTH(TbRegistroEntradas[[#This Row],[Data do Caixa Previsto]]))</f>
        <v>1</v>
      </c>
      <c r="N39" s="48">
        <f>IF(TbRegistroEntradas[[#This Row],[Data do Caixa Previsto]]="",0,YEAR(TbRegistroEntradas[[#This Row],[Data do Caixa Previsto]]))</f>
        <v>2018</v>
      </c>
      <c r="O39" s="48" t="str">
        <f ca="1">IF(AND(TbRegistroEntradas[[#This Row],[Data do Caixa Previsto]]&lt;TODAY(),TbRegistroEntradas[[#This Row],[Data do Caixa Realizado]]=""),"Vencida","Não Vencida")</f>
        <v>Não Vencida</v>
      </c>
      <c r="P39" s="48" t="str">
        <f>IF(TbRegistroEntradas[[#This Row],[Data da Competência]]=TbRegistroEntradas[[#This Row],[Data do Caixa Previsto]],"Vista","Prazo")</f>
        <v>Prazo</v>
      </c>
      <c r="Q3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82.138006197841605</v>
      </c>
    </row>
    <row r="40" spans="2:17" x14ac:dyDescent="0.25">
      <c r="B40" s="14">
        <v>43122.64068927092</v>
      </c>
      <c r="C40" s="14">
        <v>43063</v>
      </c>
      <c r="D40" s="14">
        <v>43122.64068927092</v>
      </c>
      <c r="E40" t="s">
        <v>24</v>
      </c>
      <c r="F40" t="s">
        <v>32</v>
      </c>
      <c r="G40" t="s">
        <v>102</v>
      </c>
      <c r="H40" s="17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 s="48">
        <f>IF(TbRegistroEntradas[[#This Row],[Data do Caixa Previsto]]="",0,MONTH(TbRegistroEntradas[[#This Row],[Data do Caixa Previsto]]))</f>
        <v>1</v>
      </c>
      <c r="N40" s="48">
        <f>IF(TbRegistroEntradas[[#This Row],[Data do Caixa Previsto]]="",0,YEAR(TbRegistroEntradas[[#This Row],[Data do Caixa Previsto]]))</f>
        <v>2018</v>
      </c>
      <c r="O40" s="48" t="str">
        <f ca="1">IF(AND(TbRegistroEntradas[[#This Row],[Data do Caixa Previsto]]&lt;TODAY(),TbRegistroEntradas[[#This Row],[Data do Caixa Realizado]]=""),"Vencida","Não Vencida")</f>
        <v>Não Vencida</v>
      </c>
      <c r="P40" s="48" t="str">
        <f>IF(TbRegistroEntradas[[#This Row],[Data da Competência]]=TbRegistroEntradas[[#This Row],[Data do Caixa Previsto]],"Vista","Prazo")</f>
        <v>Prazo</v>
      </c>
      <c r="Q4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1" spans="2:17" x14ac:dyDescent="0.25">
      <c r="B41" s="14" t="s">
        <v>74</v>
      </c>
      <c r="C41" s="14">
        <v>43068</v>
      </c>
      <c r="D41" s="14">
        <v>43126.500969843044</v>
      </c>
      <c r="E41" t="s">
        <v>24</v>
      </c>
      <c r="F41" t="s">
        <v>31</v>
      </c>
      <c r="G41" t="s">
        <v>103</v>
      </c>
      <c r="H41" s="17">
        <v>1284</v>
      </c>
      <c r="I41">
        <f>IF(TbRegistroEntradas[[#This Row],[Data do Caixa Realizado]]="",0,MONTH(TbRegistroEntradas[[#This Row],[Data do Caixa Realizado]]))</f>
        <v>0</v>
      </c>
      <c r="J41">
        <f>IF(TbRegistroEntradas[[#This Row],[Data do Caixa Realizado]]="",0,YEAR(TbRegistroEntradas[[#This Row],[Data do Caixa Realizado]]))</f>
        <v>0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 s="48">
        <f>IF(TbRegistroEntradas[[#This Row],[Data do Caixa Previsto]]="",0,MONTH(TbRegistroEntradas[[#This Row],[Data do Caixa Previsto]]))</f>
        <v>1</v>
      </c>
      <c r="N41" s="48">
        <f>IF(TbRegistroEntradas[[#This Row],[Data do Caixa Previsto]]="",0,YEAR(TbRegistroEntradas[[#This Row],[Data do Caixa Previsto]]))</f>
        <v>2018</v>
      </c>
      <c r="O41" s="48" t="str">
        <f ca="1">IF(AND(TbRegistroEntradas[[#This Row],[Data do Caixa Previsto]]&lt;TODAY(),TbRegistroEntradas[[#This Row],[Data do Caixa Realizado]]=""),"Vencida","Não Vencida")</f>
        <v>Vencida</v>
      </c>
      <c r="P41" s="48" t="str">
        <f>IF(TbRegistroEntradas[[#This Row],[Data da Competência]]=TbRegistroEntradas[[#This Row],[Data do Caixa Previsto]],"Vista","Prazo")</f>
        <v>Prazo</v>
      </c>
      <c r="Q4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2689.499030156956</v>
      </c>
    </row>
    <row r="42" spans="2:17" x14ac:dyDescent="0.25">
      <c r="B42" s="14">
        <v>43121.095142901788</v>
      </c>
      <c r="C42" s="14">
        <v>43073</v>
      </c>
      <c r="D42" s="14">
        <v>43121.095142901788</v>
      </c>
      <c r="E42" t="s">
        <v>24</v>
      </c>
      <c r="F42" t="s">
        <v>32</v>
      </c>
      <c r="G42" t="s">
        <v>104</v>
      </c>
      <c r="H42" s="17">
        <v>4073</v>
      </c>
      <c r="I42">
        <f>IF(TbRegistroEntradas[[#This Row],[Data do Caixa Realizado]]="",0,MONTH(TbRegistroEntradas[[#This Row],[Data do Caixa Realizado]]))</f>
        <v>1</v>
      </c>
      <c r="J42">
        <f>IF(TbRegistroEntradas[[#This Row],[Data do Caixa Realizado]]="",0,YEAR(TbRegistroEntradas[[#This Row],[Data do Caixa Realizado]]))</f>
        <v>2018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 s="48">
        <f>IF(TbRegistroEntradas[[#This Row],[Data do Caixa Previsto]]="",0,MONTH(TbRegistroEntradas[[#This Row],[Data do Caixa Previsto]]))</f>
        <v>1</v>
      </c>
      <c r="N42" s="48">
        <f>IF(TbRegistroEntradas[[#This Row],[Data do Caixa Previsto]]="",0,YEAR(TbRegistroEntradas[[#This Row],[Data do Caixa Previsto]]))</f>
        <v>2018</v>
      </c>
      <c r="O42" s="48" t="str">
        <f ca="1">IF(AND(TbRegistroEntradas[[#This Row],[Data do Caixa Previsto]]&lt;TODAY(),TbRegistroEntradas[[#This Row],[Data do Caixa Realizado]]=""),"Vencida","Não Vencida")</f>
        <v>Não Vencida</v>
      </c>
      <c r="P42" s="48" t="str">
        <f>IF(TbRegistroEntradas[[#This Row],[Data da Competência]]=TbRegistroEntradas[[#This Row],[Data do Caixa Previsto]],"Vista","Prazo")</f>
        <v>Prazo</v>
      </c>
      <c r="Q4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3" spans="2:17" x14ac:dyDescent="0.25">
      <c r="B43" s="14">
        <v>43084.95442532179</v>
      </c>
      <c r="C43" s="14">
        <v>43073</v>
      </c>
      <c r="D43" s="14">
        <v>43084.95442532179</v>
      </c>
      <c r="E43" t="s">
        <v>24</v>
      </c>
      <c r="F43" t="s">
        <v>31</v>
      </c>
      <c r="G43" t="s">
        <v>105</v>
      </c>
      <c r="H43" s="17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 s="48">
        <f>IF(TbRegistroEntradas[[#This Row],[Data do Caixa Previsto]]="",0,MONTH(TbRegistroEntradas[[#This Row],[Data do Caixa Previsto]]))</f>
        <v>12</v>
      </c>
      <c r="N43" s="48">
        <f>IF(TbRegistroEntradas[[#This Row],[Data do Caixa Previsto]]="",0,YEAR(TbRegistroEntradas[[#This Row],[Data do Caixa Previsto]]))</f>
        <v>2017</v>
      </c>
      <c r="O43" s="48" t="str">
        <f ca="1">IF(AND(TbRegistroEntradas[[#This Row],[Data do Caixa Previsto]]&lt;TODAY(),TbRegistroEntradas[[#This Row],[Data do Caixa Realizado]]=""),"Vencida","Não Vencida")</f>
        <v>Não Vencida</v>
      </c>
      <c r="P43" s="48" t="str">
        <f>IF(TbRegistroEntradas[[#This Row],[Data da Competência]]=TbRegistroEntradas[[#This Row],[Data do Caixa Previsto]],"Vista","Prazo")</f>
        <v>Prazo</v>
      </c>
      <c r="Q4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4" spans="2:17" x14ac:dyDescent="0.25">
      <c r="B44" s="14">
        <v>43131.56407100569</v>
      </c>
      <c r="C44" s="14">
        <v>43080</v>
      </c>
      <c r="D44" s="14">
        <v>43131.56407100569</v>
      </c>
      <c r="E44" t="s">
        <v>24</v>
      </c>
      <c r="F44" t="s">
        <v>31</v>
      </c>
      <c r="G44" t="s">
        <v>106</v>
      </c>
      <c r="H44" s="17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 s="48">
        <f>IF(TbRegistroEntradas[[#This Row],[Data do Caixa Previsto]]="",0,MONTH(TbRegistroEntradas[[#This Row],[Data do Caixa Previsto]]))</f>
        <v>1</v>
      </c>
      <c r="N44" s="48">
        <f>IF(TbRegistroEntradas[[#This Row],[Data do Caixa Previsto]]="",0,YEAR(TbRegistroEntradas[[#This Row],[Data do Caixa Previsto]]))</f>
        <v>2018</v>
      </c>
      <c r="O44" s="48" t="str">
        <f ca="1">IF(AND(TbRegistroEntradas[[#This Row],[Data do Caixa Previsto]]&lt;TODAY(),TbRegistroEntradas[[#This Row],[Data do Caixa Realizado]]=""),"Vencida","Não Vencida")</f>
        <v>Não Vencida</v>
      </c>
      <c r="P44" s="48" t="str">
        <f>IF(TbRegistroEntradas[[#This Row],[Data da Competência]]=TbRegistroEntradas[[#This Row],[Data do Caixa Previsto]],"Vista","Prazo")</f>
        <v>Prazo</v>
      </c>
      <c r="Q4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5" spans="2:17" x14ac:dyDescent="0.25">
      <c r="B45" s="14">
        <v>43103.027346399656</v>
      </c>
      <c r="C45" s="14">
        <v>43082</v>
      </c>
      <c r="D45" s="14">
        <v>43103.027346399656</v>
      </c>
      <c r="E45" t="s">
        <v>24</v>
      </c>
      <c r="F45" t="s">
        <v>31</v>
      </c>
      <c r="G45" t="s">
        <v>107</v>
      </c>
      <c r="H45" s="17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 s="48">
        <f>IF(TbRegistroEntradas[[#This Row],[Data do Caixa Previsto]]="",0,MONTH(TbRegistroEntradas[[#This Row],[Data do Caixa Previsto]]))</f>
        <v>1</v>
      </c>
      <c r="N45" s="48">
        <f>IF(TbRegistroEntradas[[#This Row],[Data do Caixa Previsto]]="",0,YEAR(TbRegistroEntradas[[#This Row],[Data do Caixa Previsto]]))</f>
        <v>2018</v>
      </c>
      <c r="O45" s="48" t="str">
        <f ca="1">IF(AND(TbRegistroEntradas[[#This Row],[Data do Caixa Previsto]]&lt;TODAY(),TbRegistroEntradas[[#This Row],[Data do Caixa Realizado]]=""),"Vencida","Não Vencida")</f>
        <v>Não Vencida</v>
      </c>
      <c r="P45" s="48" t="str">
        <f>IF(TbRegistroEntradas[[#This Row],[Data da Competência]]=TbRegistroEntradas[[#This Row],[Data do Caixa Previsto]],"Vista","Prazo")</f>
        <v>Prazo</v>
      </c>
      <c r="Q4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6" spans="2:17" x14ac:dyDescent="0.25">
      <c r="B46" s="14">
        <v>43086.779201496618</v>
      </c>
      <c r="C46" s="14">
        <v>43083</v>
      </c>
      <c r="D46" s="14">
        <v>43086.779201496618</v>
      </c>
      <c r="E46" t="s">
        <v>24</v>
      </c>
      <c r="F46" t="s">
        <v>34</v>
      </c>
      <c r="G46" t="s">
        <v>108</v>
      </c>
      <c r="H46" s="17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 s="48">
        <f>IF(TbRegistroEntradas[[#This Row],[Data do Caixa Previsto]]="",0,MONTH(TbRegistroEntradas[[#This Row],[Data do Caixa Previsto]]))</f>
        <v>12</v>
      </c>
      <c r="N46" s="48">
        <f>IF(TbRegistroEntradas[[#This Row],[Data do Caixa Previsto]]="",0,YEAR(TbRegistroEntradas[[#This Row],[Data do Caixa Previsto]]))</f>
        <v>2017</v>
      </c>
      <c r="O46" s="48" t="str">
        <f ca="1">IF(AND(TbRegistroEntradas[[#This Row],[Data do Caixa Previsto]]&lt;TODAY(),TbRegistroEntradas[[#This Row],[Data do Caixa Realizado]]=""),"Vencida","Não Vencida")</f>
        <v>Não Vencida</v>
      </c>
      <c r="P46" s="48" t="str">
        <f>IF(TbRegistroEntradas[[#This Row],[Data da Competência]]=TbRegistroEntradas[[#This Row],[Data do Caixa Previsto]],"Vista","Prazo")</f>
        <v>Prazo</v>
      </c>
      <c r="Q4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7" spans="2:17" x14ac:dyDescent="0.25">
      <c r="B47" s="14">
        <v>43135.384353482346</v>
      </c>
      <c r="C47" s="14">
        <v>43085</v>
      </c>
      <c r="D47" s="14">
        <v>43122.788615114718</v>
      </c>
      <c r="E47" t="s">
        <v>24</v>
      </c>
      <c r="F47" t="s">
        <v>32</v>
      </c>
      <c r="G47" t="s">
        <v>109</v>
      </c>
      <c r="H47" s="17">
        <v>3880</v>
      </c>
      <c r="I47">
        <f>IF(TbRegistroEntradas[[#This Row],[Data do Caixa Realizado]]="",0,MONTH(TbRegistroEntradas[[#This Row],[Data do Caixa Realizado]]))</f>
        <v>2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 s="48">
        <f>IF(TbRegistroEntradas[[#This Row],[Data do Caixa Previsto]]="",0,MONTH(TbRegistroEntradas[[#This Row],[Data do Caixa Previsto]]))</f>
        <v>1</v>
      </c>
      <c r="N47" s="48">
        <f>IF(TbRegistroEntradas[[#This Row],[Data do Caixa Previsto]]="",0,YEAR(TbRegistroEntradas[[#This Row],[Data do Caixa Previsto]]))</f>
        <v>2018</v>
      </c>
      <c r="O47" s="48" t="str">
        <f ca="1">IF(AND(TbRegistroEntradas[[#This Row],[Data do Caixa Previsto]]&lt;TODAY(),TbRegistroEntradas[[#This Row],[Data do Caixa Realizado]]=""),"Vencida","Não Vencida")</f>
        <v>Não Vencida</v>
      </c>
      <c r="P47" s="48" t="str">
        <f>IF(TbRegistroEntradas[[#This Row],[Data da Competência]]=TbRegistroEntradas[[#This Row],[Data do Caixa Previsto]],"Vista","Prazo")</f>
        <v>Prazo</v>
      </c>
      <c r="Q4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12.595738367628655</v>
      </c>
    </row>
    <row r="48" spans="2:17" x14ac:dyDescent="0.25">
      <c r="B48" s="14">
        <v>43123.054998054176</v>
      </c>
      <c r="C48" s="14">
        <v>43086</v>
      </c>
      <c r="D48" s="14">
        <v>43123.054998054176</v>
      </c>
      <c r="E48" t="s">
        <v>24</v>
      </c>
      <c r="F48" t="s">
        <v>32</v>
      </c>
      <c r="G48" t="s">
        <v>110</v>
      </c>
      <c r="H48" s="17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 s="48">
        <f>IF(TbRegistroEntradas[[#This Row],[Data do Caixa Previsto]]="",0,MONTH(TbRegistroEntradas[[#This Row],[Data do Caixa Previsto]]))</f>
        <v>1</v>
      </c>
      <c r="N48" s="48">
        <f>IF(TbRegistroEntradas[[#This Row],[Data do Caixa Previsto]]="",0,YEAR(TbRegistroEntradas[[#This Row],[Data do Caixa Previsto]]))</f>
        <v>2018</v>
      </c>
      <c r="O48" s="48" t="str">
        <f ca="1">IF(AND(TbRegistroEntradas[[#This Row],[Data do Caixa Previsto]]&lt;TODAY(),TbRegistroEntradas[[#This Row],[Data do Caixa Realizado]]=""),"Vencida","Não Vencida")</f>
        <v>Não Vencida</v>
      </c>
      <c r="P48" s="48" t="str">
        <f>IF(TbRegistroEntradas[[#This Row],[Data da Competência]]=TbRegistroEntradas[[#This Row],[Data do Caixa Previsto]],"Vista","Prazo")</f>
        <v>Prazo</v>
      </c>
      <c r="Q4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49" spans="2:17" x14ac:dyDescent="0.25">
      <c r="B49" s="14">
        <v>43125.461755740398</v>
      </c>
      <c r="C49" s="14">
        <v>43088</v>
      </c>
      <c r="D49" s="14">
        <v>43125.461755740398</v>
      </c>
      <c r="E49" t="s">
        <v>24</v>
      </c>
      <c r="F49" t="s">
        <v>34</v>
      </c>
      <c r="G49" t="s">
        <v>111</v>
      </c>
      <c r="H49" s="17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 s="48">
        <f>IF(TbRegistroEntradas[[#This Row],[Data do Caixa Previsto]]="",0,MONTH(TbRegistroEntradas[[#This Row],[Data do Caixa Previsto]]))</f>
        <v>1</v>
      </c>
      <c r="N49" s="48">
        <f>IF(TbRegistroEntradas[[#This Row],[Data do Caixa Previsto]]="",0,YEAR(TbRegistroEntradas[[#This Row],[Data do Caixa Previsto]]))</f>
        <v>2018</v>
      </c>
      <c r="O49" s="48" t="str">
        <f ca="1">IF(AND(TbRegistroEntradas[[#This Row],[Data do Caixa Previsto]]&lt;TODAY(),TbRegistroEntradas[[#This Row],[Data do Caixa Realizado]]=""),"Vencida","Não Vencida")</f>
        <v>Não Vencida</v>
      </c>
      <c r="P49" s="48" t="str">
        <f>IF(TbRegistroEntradas[[#This Row],[Data da Competência]]=TbRegistroEntradas[[#This Row],[Data do Caixa Previsto]],"Vista","Prazo")</f>
        <v>Prazo</v>
      </c>
      <c r="Q4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0" spans="2:17" x14ac:dyDescent="0.25">
      <c r="B50" s="14">
        <v>43117.265187618672</v>
      </c>
      <c r="C50" s="14">
        <v>43089</v>
      </c>
      <c r="D50" s="14">
        <v>43117.265187618672</v>
      </c>
      <c r="E50" t="s">
        <v>24</v>
      </c>
      <c r="F50" t="s">
        <v>35</v>
      </c>
      <c r="G50" t="s">
        <v>112</v>
      </c>
      <c r="H50" s="17">
        <v>3721</v>
      </c>
      <c r="I50">
        <f>IF(TbRegistroEntradas[[#This Row],[Data do Caixa Realizado]]="",0,MONTH(TbRegistroEntradas[[#This Row],[Data do Caixa Realizado]]))</f>
        <v>1</v>
      </c>
      <c r="J50">
        <f>IF(TbRegistroEntradas[[#This Row],[Data do Caixa Realizado]]="",0,YEAR(TbRegistroEntradas[[#This Row],[Data do Caixa Realizado]]))</f>
        <v>2018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 s="48">
        <f>IF(TbRegistroEntradas[[#This Row],[Data do Caixa Previsto]]="",0,MONTH(TbRegistroEntradas[[#This Row],[Data do Caixa Previsto]]))</f>
        <v>1</v>
      </c>
      <c r="N50" s="48">
        <f>IF(TbRegistroEntradas[[#This Row],[Data do Caixa Previsto]]="",0,YEAR(TbRegistroEntradas[[#This Row],[Data do Caixa Previsto]]))</f>
        <v>2018</v>
      </c>
      <c r="O50" s="48" t="str">
        <f ca="1">IF(AND(TbRegistroEntradas[[#This Row],[Data do Caixa Previsto]]&lt;TODAY(),TbRegistroEntradas[[#This Row],[Data do Caixa Realizado]]=""),"Vencida","Não Vencida")</f>
        <v>Não Vencida</v>
      </c>
      <c r="P50" s="48" t="str">
        <f>IF(TbRegistroEntradas[[#This Row],[Data da Competência]]=TbRegistroEntradas[[#This Row],[Data do Caixa Previsto]],"Vista","Prazo")</f>
        <v>Prazo</v>
      </c>
      <c r="Q5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1" spans="2:17" x14ac:dyDescent="0.25">
      <c r="B51" s="14">
        <v>43222.826071389798</v>
      </c>
      <c r="C51" s="14">
        <v>43091</v>
      </c>
      <c r="D51" s="14">
        <v>43133.821281134544</v>
      </c>
      <c r="E51" t="s">
        <v>24</v>
      </c>
      <c r="F51" t="s">
        <v>32</v>
      </c>
      <c r="G51" t="s">
        <v>113</v>
      </c>
      <c r="H51" s="17">
        <v>3114</v>
      </c>
      <c r="I51">
        <f>IF(TbRegistroEntradas[[#This Row],[Data do Caixa Realizado]]="",0,MONTH(TbRegistroEntradas[[#This Row],[Data do Caixa Realizado]]))</f>
        <v>5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 s="48">
        <f>IF(TbRegistroEntradas[[#This Row],[Data do Caixa Previsto]]="",0,MONTH(TbRegistroEntradas[[#This Row],[Data do Caixa Previsto]]))</f>
        <v>2</v>
      </c>
      <c r="N51" s="48">
        <f>IF(TbRegistroEntradas[[#This Row],[Data do Caixa Previsto]]="",0,YEAR(TbRegistroEntradas[[#This Row],[Data do Caixa Previsto]]))</f>
        <v>2018</v>
      </c>
      <c r="O51" s="48" t="str">
        <f ca="1">IF(AND(TbRegistroEntradas[[#This Row],[Data do Caixa Previsto]]&lt;TODAY(),TbRegistroEntradas[[#This Row],[Data do Caixa Realizado]]=""),"Vencida","Não Vencida")</f>
        <v>Não Vencida</v>
      </c>
      <c r="P51" s="48" t="str">
        <f>IF(TbRegistroEntradas[[#This Row],[Data da Competência]]=TbRegistroEntradas[[#This Row],[Data do Caixa Previsto]],"Vista","Prazo")</f>
        <v>Prazo</v>
      </c>
      <c r="Q5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89.004790255254193</v>
      </c>
    </row>
    <row r="52" spans="2:17" x14ac:dyDescent="0.25">
      <c r="B52" s="14">
        <v>43171.526334246679</v>
      </c>
      <c r="C52" s="14">
        <v>43095</v>
      </c>
      <c r="D52" s="14">
        <v>43150.040142629892</v>
      </c>
      <c r="E52" t="s">
        <v>24</v>
      </c>
      <c r="F52" t="s">
        <v>34</v>
      </c>
      <c r="G52" t="s">
        <v>114</v>
      </c>
      <c r="H52" s="17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 s="48">
        <f>IF(TbRegistroEntradas[[#This Row],[Data do Caixa Previsto]]="",0,MONTH(TbRegistroEntradas[[#This Row],[Data do Caixa Previsto]]))</f>
        <v>2</v>
      </c>
      <c r="N52" s="48">
        <f>IF(TbRegistroEntradas[[#This Row],[Data do Caixa Previsto]]="",0,YEAR(TbRegistroEntradas[[#This Row],[Data do Caixa Previsto]]))</f>
        <v>2018</v>
      </c>
      <c r="O52" s="48" t="str">
        <f ca="1">IF(AND(TbRegistroEntradas[[#This Row],[Data do Caixa Previsto]]&lt;TODAY(),TbRegistroEntradas[[#This Row],[Data do Caixa Realizado]]=""),"Vencida","Não Vencida")</f>
        <v>Não Vencida</v>
      </c>
      <c r="P52" s="48" t="str">
        <f>IF(TbRegistroEntradas[[#This Row],[Data da Competência]]=TbRegistroEntradas[[#This Row],[Data do Caixa Previsto]],"Vista","Prazo")</f>
        <v>Prazo</v>
      </c>
      <c r="Q5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21.486191616786527</v>
      </c>
    </row>
    <row r="53" spans="2:17" x14ac:dyDescent="0.25">
      <c r="B53" s="14">
        <v>43101.6816504218</v>
      </c>
      <c r="C53" s="14">
        <v>43099</v>
      </c>
      <c r="D53" s="14">
        <v>43101.6816504218</v>
      </c>
      <c r="E53" t="s">
        <v>24</v>
      </c>
      <c r="F53" t="s">
        <v>34</v>
      </c>
      <c r="G53" t="s">
        <v>115</v>
      </c>
      <c r="H53" s="17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 s="48">
        <f>IF(TbRegistroEntradas[[#This Row],[Data do Caixa Previsto]]="",0,MONTH(TbRegistroEntradas[[#This Row],[Data do Caixa Previsto]]))</f>
        <v>1</v>
      </c>
      <c r="N53" s="48">
        <f>IF(TbRegistroEntradas[[#This Row],[Data do Caixa Previsto]]="",0,YEAR(TbRegistroEntradas[[#This Row],[Data do Caixa Previsto]]))</f>
        <v>2018</v>
      </c>
      <c r="O53" s="48" t="str">
        <f ca="1">IF(AND(TbRegistroEntradas[[#This Row],[Data do Caixa Previsto]]&lt;TODAY(),TbRegistroEntradas[[#This Row],[Data do Caixa Realizado]]=""),"Vencida","Não Vencida")</f>
        <v>Não Vencida</v>
      </c>
      <c r="P53" s="48" t="str">
        <f>IF(TbRegistroEntradas[[#This Row],[Data da Competência]]=TbRegistroEntradas[[#This Row],[Data do Caixa Previsto]],"Vista","Prazo")</f>
        <v>Prazo</v>
      </c>
      <c r="Q5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4" spans="2:17" x14ac:dyDescent="0.25">
      <c r="B54" s="14">
        <v>43144.070709460881</v>
      </c>
      <c r="C54" s="14">
        <v>43100</v>
      </c>
      <c r="D54" s="14">
        <v>43144.070709460881</v>
      </c>
      <c r="E54" t="s">
        <v>24</v>
      </c>
      <c r="F54" t="s">
        <v>35</v>
      </c>
      <c r="G54" t="s">
        <v>116</v>
      </c>
      <c r="H54" s="17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 s="48">
        <f>IF(TbRegistroEntradas[[#This Row],[Data do Caixa Previsto]]="",0,MONTH(TbRegistroEntradas[[#This Row],[Data do Caixa Previsto]]))</f>
        <v>2</v>
      </c>
      <c r="N54" s="48">
        <f>IF(TbRegistroEntradas[[#This Row],[Data do Caixa Previsto]]="",0,YEAR(TbRegistroEntradas[[#This Row],[Data do Caixa Previsto]]))</f>
        <v>2018</v>
      </c>
      <c r="O54" s="48" t="str">
        <f ca="1">IF(AND(TbRegistroEntradas[[#This Row],[Data do Caixa Previsto]]&lt;TODAY(),TbRegistroEntradas[[#This Row],[Data do Caixa Realizado]]=""),"Vencida","Não Vencida")</f>
        <v>Não Vencida</v>
      </c>
      <c r="P54" s="48" t="str">
        <f>IF(TbRegistroEntradas[[#This Row],[Data da Competência]]=TbRegistroEntradas[[#This Row],[Data do Caixa Previsto]],"Vista","Prazo")</f>
        <v>Prazo</v>
      </c>
      <c r="Q5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5" spans="2:17" x14ac:dyDescent="0.25">
      <c r="B55" s="14">
        <v>43159.768399969107</v>
      </c>
      <c r="C55" s="14">
        <v>43103</v>
      </c>
      <c r="D55" s="14">
        <v>43159.768399969107</v>
      </c>
      <c r="E55" t="s">
        <v>24</v>
      </c>
      <c r="F55" t="s">
        <v>34</v>
      </c>
      <c r="G55" t="s">
        <v>117</v>
      </c>
      <c r="H55" s="17">
        <v>1561</v>
      </c>
      <c r="I55">
        <f>IF(TbRegistroEntradas[[#This Row],[Data do Caixa Realizado]]="",0,MONTH(TbRegistroEntradas[[#This Row],[Data do Caixa Realizado]]))</f>
        <v>2</v>
      </c>
      <c r="J55">
        <f>IF(TbRegistroEntradas[[#This Row],[Data do Caixa Realizado]]="",0,YEAR(TbRegistroEntradas[[#This Row],[Data do Caixa Realizado]]))</f>
        <v>2018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 s="48">
        <f>IF(TbRegistroEntradas[[#This Row],[Data do Caixa Previsto]]="",0,MONTH(TbRegistroEntradas[[#This Row],[Data do Caixa Previsto]]))</f>
        <v>2</v>
      </c>
      <c r="N55" s="48">
        <f>IF(TbRegistroEntradas[[#This Row],[Data do Caixa Previsto]]="",0,YEAR(TbRegistroEntradas[[#This Row],[Data do Caixa Previsto]]))</f>
        <v>2018</v>
      </c>
      <c r="O55" s="48" t="str">
        <f ca="1">IF(AND(TbRegistroEntradas[[#This Row],[Data do Caixa Previsto]]&lt;TODAY(),TbRegistroEntradas[[#This Row],[Data do Caixa Realizado]]=""),"Vencida","Não Vencida")</f>
        <v>Não Vencida</v>
      </c>
      <c r="P55" s="48" t="str">
        <f>IF(TbRegistroEntradas[[#This Row],[Data da Competência]]=TbRegistroEntradas[[#This Row],[Data do Caixa Previsto]],"Vista","Prazo")</f>
        <v>Prazo</v>
      </c>
      <c r="Q5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6" spans="2:17" x14ac:dyDescent="0.25">
      <c r="B56" s="14">
        <v>43113.535870555577</v>
      </c>
      <c r="C56" s="14">
        <v>43109</v>
      </c>
      <c r="D56" s="14">
        <v>43113.535870555577</v>
      </c>
      <c r="E56" t="s">
        <v>24</v>
      </c>
      <c r="F56" t="s">
        <v>34</v>
      </c>
      <c r="G56" t="s">
        <v>118</v>
      </c>
      <c r="H56" s="17">
        <v>1573</v>
      </c>
      <c r="I56">
        <f>IF(TbRegistroEntradas[[#This Row],[Data do Caixa Realizado]]="",0,MONTH(TbRegistroEntradas[[#This Row],[Data do Caixa Realizado]]))</f>
        <v>1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 s="48">
        <f>IF(TbRegistroEntradas[[#This Row],[Data do Caixa Previsto]]="",0,MONTH(TbRegistroEntradas[[#This Row],[Data do Caixa Previsto]]))</f>
        <v>1</v>
      </c>
      <c r="N56" s="48">
        <f>IF(TbRegistroEntradas[[#This Row],[Data do Caixa Previsto]]="",0,YEAR(TbRegistroEntradas[[#This Row],[Data do Caixa Previsto]]))</f>
        <v>2018</v>
      </c>
      <c r="O56" s="48" t="str">
        <f ca="1">IF(AND(TbRegistroEntradas[[#This Row],[Data do Caixa Previsto]]&lt;TODAY(),TbRegistroEntradas[[#This Row],[Data do Caixa Realizado]]=""),"Vencida","Não Vencida")</f>
        <v>Não Vencida</v>
      </c>
      <c r="P56" s="48" t="str">
        <f>IF(TbRegistroEntradas[[#This Row],[Data da Competência]]=TbRegistroEntradas[[#This Row],[Data do Caixa Previsto]],"Vista","Prazo")</f>
        <v>Prazo</v>
      </c>
      <c r="Q5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7" spans="2:17" x14ac:dyDescent="0.25">
      <c r="B57" s="14">
        <v>43147.636765206888</v>
      </c>
      <c r="C57" s="14">
        <v>43117</v>
      </c>
      <c r="D57" s="14">
        <v>43147.636765206888</v>
      </c>
      <c r="E57" t="s">
        <v>24</v>
      </c>
      <c r="F57" t="s">
        <v>34</v>
      </c>
      <c r="G57" t="s">
        <v>119</v>
      </c>
      <c r="H57" s="17">
        <v>1364</v>
      </c>
      <c r="I57">
        <f>IF(TbRegistroEntradas[[#This Row],[Data do Caixa Realizado]]="",0,MONTH(TbRegistroEntradas[[#This Row],[Data do Caixa Realizado]]))</f>
        <v>2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 s="48">
        <f>IF(TbRegistroEntradas[[#This Row],[Data do Caixa Previsto]]="",0,MONTH(TbRegistroEntradas[[#This Row],[Data do Caixa Previsto]]))</f>
        <v>2</v>
      </c>
      <c r="N57" s="48">
        <f>IF(TbRegistroEntradas[[#This Row],[Data do Caixa Previsto]]="",0,YEAR(TbRegistroEntradas[[#This Row],[Data do Caixa Previsto]]))</f>
        <v>2018</v>
      </c>
      <c r="O57" s="48" t="str">
        <f ca="1">IF(AND(TbRegistroEntradas[[#This Row],[Data do Caixa Previsto]]&lt;TODAY(),TbRegistroEntradas[[#This Row],[Data do Caixa Realizado]]=""),"Vencida","Não Vencida")</f>
        <v>Não Vencida</v>
      </c>
      <c r="P57" s="48" t="str">
        <f>IF(TbRegistroEntradas[[#This Row],[Data da Competência]]=TbRegistroEntradas[[#This Row],[Data do Caixa Previsto]],"Vista","Prazo")</f>
        <v>Prazo</v>
      </c>
      <c r="Q5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8" spans="2:17" x14ac:dyDescent="0.25">
      <c r="B58" s="14">
        <v>43166.506331380886</v>
      </c>
      <c r="C58" s="14">
        <v>43121</v>
      </c>
      <c r="D58" s="14">
        <v>43166.506331380886</v>
      </c>
      <c r="E58" t="s">
        <v>24</v>
      </c>
      <c r="F58" t="s">
        <v>35</v>
      </c>
      <c r="G58" t="s">
        <v>120</v>
      </c>
      <c r="H58" s="17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 s="48">
        <f>IF(TbRegistroEntradas[[#This Row],[Data do Caixa Previsto]]="",0,MONTH(TbRegistroEntradas[[#This Row],[Data do Caixa Previsto]]))</f>
        <v>3</v>
      </c>
      <c r="N58" s="48">
        <f>IF(TbRegistroEntradas[[#This Row],[Data do Caixa Previsto]]="",0,YEAR(TbRegistroEntradas[[#This Row],[Data do Caixa Previsto]]))</f>
        <v>2018</v>
      </c>
      <c r="O58" s="48" t="str">
        <f ca="1">IF(AND(TbRegistroEntradas[[#This Row],[Data do Caixa Previsto]]&lt;TODAY(),TbRegistroEntradas[[#This Row],[Data do Caixa Realizado]]=""),"Vencida","Não Vencida")</f>
        <v>Não Vencida</v>
      </c>
      <c r="P58" s="48" t="str">
        <f>IF(TbRegistroEntradas[[#This Row],[Data da Competência]]=TbRegistroEntradas[[#This Row],[Data do Caixa Previsto]],"Vista","Prazo")</f>
        <v>Prazo</v>
      </c>
      <c r="Q5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59" spans="2:17" x14ac:dyDescent="0.25">
      <c r="B59" s="14">
        <v>43164.402079160267</v>
      </c>
      <c r="C59" s="14">
        <v>43122</v>
      </c>
      <c r="D59" s="14">
        <v>43145.930248245008</v>
      </c>
      <c r="E59" t="s">
        <v>24</v>
      </c>
      <c r="F59" t="s">
        <v>35</v>
      </c>
      <c r="G59" t="s">
        <v>121</v>
      </c>
      <c r="H59" s="17">
        <v>3928</v>
      </c>
      <c r="I59">
        <f>IF(TbRegistroEntradas[[#This Row],[Data do Caixa Realizado]]="",0,MONTH(TbRegistroEntradas[[#This Row],[Data do Caixa Realizado]]))</f>
        <v>3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 s="48">
        <f>IF(TbRegistroEntradas[[#This Row],[Data do Caixa Previsto]]="",0,MONTH(TbRegistroEntradas[[#This Row],[Data do Caixa Previsto]]))</f>
        <v>2</v>
      </c>
      <c r="N59" s="48">
        <f>IF(TbRegistroEntradas[[#This Row],[Data do Caixa Previsto]]="",0,YEAR(TbRegistroEntradas[[#This Row],[Data do Caixa Previsto]]))</f>
        <v>2018</v>
      </c>
      <c r="O59" s="48" t="str">
        <f ca="1">IF(AND(TbRegistroEntradas[[#This Row],[Data do Caixa Previsto]]&lt;TODAY(),TbRegistroEntradas[[#This Row],[Data do Caixa Realizado]]=""),"Vencida","Não Vencida")</f>
        <v>Não Vencida</v>
      </c>
      <c r="P59" s="48" t="str">
        <f>IF(TbRegistroEntradas[[#This Row],[Data da Competência]]=TbRegistroEntradas[[#This Row],[Data do Caixa Previsto]],"Vista","Prazo")</f>
        <v>Prazo</v>
      </c>
      <c r="Q5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18.471830915259488</v>
      </c>
    </row>
    <row r="60" spans="2:17" x14ac:dyDescent="0.25">
      <c r="B60" s="14">
        <v>43142.713591319029</v>
      </c>
      <c r="C60" s="14">
        <v>43124</v>
      </c>
      <c r="D60" s="14">
        <v>43142.713591319029</v>
      </c>
      <c r="E60" t="s">
        <v>24</v>
      </c>
      <c r="F60" t="s">
        <v>32</v>
      </c>
      <c r="G60" t="s">
        <v>122</v>
      </c>
      <c r="H60" s="17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 s="48">
        <f>IF(TbRegistroEntradas[[#This Row],[Data do Caixa Previsto]]="",0,MONTH(TbRegistroEntradas[[#This Row],[Data do Caixa Previsto]]))</f>
        <v>2</v>
      </c>
      <c r="N60" s="48">
        <f>IF(TbRegistroEntradas[[#This Row],[Data do Caixa Previsto]]="",0,YEAR(TbRegistroEntradas[[#This Row],[Data do Caixa Previsto]]))</f>
        <v>2018</v>
      </c>
      <c r="O60" s="48" t="str">
        <f ca="1">IF(AND(TbRegistroEntradas[[#This Row],[Data do Caixa Previsto]]&lt;TODAY(),TbRegistroEntradas[[#This Row],[Data do Caixa Realizado]]=""),"Vencida","Não Vencida")</f>
        <v>Não Vencida</v>
      </c>
      <c r="P60" s="48" t="str">
        <f>IF(TbRegistroEntradas[[#This Row],[Data da Competência]]=TbRegistroEntradas[[#This Row],[Data do Caixa Previsto]],"Vista","Prazo")</f>
        <v>Prazo</v>
      </c>
      <c r="Q6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1" spans="2:17" x14ac:dyDescent="0.25">
      <c r="B61" s="14">
        <v>43183.516256023155</v>
      </c>
      <c r="C61" s="14">
        <v>43125</v>
      </c>
      <c r="D61" s="14">
        <v>43129.375302218272</v>
      </c>
      <c r="E61" t="s">
        <v>24</v>
      </c>
      <c r="F61" t="s">
        <v>31</v>
      </c>
      <c r="G61" t="s">
        <v>123</v>
      </c>
      <c r="H61" s="17">
        <v>1864</v>
      </c>
      <c r="I61">
        <f>IF(TbRegistroEntradas[[#This Row],[Data do Caixa Realizado]]="",0,MONTH(TbRegistroEntradas[[#This Row],[Data do Caixa Realizado]]))</f>
        <v>3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 s="48">
        <f>IF(TbRegistroEntradas[[#This Row],[Data do Caixa Previsto]]="",0,MONTH(TbRegistroEntradas[[#This Row],[Data do Caixa Previsto]]))</f>
        <v>1</v>
      </c>
      <c r="N61" s="48">
        <f>IF(TbRegistroEntradas[[#This Row],[Data do Caixa Previsto]]="",0,YEAR(TbRegistroEntradas[[#This Row],[Data do Caixa Previsto]]))</f>
        <v>2018</v>
      </c>
      <c r="O61" s="48" t="str">
        <f ca="1">IF(AND(TbRegistroEntradas[[#This Row],[Data do Caixa Previsto]]&lt;TODAY(),TbRegistroEntradas[[#This Row],[Data do Caixa Realizado]]=""),"Vencida","Não Vencida")</f>
        <v>Não Vencida</v>
      </c>
      <c r="P61" s="48" t="str">
        <f>IF(TbRegistroEntradas[[#This Row],[Data da Competência]]=TbRegistroEntradas[[#This Row],[Data do Caixa Previsto]],"Vista","Prazo")</f>
        <v>Prazo</v>
      </c>
      <c r="Q6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54.140953804882884</v>
      </c>
    </row>
    <row r="62" spans="2:17" x14ac:dyDescent="0.25">
      <c r="B62" s="14">
        <v>43181.942093945734</v>
      </c>
      <c r="C62" s="14">
        <v>43128</v>
      </c>
      <c r="D62" s="14">
        <v>43181.942093945734</v>
      </c>
      <c r="E62" t="s">
        <v>24</v>
      </c>
      <c r="F62" t="s">
        <v>34</v>
      </c>
      <c r="G62" t="s">
        <v>124</v>
      </c>
      <c r="H62" s="17">
        <v>1184</v>
      </c>
      <c r="I62">
        <f>IF(TbRegistroEntradas[[#This Row],[Data do Caixa Realizado]]="",0,MONTH(TbRegistroEntradas[[#This Row],[Data do Caixa Realizado]]))</f>
        <v>3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 s="48">
        <f>IF(TbRegistroEntradas[[#This Row],[Data do Caixa Previsto]]="",0,MONTH(TbRegistroEntradas[[#This Row],[Data do Caixa Previsto]]))</f>
        <v>3</v>
      </c>
      <c r="N62" s="48">
        <f>IF(TbRegistroEntradas[[#This Row],[Data do Caixa Previsto]]="",0,YEAR(TbRegistroEntradas[[#This Row],[Data do Caixa Previsto]]))</f>
        <v>2018</v>
      </c>
      <c r="O62" s="48" t="str">
        <f ca="1">IF(AND(TbRegistroEntradas[[#This Row],[Data do Caixa Previsto]]&lt;TODAY(),TbRegistroEntradas[[#This Row],[Data do Caixa Realizado]]=""),"Vencida","Não Vencida")</f>
        <v>Não Vencida</v>
      </c>
      <c r="P62" s="48" t="str">
        <f>IF(TbRegistroEntradas[[#This Row],[Data da Competência]]=TbRegistroEntradas[[#This Row],[Data do Caixa Previsto]],"Vista","Prazo")</f>
        <v>Prazo</v>
      </c>
      <c r="Q6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3" spans="2:17" x14ac:dyDescent="0.25">
      <c r="B63" s="14">
        <v>43161.227605046144</v>
      </c>
      <c r="C63" s="14">
        <v>43129</v>
      </c>
      <c r="D63" s="14">
        <v>43161.227605046144</v>
      </c>
      <c r="E63" t="s">
        <v>24</v>
      </c>
      <c r="F63" t="s">
        <v>34</v>
      </c>
      <c r="G63" t="s">
        <v>125</v>
      </c>
      <c r="H63" s="17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 s="48">
        <f>IF(TbRegistroEntradas[[#This Row],[Data do Caixa Previsto]]="",0,MONTH(TbRegistroEntradas[[#This Row],[Data do Caixa Previsto]]))</f>
        <v>3</v>
      </c>
      <c r="N63" s="48">
        <f>IF(TbRegistroEntradas[[#This Row],[Data do Caixa Previsto]]="",0,YEAR(TbRegistroEntradas[[#This Row],[Data do Caixa Previsto]]))</f>
        <v>2018</v>
      </c>
      <c r="O63" s="48" t="str">
        <f ca="1">IF(AND(TbRegistroEntradas[[#This Row],[Data do Caixa Previsto]]&lt;TODAY(),TbRegistroEntradas[[#This Row],[Data do Caixa Realizado]]=""),"Vencida","Não Vencida")</f>
        <v>Não Vencida</v>
      </c>
      <c r="P63" s="48" t="str">
        <f>IF(TbRegistroEntradas[[#This Row],[Data da Competência]]=TbRegistroEntradas[[#This Row],[Data do Caixa Previsto]],"Vista","Prazo")</f>
        <v>Prazo</v>
      </c>
      <c r="Q6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4" spans="2:17" x14ac:dyDescent="0.25">
      <c r="B64" s="14">
        <v>43178.327075601032</v>
      </c>
      <c r="C64" s="14">
        <v>43130</v>
      </c>
      <c r="D64" s="14">
        <v>43178.327075601032</v>
      </c>
      <c r="E64" t="s">
        <v>24</v>
      </c>
      <c r="F64" t="s">
        <v>34</v>
      </c>
      <c r="G64" t="s">
        <v>126</v>
      </c>
      <c r="H64" s="17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 s="48">
        <f>IF(TbRegistroEntradas[[#This Row],[Data do Caixa Previsto]]="",0,MONTH(TbRegistroEntradas[[#This Row],[Data do Caixa Previsto]]))</f>
        <v>3</v>
      </c>
      <c r="N64" s="48">
        <f>IF(TbRegistroEntradas[[#This Row],[Data do Caixa Previsto]]="",0,YEAR(TbRegistroEntradas[[#This Row],[Data do Caixa Previsto]]))</f>
        <v>2018</v>
      </c>
      <c r="O64" s="48" t="str">
        <f ca="1">IF(AND(TbRegistroEntradas[[#This Row],[Data do Caixa Previsto]]&lt;TODAY(),TbRegistroEntradas[[#This Row],[Data do Caixa Realizado]]=""),"Vencida","Não Vencida")</f>
        <v>Não Vencida</v>
      </c>
      <c r="P64" s="48" t="str">
        <f>IF(TbRegistroEntradas[[#This Row],[Data da Competência]]=TbRegistroEntradas[[#This Row],[Data do Caixa Previsto]],"Vista","Prazo")</f>
        <v>Prazo</v>
      </c>
      <c r="Q6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5" spans="2:17" x14ac:dyDescent="0.25">
      <c r="B65" s="14">
        <v>43138.085439585935</v>
      </c>
      <c r="C65" s="14">
        <v>43133</v>
      </c>
      <c r="D65" s="14">
        <v>43138.085439585935</v>
      </c>
      <c r="E65" t="s">
        <v>24</v>
      </c>
      <c r="F65" t="s">
        <v>33</v>
      </c>
      <c r="G65" t="s">
        <v>127</v>
      </c>
      <c r="H65" s="17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 s="48">
        <f>IF(TbRegistroEntradas[[#This Row],[Data do Caixa Previsto]]="",0,MONTH(TbRegistroEntradas[[#This Row],[Data do Caixa Previsto]]))</f>
        <v>2</v>
      </c>
      <c r="N65" s="48">
        <f>IF(TbRegistroEntradas[[#This Row],[Data do Caixa Previsto]]="",0,YEAR(TbRegistroEntradas[[#This Row],[Data do Caixa Previsto]]))</f>
        <v>2018</v>
      </c>
      <c r="O65" s="48" t="str">
        <f ca="1">IF(AND(TbRegistroEntradas[[#This Row],[Data do Caixa Previsto]]&lt;TODAY(),TbRegistroEntradas[[#This Row],[Data do Caixa Realizado]]=""),"Vencida","Não Vencida")</f>
        <v>Não Vencida</v>
      </c>
      <c r="P65" s="48" t="str">
        <f>IF(TbRegistroEntradas[[#This Row],[Data da Competência]]=TbRegistroEntradas[[#This Row],[Data do Caixa Previsto]],"Vista","Prazo")</f>
        <v>Prazo</v>
      </c>
      <c r="Q6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6" spans="2:17" x14ac:dyDescent="0.25">
      <c r="B66" s="14">
        <v>43190.17599100792</v>
      </c>
      <c r="C66" s="14">
        <v>43136</v>
      </c>
      <c r="D66" s="14">
        <v>43190.17599100792</v>
      </c>
      <c r="E66" t="s">
        <v>24</v>
      </c>
      <c r="F66" t="s">
        <v>35</v>
      </c>
      <c r="G66" t="s">
        <v>128</v>
      </c>
      <c r="H66" s="17">
        <v>964</v>
      </c>
      <c r="I66">
        <f>IF(TbRegistroEntradas[[#This Row],[Data do Caixa Realizado]]="",0,MONTH(TbRegistroEntradas[[#This Row],[Data do Caixa Realizado]]))</f>
        <v>3</v>
      </c>
      <c r="J66">
        <f>IF(TbRegistroEntradas[[#This Row],[Data do Caixa Realizado]]="",0,YEAR(TbRegistroEntradas[[#This Row],[Data do Caixa Realizado]]))</f>
        <v>2018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 s="48">
        <f>IF(TbRegistroEntradas[[#This Row],[Data do Caixa Previsto]]="",0,MONTH(TbRegistroEntradas[[#This Row],[Data do Caixa Previsto]]))</f>
        <v>3</v>
      </c>
      <c r="N66" s="48">
        <f>IF(TbRegistroEntradas[[#This Row],[Data do Caixa Previsto]]="",0,YEAR(TbRegistroEntradas[[#This Row],[Data do Caixa Previsto]]))</f>
        <v>2018</v>
      </c>
      <c r="O66" s="48" t="str">
        <f ca="1">IF(AND(TbRegistroEntradas[[#This Row],[Data do Caixa Previsto]]&lt;TODAY(),TbRegistroEntradas[[#This Row],[Data do Caixa Realizado]]=""),"Vencida","Não Vencida")</f>
        <v>Não Vencida</v>
      </c>
      <c r="P66" s="48" t="str">
        <f>IF(TbRegistroEntradas[[#This Row],[Data da Competência]]=TbRegistroEntradas[[#This Row],[Data do Caixa Previsto]],"Vista","Prazo")</f>
        <v>Prazo</v>
      </c>
      <c r="Q6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7" spans="2:17" x14ac:dyDescent="0.25">
      <c r="B67" s="14">
        <v>43145.940969359632</v>
      </c>
      <c r="C67" s="14">
        <v>43140</v>
      </c>
      <c r="D67" s="14">
        <v>43145.940969359632</v>
      </c>
      <c r="E67" t="s">
        <v>24</v>
      </c>
      <c r="F67" t="s">
        <v>34</v>
      </c>
      <c r="G67" t="s">
        <v>129</v>
      </c>
      <c r="H67" s="17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 s="48">
        <f>IF(TbRegistroEntradas[[#This Row],[Data do Caixa Previsto]]="",0,MONTH(TbRegistroEntradas[[#This Row],[Data do Caixa Previsto]]))</f>
        <v>2</v>
      </c>
      <c r="N67" s="48">
        <f>IF(TbRegistroEntradas[[#This Row],[Data do Caixa Previsto]]="",0,YEAR(TbRegistroEntradas[[#This Row],[Data do Caixa Previsto]]))</f>
        <v>2018</v>
      </c>
      <c r="O67" s="48" t="str">
        <f ca="1">IF(AND(TbRegistroEntradas[[#This Row],[Data do Caixa Previsto]]&lt;TODAY(),TbRegistroEntradas[[#This Row],[Data do Caixa Realizado]]=""),"Vencida","Não Vencida")</f>
        <v>Não Vencida</v>
      </c>
      <c r="P67" s="48" t="str">
        <f>IF(TbRegistroEntradas[[#This Row],[Data da Competência]]=TbRegistroEntradas[[#This Row],[Data do Caixa Previsto]],"Vista","Prazo")</f>
        <v>Prazo</v>
      </c>
      <c r="Q6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8" spans="2:17" x14ac:dyDescent="0.25">
      <c r="B68" s="14">
        <v>43146.225751185812</v>
      </c>
      <c r="C68" s="14">
        <v>43142</v>
      </c>
      <c r="D68" s="14">
        <v>43146.225751185812</v>
      </c>
      <c r="E68" t="s">
        <v>24</v>
      </c>
      <c r="F68" t="s">
        <v>32</v>
      </c>
      <c r="G68" t="s">
        <v>130</v>
      </c>
      <c r="H68" s="17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 s="48">
        <f>IF(TbRegistroEntradas[[#This Row],[Data do Caixa Previsto]]="",0,MONTH(TbRegistroEntradas[[#This Row],[Data do Caixa Previsto]]))</f>
        <v>2</v>
      </c>
      <c r="N68" s="48">
        <f>IF(TbRegistroEntradas[[#This Row],[Data do Caixa Previsto]]="",0,YEAR(TbRegistroEntradas[[#This Row],[Data do Caixa Previsto]]))</f>
        <v>2018</v>
      </c>
      <c r="O68" s="48" t="str">
        <f ca="1">IF(AND(TbRegistroEntradas[[#This Row],[Data do Caixa Previsto]]&lt;TODAY(),TbRegistroEntradas[[#This Row],[Data do Caixa Realizado]]=""),"Vencida","Não Vencida")</f>
        <v>Não Vencida</v>
      </c>
      <c r="P68" s="48" t="str">
        <f>IF(TbRegistroEntradas[[#This Row],[Data da Competência]]=TbRegistroEntradas[[#This Row],[Data do Caixa Previsto]],"Vista","Prazo")</f>
        <v>Prazo</v>
      </c>
      <c r="Q6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69" spans="2:17" x14ac:dyDescent="0.25">
      <c r="B69" s="14">
        <v>43193.467827275977</v>
      </c>
      <c r="C69" s="14">
        <v>43148</v>
      </c>
      <c r="D69" s="14">
        <v>43193.467827275977</v>
      </c>
      <c r="E69" t="s">
        <v>24</v>
      </c>
      <c r="F69" t="s">
        <v>33</v>
      </c>
      <c r="G69" t="s">
        <v>131</v>
      </c>
      <c r="H69" s="17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 s="48">
        <f>IF(TbRegistroEntradas[[#This Row],[Data do Caixa Previsto]]="",0,MONTH(TbRegistroEntradas[[#This Row],[Data do Caixa Previsto]]))</f>
        <v>4</v>
      </c>
      <c r="N69" s="48">
        <f>IF(TbRegistroEntradas[[#This Row],[Data do Caixa Previsto]]="",0,YEAR(TbRegistroEntradas[[#This Row],[Data do Caixa Previsto]]))</f>
        <v>2018</v>
      </c>
      <c r="O69" s="48" t="str">
        <f ca="1">IF(AND(TbRegistroEntradas[[#This Row],[Data do Caixa Previsto]]&lt;TODAY(),TbRegistroEntradas[[#This Row],[Data do Caixa Realizado]]=""),"Vencida","Não Vencida")</f>
        <v>Não Vencida</v>
      </c>
      <c r="P69" s="48" t="str">
        <f>IF(TbRegistroEntradas[[#This Row],[Data da Competência]]=TbRegistroEntradas[[#This Row],[Data do Caixa Previsto]],"Vista","Prazo")</f>
        <v>Prazo</v>
      </c>
      <c r="Q6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0" spans="2:17" x14ac:dyDescent="0.25">
      <c r="B70" s="14">
        <v>43193.409618971542</v>
      </c>
      <c r="C70" s="14">
        <v>43151</v>
      </c>
      <c r="D70" s="14">
        <v>43193.409618971542</v>
      </c>
      <c r="E70" t="s">
        <v>24</v>
      </c>
      <c r="F70" t="s">
        <v>33</v>
      </c>
      <c r="G70" t="s">
        <v>132</v>
      </c>
      <c r="H70" s="17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 s="48">
        <f>IF(TbRegistroEntradas[[#This Row],[Data do Caixa Previsto]]="",0,MONTH(TbRegistroEntradas[[#This Row],[Data do Caixa Previsto]]))</f>
        <v>4</v>
      </c>
      <c r="N70" s="48">
        <f>IF(TbRegistroEntradas[[#This Row],[Data do Caixa Previsto]]="",0,YEAR(TbRegistroEntradas[[#This Row],[Data do Caixa Previsto]]))</f>
        <v>2018</v>
      </c>
      <c r="O70" s="48" t="str">
        <f ca="1">IF(AND(TbRegistroEntradas[[#This Row],[Data do Caixa Previsto]]&lt;TODAY(),TbRegistroEntradas[[#This Row],[Data do Caixa Realizado]]=""),"Vencida","Não Vencida")</f>
        <v>Não Vencida</v>
      </c>
      <c r="P70" s="48" t="str">
        <f>IF(TbRegistroEntradas[[#This Row],[Data da Competência]]=TbRegistroEntradas[[#This Row],[Data do Caixa Previsto]],"Vista","Prazo")</f>
        <v>Prazo</v>
      </c>
      <c r="Q7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1" spans="2:17" x14ac:dyDescent="0.25">
      <c r="B71" s="14">
        <v>43261.17512133922</v>
      </c>
      <c r="C71" s="14">
        <v>43154</v>
      </c>
      <c r="D71" s="14">
        <v>43180.340377186512</v>
      </c>
      <c r="E71" t="s">
        <v>24</v>
      </c>
      <c r="F71" t="s">
        <v>34</v>
      </c>
      <c r="G71" t="s">
        <v>133</v>
      </c>
      <c r="H71" s="17">
        <v>4322</v>
      </c>
      <c r="I71">
        <f>IF(TbRegistroEntradas[[#This Row],[Data do Caixa Realizado]]="",0,MONTH(TbRegistroEntradas[[#This Row],[Data do Caixa Realizado]]))</f>
        <v>6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 s="48">
        <f>IF(TbRegistroEntradas[[#This Row],[Data do Caixa Previsto]]="",0,MONTH(TbRegistroEntradas[[#This Row],[Data do Caixa Previsto]]))</f>
        <v>3</v>
      </c>
      <c r="N71" s="48">
        <f>IF(TbRegistroEntradas[[#This Row],[Data do Caixa Previsto]]="",0,YEAR(TbRegistroEntradas[[#This Row],[Data do Caixa Previsto]]))</f>
        <v>2018</v>
      </c>
      <c r="O71" s="48" t="str">
        <f ca="1">IF(AND(TbRegistroEntradas[[#This Row],[Data do Caixa Previsto]]&lt;TODAY(),TbRegistroEntradas[[#This Row],[Data do Caixa Realizado]]=""),"Vencida","Não Vencida")</f>
        <v>Não Vencida</v>
      </c>
      <c r="P71" s="48" t="str">
        <f>IF(TbRegistroEntradas[[#This Row],[Data da Competência]]=TbRegistroEntradas[[#This Row],[Data do Caixa Previsto]],"Vista","Prazo")</f>
        <v>Prazo</v>
      </c>
      <c r="Q7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80.834744152707572</v>
      </c>
    </row>
    <row r="72" spans="2:17" x14ac:dyDescent="0.25">
      <c r="B72" s="14">
        <v>43253.722363167413</v>
      </c>
      <c r="C72" s="14">
        <v>43156</v>
      </c>
      <c r="D72" s="14">
        <v>43205.753397319932</v>
      </c>
      <c r="E72" t="s">
        <v>24</v>
      </c>
      <c r="F72" t="s">
        <v>32</v>
      </c>
      <c r="G72" t="s">
        <v>134</v>
      </c>
      <c r="H72" s="17">
        <v>3998</v>
      </c>
      <c r="I72">
        <f>IF(TbRegistroEntradas[[#This Row],[Data do Caixa Realizado]]="",0,MONTH(TbRegistroEntradas[[#This Row],[Data do Caixa Realizado]]))</f>
        <v>6</v>
      </c>
      <c r="J72">
        <f>IF(TbRegistroEntradas[[#This Row],[Data do Caixa Realizado]]="",0,YEAR(TbRegistroEntradas[[#This Row],[Data do Caixa Realizado]]))</f>
        <v>2018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 s="48">
        <f>IF(TbRegistroEntradas[[#This Row],[Data do Caixa Previsto]]="",0,MONTH(TbRegistroEntradas[[#This Row],[Data do Caixa Previsto]]))</f>
        <v>4</v>
      </c>
      <c r="N72" s="48">
        <f>IF(TbRegistroEntradas[[#This Row],[Data do Caixa Previsto]]="",0,YEAR(TbRegistroEntradas[[#This Row],[Data do Caixa Previsto]]))</f>
        <v>2018</v>
      </c>
      <c r="O72" s="48" t="str">
        <f ca="1">IF(AND(TbRegistroEntradas[[#This Row],[Data do Caixa Previsto]]&lt;TODAY(),TbRegistroEntradas[[#This Row],[Data do Caixa Realizado]]=""),"Vencida","Não Vencida")</f>
        <v>Não Vencida</v>
      </c>
      <c r="P72" s="48" t="str">
        <f>IF(TbRegistroEntradas[[#This Row],[Data da Competência]]=TbRegistroEntradas[[#This Row],[Data do Caixa Previsto]],"Vista","Prazo")</f>
        <v>Prazo</v>
      </c>
      <c r="Q7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47.968965847481741</v>
      </c>
    </row>
    <row r="73" spans="2:17" x14ac:dyDescent="0.25">
      <c r="B73" s="14">
        <v>43268.070563511268</v>
      </c>
      <c r="C73" s="14">
        <v>43158</v>
      </c>
      <c r="D73" s="14">
        <v>43188.829564949629</v>
      </c>
      <c r="E73" t="s">
        <v>24</v>
      </c>
      <c r="F73" t="s">
        <v>32</v>
      </c>
      <c r="G73" t="s">
        <v>135</v>
      </c>
      <c r="H73" s="17">
        <v>3252</v>
      </c>
      <c r="I73">
        <f>IF(TbRegistroEntradas[[#This Row],[Data do Caixa Realizado]]="",0,MONTH(TbRegistroEntradas[[#This Row],[Data do Caixa Realizado]]))</f>
        <v>6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 s="48">
        <f>IF(TbRegistroEntradas[[#This Row],[Data do Caixa Previsto]]="",0,MONTH(TbRegistroEntradas[[#This Row],[Data do Caixa Previsto]]))</f>
        <v>3</v>
      </c>
      <c r="N73" s="48">
        <f>IF(TbRegistroEntradas[[#This Row],[Data do Caixa Previsto]]="",0,YEAR(TbRegistroEntradas[[#This Row],[Data do Caixa Previsto]]))</f>
        <v>2018</v>
      </c>
      <c r="O73" s="48" t="str">
        <f ca="1">IF(AND(TbRegistroEntradas[[#This Row],[Data do Caixa Previsto]]&lt;TODAY(),TbRegistroEntradas[[#This Row],[Data do Caixa Realizado]]=""),"Vencida","Não Vencida")</f>
        <v>Não Vencida</v>
      </c>
      <c r="P73" s="48" t="str">
        <f>IF(TbRegistroEntradas[[#This Row],[Data da Competência]]=TbRegistroEntradas[[#This Row],[Data do Caixa Previsto]],"Vista","Prazo")</f>
        <v>Prazo</v>
      </c>
      <c r="Q7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79.240998561639572</v>
      </c>
    </row>
    <row r="74" spans="2:17" x14ac:dyDescent="0.25">
      <c r="B74" s="14">
        <v>43169.443907551016</v>
      </c>
      <c r="C74" s="14">
        <v>43160</v>
      </c>
      <c r="D74" s="14">
        <v>43169.443907551016</v>
      </c>
      <c r="E74" t="s">
        <v>24</v>
      </c>
      <c r="F74" t="s">
        <v>33</v>
      </c>
      <c r="G74" t="s">
        <v>136</v>
      </c>
      <c r="H74" s="17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 s="48">
        <f>IF(TbRegistroEntradas[[#This Row],[Data do Caixa Previsto]]="",0,MONTH(TbRegistroEntradas[[#This Row],[Data do Caixa Previsto]]))</f>
        <v>3</v>
      </c>
      <c r="N74" s="48">
        <f>IF(TbRegistroEntradas[[#This Row],[Data do Caixa Previsto]]="",0,YEAR(TbRegistroEntradas[[#This Row],[Data do Caixa Previsto]]))</f>
        <v>2018</v>
      </c>
      <c r="O74" s="48" t="str">
        <f ca="1">IF(AND(TbRegistroEntradas[[#This Row],[Data do Caixa Previsto]]&lt;TODAY(),TbRegistroEntradas[[#This Row],[Data do Caixa Realizado]]=""),"Vencida","Não Vencida")</f>
        <v>Não Vencida</v>
      </c>
      <c r="P74" s="48" t="str">
        <f>IF(TbRegistroEntradas[[#This Row],[Data da Competência]]=TbRegistroEntradas[[#This Row],[Data do Caixa Previsto]],"Vista","Prazo")</f>
        <v>Prazo</v>
      </c>
      <c r="Q7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5" spans="2:17" x14ac:dyDescent="0.25">
      <c r="B75" s="14">
        <v>43202.812742183109</v>
      </c>
      <c r="C75" s="14">
        <v>43162</v>
      </c>
      <c r="D75" s="14">
        <v>43202.812742183109</v>
      </c>
      <c r="E75" t="s">
        <v>24</v>
      </c>
      <c r="F75" t="s">
        <v>35</v>
      </c>
      <c r="G75" t="s">
        <v>137</v>
      </c>
      <c r="H75" s="17">
        <v>1977</v>
      </c>
      <c r="I75">
        <f>IF(TbRegistroEntradas[[#This Row],[Data do Caixa Realizado]]="",0,MONTH(TbRegistroEntradas[[#This Row],[Data do Caixa Realizado]]))</f>
        <v>4</v>
      </c>
      <c r="J75">
        <f>IF(TbRegistroEntradas[[#This Row],[Data do Caixa Realizado]]="",0,YEAR(TbRegistroEntradas[[#This Row],[Data do Caixa Realizado]]))</f>
        <v>2018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 s="48">
        <f>IF(TbRegistroEntradas[[#This Row],[Data do Caixa Previsto]]="",0,MONTH(TbRegistroEntradas[[#This Row],[Data do Caixa Previsto]]))</f>
        <v>4</v>
      </c>
      <c r="N75" s="48">
        <f>IF(TbRegistroEntradas[[#This Row],[Data do Caixa Previsto]]="",0,YEAR(TbRegistroEntradas[[#This Row],[Data do Caixa Previsto]]))</f>
        <v>2018</v>
      </c>
      <c r="O75" s="48" t="str">
        <f ca="1">IF(AND(TbRegistroEntradas[[#This Row],[Data do Caixa Previsto]]&lt;TODAY(),TbRegistroEntradas[[#This Row],[Data do Caixa Realizado]]=""),"Vencida","Não Vencida")</f>
        <v>Não Vencida</v>
      </c>
      <c r="P75" s="48" t="str">
        <f>IF(TbRegistroEntradas[[#This Row],[Data da Competência]]=TbRegistroEntradas[[#This Row],[Data do Caixa Previsto]],"Vista","Prazo")</f>
        <v>Prazo</v>
      </c>
      <c r="Q7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6" spans="2:17" x14ac:dyDescent="0.25">
      <c r="B76" s="14">
        <v>43277.69194849013</v>
      </c>
      <c r="C76" s="14">
        <v>43163</v>
      </c>
      <c r="D76" s="14">
        <v>43211.113627447019</v>
      </c>
      <c r="E76" t="s">
        <v>24</v>
      </c>
      <c r="F76" t="s">
        <v>33</v>
      </c>
      <c r="G76" t="s">
        <v>138</v>
      </c>
      <c r="H76" s="17">
        <v>1217</v>
      </c>
      <c r="I76">
        <f>IF(TbRegistroEntradas[[#This Row],[Data do Caixa Realizado]]="",0,MONTH(TbRegistroEntradas[[#This Row],[Data do Caixa Realizado]]))</f>
        <v>6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 s="48">
        <f>IF(TbRegistroEntradas[[#This Row],[Data do Caixa Previsto]]="",0,MONTH(TbRegistroEntradas[[#This Row],[Data do Caixa Previsto]]))</f>
        <v>4</v>
      </c>
      <c r="N76" s="48">
        <f>IF(TbRegistroEntradas[[#This Row],[Data do Caixa Previsto]]="",0,YEAR(TbRegistroEntradas[[#This Row],[Data do Caixa Previsto]]))</f>
        <v>2018</v>
      </c>
      <c r="O76" s="48" t="str">
        <f ca="1">IF(AND(TbRegistroEntradas[[#This Row],[Data do Caixa Previsto]]&lt;TODAY(),TbRegistroEntradas[[#This Row],[Data do Caixa Realizado]]=""),"Vencida","Não Vencida")</f>
        <v>Não Vencida</v>
      </c>
      <c r="P76" s="48" t="str">
        <f>IF(TbRegistroEntradas[[#This Row],[Data da Competência]]=TbRegistroEntradas[[#This Row],[Data do Caixa Previsto]],"Vista","Prazo")</f>
        <v>Prazo</v>
      </c>
      <c r="Q7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66.578321043110918</v>
      </c>
    </row>
    <row r="77" spans="2:17" x14ac:dyDescent="0.25">
      <c r="B77" s="14">
        <v>43283.817447549081</v>
      </c>
      <c r="C77" s="14">
        <v>43166</v>
      </c>
      <c r="D77" s="14">
        <v>43203.174471123319</v>
      </c>
      <c r="E77" t="s">
        <v>24</v>
      </c>
      <c r="F77" t="s">
        <v>31</v>
      </c>
      <c r="G77" t="s">
        <v>139</v>
      </c>
      <c r="H77" s="17">
        <v>1660</v>
      </c>
      <c r="I77">
        <f>IF(TbRegistroEntradas[[#This Row],[Data do Caixa Realizado]]="",0,MONTH(TbRegistroEntradas[[#This Row],[Data do Caixa Realizado]]))</f>
        <v>7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 s="48">
        <f>IF(TbRegistroEntradas[[#This Row],[Data do Caixa Previsto]]="",0,MONTH(TbRegistroEntradas[[#This Row],[Data do Caixa Previsto]]))</f>
        <v>4</v>
      </c>
      <c r="N77" s="48">
        <f>IF(TbRegistroEntradas[[#This Row],[Data do Caixa Previsto]]="",0,YEAR(TbRegistroEntradas[[#This Row],[Data do Caixa Previsto]]))</f>
        <v>2018</v>
      </c>
      <c r="O77" s="48" t="str">
        <f ca="1">IF(AND(TbRegistroEntradas[[#This Row],[Data do Caixa Previsto]]&lt;TODAY(),TbRegistroEntradas[[#This Row],[Data do Caixa Realizado]]=""),"Vencida","Não Vencida")</f>
        <v>Não Vencida</v>
      </c>
      <c r="P77" s="48" t="str">
        <f>IF(TbRegistroEntradas[[#This Row],[Data da Competência]]=TbRegistroEntradas[[#This Row],[Data do Caixa Previsto]],"Vista","Prazo")</f>
        <v>Prazo</v>
      </c>
      <c r="Q7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80.642976425762754</v>
      </c>
    </row>
    <row r="78" spans="2:17" x14ac:dyDescent="0.25">
      <c r="B78" s="14">
        <v>43184.083980960655</v>
      </c>
      <c r="C78" s="14">
        <v>43169</v>
      </c>
      <c r="D78" s="14">
        <v>43184.083980960655</v>
      </c>
      <c r="E78" t="s">
        <v>24</v>
      </c>
      <c r="F78" t="s">
        <v>31</v>
      </c>
      <c r="G78" t="s">
        <v>140</v>
      </c>
      <c r="H78" s="17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 s="48">
        <f>IF(TbRegistroEntradas[[#This Row],[Data do Caixa Previsto]]="",0,MONTH(TbRegistroEntradas[[#This Row],[Data do Caixa Previsto]]))</f>
        <v>3</v>
      </c>
      <c r="N78" s="48">
        <f>IF(TbRegistroEntradas[[#This Row],[Data do Caixa Previsto]]="",0,YEAR(TbRegistroEntradas[[#This Row],[Data do Caixa Previsto]]))</f>
        <v>2018</v>
      </c>
      <c r="O78" s="48" t="str">
        <f ca="1">IF(AND(TbRegistroEntradas[[#This Row],[Data do Caixa Previsto]]&lt;TODAY(),TbRegistroEntradas[[#This Row],[Data do Caixa Realizado]]=""),"Vencida","Não Vencida")</f>
        <v>Não Vencida</v>
      </c>
      <c r="P78" s="48" t="str">
        <f>IF(TbRegistroEntradas[[#This Row],[Data da Competência]]=TbRegistroEntradas[[#This Row],[Data do Caixa Previsto]],"Vista","Prazo")</f>
        <v>Prazo</v>
      </c>
      <c r="Q7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79" spans="2:17" x14ac:dyDescent="0.25">
      <c r="B79" s="14">
        <v>43200.147034627953</v>
      </c>
      <c r="C79" s="14">
        <v>43171</v>
      </c>
      <c r="D79" s="14">
        <v>43200.147034627953</v>
      </c>
      <c r="E79" t="s">
        <v>24</v>
      </c>
      <c r="F79" t="s">
        <v>34</v>
      </c>
      <c r="G79" t="s">
        <v>141</v>
      </c>
      <c r="H79" s="17">
        <v>1838</v>
      </c>
      <c r="I79">
        <f>IF(TbRegistroEntradas[[#This Row],[Data do Caixa Realizado]]="",0,MONTH(TbRegistroEntradas[[#This Row],[Data do Caixa Realizado]]))</f>
        <v>4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 s="48">
        <f>IF(TbRegistroEntradas[[#This Row],[Data do Caixa Previsto]]="",0,MONTH(TbRegistroEntradas[[#This Row],[Data do Caixa Previsto]]))</f>
        <v>4</v>
      </c>
      <c r="N79" s="48">
        <f>IF(TbRegistroEntradas[[#This Row],[Data do Caixa Previsto]]="",0,YEAR(TbRegistroEntradas[[#This Row],[Data do Caixa Previsto]]))</f>
        <v>2018</v>
      </c>
      <c r="O79" s="48" t="str">
        <f ca="1">IF(AND(TbRegistroEntradas[[#This Row],[Data do Caixa Previsto]]&lt;TODAY(),TbRegistroEntradas[[#This Row],[Data do Caixa Realizado]]=""),"Vencida","Não Vencida")</f>
        <v>Não Vencida</v>
      </c>
      <c r="P79" s="48" t="str">
        <f>IF(TbRegistroEntradas[[#This Row],[Data da Competência]]=TbRegistroEntradas[[#This Row],[Data do Caixa Previsto]],"Vista","Prazo")</f>
        <v>Prazo</v>
      </c>
      <c r="Q7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0" spans="2:17" x14ac:dyDescent="0.25">
      <c r="B80" s="14">
        <v>43207.818228031581</v>
      </c>
      <c r="C80" s="14">
        <v>43176</v>
      </c>
      <c r="D80" s="14">
        <v>43207.818228031581</v>
      </c>
      <c r="E80" t="s">
        <v>24</v>
      </c>
      <c r="F80" t="s">
        <v>35</v>
      </c>
      <c r="G80" t="s">
        <v>142</v>
      </c>
      <c r="H80" s="17">
        <v>4471</v>
      </c>
      <c r="I80">
        <f>IF(TbRegistroEntradas[[#This Row],[Data do Caixa Realizado]]="",0,MONTH(TbRegistroEntradas[[#This Row],[Data do Caixa Realizado]]))</f>
        <v>4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 s="48">
        <f>IF(TbRegistroEntradas[[#This Row],[Data do Caixa Previsto]]="",0,MONTH(TbRegistroEntradas[[#This Row],[Data do Caixa Previsto]]))</f>
        <v>4</v>
      </c>
      <c r="N80" s="48">
        <f>IF(TbRegistroEntradas[[#This Row],[Data do Caixa Previsto]]="",0,YEAR(TbRegistroEntradas[[#This Row],[Data do Caixa Previsto]]))</f>
        <v>2018</v>
      </c>
      <c r="O80" s="48" t="str">
        <f ca="1">IF(AND(TbRegistroEntradas[[#This Row],[Data do Caixa Previsto]]&lt;TODAY(),TbRegistroEntradas[[#This Row],[Data do Caixa Realizado]]=""),"Vencida","Não Vencida")</f>
        <v>Não Vencida</v>
      </c>
      <c r="P80" s="48" t="str">
        <f>IF(TbRegistroEntradas[[#This Row],[Data da Competência]]=TbRegistroEntradas[[#This Row],[Data do Caixa Previsto]],"Vista","Prazo")</f>
        <v>Prazo</v>
      </c>
      <c r="Q8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1" spans="2:17" x14ac:dyDescent="0.25">
      <c r="B81" s="14">
        <v>43234.457970610572</v>
      </c>
      <c r="C81" s="14">
        <v>43177</v>
      </c>
      <c r="D81" s="14">
        <v>43234.457970610572</v>
      </c>
      <c r="E81" t="s">
        <v>24</v>
      </c>
      <c r="F81" t="s">
        <v>34</v>
      </c>
      <c r="G81" t="s">
        <v>143</v>
      </c>
      <c r="H81" s="17">
        <v>3540</v>
      </c>
      <c r="I81">
        <f>IF(TbRegistroEntradas[[#This Row],[Data do Caixa Realizado]]="",0,MONTH(TbRegistroEntradas[[#This Row],[Data do Caixa Realizado]]))</f>
        <v>5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 s="48">
        <f>IF(TbRegistroEntradas[[#This Row],[Data do Caixa Previsto]]="",0,MONTH(TbRegistroEntradas[[#This Row],[Data do Caixa Previsto]]))</f>
        <v>5</v>
      </c>
      <c r="N81" s="48">
        <f>IF(TbRegistroEntradas[[#This Row],[Data do Caixa Previsto]]="",0,YEAR(TbRegistroEntradas[[#This Row],[Data do Caixa Previsto]]))</f>
        <v>2018</v>
      </c>
      <c r="O81" s="48" t="str">
        <f ca="1">IF(AND(TbRegistroEntradas[[#This Row],[Data do Caixa Previsto]]&lt;TODAY(),TbRegistroEntradas[[#This Row],[Data do Caixa Realizado]]=""),"Vencida","Não Vencida")</f>
        <v>Não Vencida</v>
      </c>
      <c r="P81" s="48" t="str">
        <f>IF(TbRegistroEntradas[[#This Row],[Data da Competência]]=TbRegistroEntradas[[#This Row],[Data do Caixa Previsto]],"Vista","Prazo")</f>
        <v>Prazo</v>
      </c>
      <c r="Q8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2" spans="2:17" x14ac:dyDescent="0.25">
      <c r="B82" s="14">
        <v>43220.822063654756</v>
      </c>
      <c r="C82" s="14">
        <v>43180</v>
      </c>
      <c r="D82" s="14">
        <v>43220.822063654756</v>
      </c>
      <c r="E82" t="s">
        <v>24</v>
      </c>
      <c r="F82" t="s">
        <v>34</v>
      </c>
      <c r="G82" t="s">
        <v>144</v>
      </c>
      <c r="H82" s="17">
        <v>4606</v>
      </c>
      <c r="I82">
        <f>IF(TbRegistroEntradas[[#This Row],[Data do Caixa Realizado]]="",0,MONTH(TbRegistroEntradas[[#This Row],[Data do Caixa Realizado]]))</f>
        <v>4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 s="48">
        <f>IF(TbRegistroEntradas[[#This Row],[Data do Caixa Previsto]]="",0,MONTH(TbRegistroEntradas[[#This Row],[Data do Caixa Previsto]]))</f>
        <v>4</v>
      </c>
      <c r="N82" s="48">
        <f>IF(TbRegistroEntradas[[#This Row],[Data do Caixa Previsto]]="",0,YEAR(TbRegistroEntradas[[#This Row],[Data do Caixa Previsto]]))</f>
        <v>2018</v>
      </c>
      <c r="O82" s="48" t="str">
        <f ca="1">IF(AND(TbRegistroEntradas[[#This Row],[Data do Caixa Previsto]]&lt;TODAY(),TbRegistroEntradas[[#This Row],[Data do Caixa Realizado]]=""),"Vencida","Não Vencida")</f>
        <v>Não Vencida</v>
      </c>
      <c r="P82" s="48" t="str">
        <f>IF(TbRegistroEntradas[[#This Row],[Data da Competência]]=TbRegistroEntradas[[#This Row],[Data do Caixa Previsto]],"Vista","Prazo")</f>
        <v>Prazo</v>
      </c>
      <c r="Q8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3" spans="2:17" x14ac:dyDescent="0.25">
      <c r="B83" s="14" t="s">
        <v>74</v>
      </c>
      <c r="C83" s="14">
        <v>43182</v>
      </c>
      <c r="D83" s="14">
        <v>43199.063059084292</v>
      </c>
      <c r="E83" t="s">
        <v>24</v>
      </c>
      <c r="F83" t="s">
        <v>32</v>
      </c>
      <c r="G83" t="s">
        <v>145</v>
      </c>
      <c r="H83" s="17">
        <v>2388</v>
      </c>
      <c r="I83">
        <f>IF(TbRegistroEntradas[[#This Row],[Data do Caixa Realizado]]="",0,MONTH(TbRegistroEntradas[[#This Row],[Data do Caixa Realizado]]))</f>
        <v>0</v>
      </c>
      <c r="J83">
        <f>IF(TbRegistroEntradas[[#This Row],[Data do Caixa Realizado]]="",0,YEAR(TbRegistroEntradas[[#This Row],[Data do Caixa Realizado]]))</f>
        <v>0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 s="48">
        <f>IF(TbRegistroEntradas[[#This Row],[Data do Caixa Previsto]]="",0,MONTH(TbRegistroEntradas[[#This Row],[Data do Caixa Previsto]]))</f>
        <v>4</v>
      </c>
      <c r="N83" s="48">
        <f>IF(TbRegistroEntradas[[#This Row],[Data do Caixa Previsto]]="",0,YEAR(TbRegistroEntradas[[#This Row],[Data do Caixa Previsto]]))</f>
        <v>2018</v>
      </c>
      <c r="O83" s="48" t="str">
        <f ca="1">IF(AND(TbRegistroEntradas[[#This Row],[Data do Caixa Previsto]]&lt;TODAY(),TbRegistroEntradas[[#This Row],[Data do Caixa Realizado]]=""),"Vencida","Não Vencida")</f>
        <v>Vencida</v>
      </c>
      <c r="P83" s="48" t="str">
        <f>IF(TbRegistroEntradas[[#This Row],[Data da Competência]]=TbRegistroEntradas[[#This Row],[Data do Caixa Previsto]],"Vista","Prazo")</f>
        <v>Prazo</v>
      </c>
      <c r="Q8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2616.936940915708</v>
      </c>
    </row>
    <row r="84" spans="2:17" x14ac:dyDescent="0.25">
      <c r="B84" s="14">
        <v>43187.544050679455</v>
      </c>
      <c r="C84" s="14">
        <v>43184</v>
      </c>
      <c r="D84" s="14">
        <v>43187.544050679455</v>
      </c>
      <c r="E84" t="s">
        <v>24</v>
      </c>
      <c r="F84" t="s">
        <v>31</v>
      </c>
      <c r="G84" t="s">
        <v>146</v>
      </c>
      <c r="H84" s="17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 s="48">
        <f>IF(TbRegistroEntradas[[#This Row],[Data do Caixa Previsto]]="",0,MONTH(TbRegistroEntradas[[#This Row],[Data do Caixa Previsto]]))</f>
        <v>3</v>
      </c>
      <c r="N84" s="48">
        <f>IF(TbRegistroEntradas[[#This Row],[Data do Caixa Previsto]]="",0,YEAR(TbRegistroEntradas[[#This Row],[Data do Caixa Previsto]]))</f>
        <v>2018</v>
      </c>
      <c r="O84" s="48" t="str">
        <f ca="1">IF(AND(TbRegistroEntradas[[#This Row],[Data do Caixa Previsto]]&lt;TODAY(),TbRegistroEntradas[[#This Row],[Data do Caixa Realizado]]=""),"Vencida","Não Vencida")</f>
        <v>Não Vencida</v>
      </c>
      <c r="P84" s="48" t="str">
        <f>IF(TbRegistroEntradas[[#This Row],[Data da Competência]]=TbRegistroEntradas[[#This Row],[Data do Caixa Previsto]],"Vista","Prazo")</f>
        <v>Prazo</v>
      </c>
      <c r="Q8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5" spans="2:17" x14ac:dyDescent="0.25">
      <c r="B85" s="14">
        <v>43205.258677559352</v>
      </c>
      <c r="C85" s="14">
        <v>43187</v>
      </c>
      <c r="D85" s="14">
        <v>43205.258677559352</v>
      </c>
      <c r="E85" t="s">
        <v>24</v>
      </c>
      <c r="F85" t="s">
        <v>35</v>
      </c>
      <c r="G85" t="s">
        <v>147</v>
      </c>
      <c r="H85" s="17">
        <v>1662</v>
      </c>
      <c r="I85">
        <f>IF(TbRegistroEntradas[[#This Row],[Data do Caixa Realizado]]="",0,MONTH(TbRegistroEntradas[[#This Row],[Data do Caixa Realizado]]))</f>
        <v>4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 s="48">
        <f>IF(TbRegistroEntradas[[#This Row],[Data do Caixa Previsto]]="",0,MONTH(TbRegistroEntradas[[#This Row],[Data do Caixa Previsto]]))</f>
        <v>4</v>
      </c>
      <c r="N85" s="48">
        <f>IF(TbRegistroEntradas[[#This Row],[Data do Caixa Previsto]]="",0,YEAR(TbRegistroEntradas[[#This Row],[Data do Caixa Previsto]]))</f>
        <v>2018</v>
      </c>
      <c r="O85" s="48" t="str">
        <f ca="1">IF(AND(TbRegistroEntradas[[#This Row],[Data do Caixa Previsto]]&lt;TODAY(),TbRegistroEntradas[[#This Row],[Data do Caixa Realizado]]=""),"Vencida","Não Vencida")</f>
        <v>Não Vencida</v>
      </c>
      <c r="P85" s="48" t="str">
        <f>IF(TbRegistroEntradas[[#This Row],[Data da Competência]]=TbRegistroEntradas[[#This Row],[Data do Caixa Previsto]],"Vista","Prazo")</f>
        <v>Prazo</v>
      </c>
      <c r="Q8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6" spans="2:17" x14ac:dyDescent="0.25">
      <c r="B86" s="14">
        <v>43228.479640925485</v>
      </c>
      <c r="C86" s="14">
        <v>43189</v>
      </c>
      <c r="D86" s="14">
        <v>43228.479640925485</v>
      </c>
      <c r="E86" t="s">
        <v>24</v>
      </c>
      <c r="F86" t="s">
        <v>32</v>
      </c>
      <c r="G86" t="s">
        <v>148</v>
      </c>
      <c r="H86" s="17">
        <v>3241</v>
      </c>
      <c r="I86">
        <f>IF(TbRegistroEntradas[[#This Row],[Data do Caixa Realizado]]="",0,MONTH(TbRegistroEntradas[[#This Row],[Data do Caixa Realizado]]))</f>
        <v>5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 s="48">
        <f>IF(TbRegistroEntradas[[#This Row],[Data do Caixa Previsto]]="",0,MONTH(TbRegistroEntradas[[#This Row],[Data do Caixa Previsto]]))</f>
        <v>5</v>
      </c>
      <c r="N86" s="48">
        <f>IF(TbRegistroEntradas[[#This Row],[Data do Caixa Previsto]]="",0,YEAR(TbRegistroEntradas[[#This Row],[Data do Caixa Previsto]]))</f>
        <v>2018</v>
      </c>
      <c r="O86" s="48" t="str">
        <f ca="1">IF(AND(TbRegistroEntradas[[#This Row],[Data do Caixa Previsto]]&lt;TODAY(),TbRegistroEntradas[[#This Row],[Data do Caixa Realizado]]=""),"Vencida","Não Vencida")</f>
        <v>Não Vencida</v>
      </c>
      <c r="P86" s="48" t="str">
        <f>IF(TbRegistroEntradas[[#This Row],[Data da Competência]]=TbRegistroEntradas[[#This Row],[Data do Caixa Previsto]],"Vista","Prazo")</f>
        <v>Prazo</v>
      </c>
      <c r="Q8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7" spans="2:17" x14ac:dyDescent="0.25">
      <c r="B87" s="14">
        <v>43228.526498585612</v>
      </c>
      <c r="C87" s="14">
        <v>43190</v>
      </c>
      <c r="D87" s="14">
        <v>43228.526498585612</v>
      </c>
      <c r="E87" t="s">
        <v>24</v>
      </c>
      <c r="F87" t="s">
        <v>35</v>
      </c>
      <c r="G87" t="s">
        <v>149</v>
      </c>
      <c r="H87" s="17">
        <v>4017</v>
      </c>
      <c r="I87">
        <f>IF(TbRegistroEntradas[[#This Row],[Data do Caixa Realizado]]="",0,MONTH(TbRegistroEntradas[[#This Row],[Data do Caixa Realizado]]))</f>
        <v>5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 s="48">
        <f>IF(TbRegistroEntradas[[#This Row],[Data do Caixa Previsto]]="",0,MONTH(TbRegistroEntradas[[#This Row],[Data do Caixa Previsto]]))</f>
        <v>5</v>
      </c>
      <c r="N87" s="48">
        <f>IF(TbRegistroEntradas[[#This Row],[Data do Caixa Previsto]]="",0,YEAR(TbRegistroEntradas[[#This Row],[Data do Caixa Previsto]]))</f>
        <v>2018</v>
      </c>
      <c r="O87" s="48" t="str">
        <f ca="1">IF(AND(TbRegistroEntradas[[#This Row],[Data do Caixa Previsto]]&lt;TODAY(),TbRegistroEntradas[[#This Row],[Data do Caixa Realizado]]=""),"Vencida","Não Vencida")</f>
        <v>Não Vencida</v>
      </c>
      <c r="P87" s="48" t="str">
        <f>IF(TbRegistroEntradas[[#This Row],[Data da Competência]]=TbRegistroEntradas[[#This Row],[Data do Caixa Previsto]],"Vista","Prazo")</f>
        <v>Prazo</v>
      </c>
      <c r="Q8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88" spans="2:17" x14ac:dyDescent="0.25">
      <c r="B88" s="14">
        <v>43289.577504759094</v>
      </c>
      <c r="C88" s="14">
        <v>43193</v>
      </c>
      <c r="D88" s="14">
        <v>43251.952991180231</v>
      </c>
      <c r="E88" t="s">
        <v>24</v>
      </c>
      <c r="F88" t="s">
        <v>34</v>
      </c>
      <c r="G88" t="s">
        <v>150</v>
      </c>
      <c r="H88" s="17">
        <v>3586</v>
      </c>
      <c r="I88">
        <f>IF(TbRegistroEntradas[[#This Row],[Data do Caixa Realizado]]="",0,MONTH(TbRegistroEntradas[[#This Row],[Data do Caixa Realizado]]))</f>
        <v>7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 s="48">
        <f>IF(TbRegistroEntradas[[#This Row],[Data do Caixa Previsto]]="",0,MONTH(TbRegistroEntradas[[#This Row],[Data do Caixa Previsto]]))</f>
        <v>5</v>
      </c>
      <c r="N88" s="48">
        <f>IF(TbRegistroEntradas[[#This Row],[Data do Caixa Previsto]]="",0,YEAR(TbRegistroEntradas[[#This Row],[Data do Caixa Previsto]]))</f>
        <v>2018</v>
      </c>
      <c r="O88" s="48" t="str">
        <f ca="1">IF(AND(TbRegistroEntradas[[#This Row],[Data do Caixa Previsto]]&lt;TODAY(),TbRegistroEntradas[[#This Row],[Data do Caixa Realizado]]=""),"Vencida","Não Vencida")</f>
        <v>Não Vencida</v>
      </c>
      <c r="P88" s="48" t="str">
        <f>IF(TbRegistroEntradas[[#This Row],[Data da Competência]]=TbRegistroEntradas[[#This Row],[Data do Caixa Previsto]],"Vista","Prazo")</f>
        <v>Prazo</v>
      </c>
      <c r="Q8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37.624513578863116</v>
      </c>
    </row>
    <row r="89" spans="2:17" x14ac:dyDescent="0.25">
      <c r="B89" s="14">
        <v>43221.091190775791</v>
      </c>
      <c r="C89" s="14">
        <v>43196</v>
      </c>
      <c r="D89" s="14">
        <v>43221.091190775791</v>
      </c>
      <c r="E89" t="s">
        <v>24</v>
      </c>
      <c r="F89" t="s">
        <v>32</v>
      </c>
      <c r="G89" t="s">
        <v>151</v>
      </c>
      <c r="H89" s="17">
        <v>4467</v>
      </c>
      <c r="I89">
        <f>IF(TbRegistroEntradas[[#This Row],[Data do Caixa Realizado]]="",0,MONTH(TbRegistroEntradas[[#This Row],[Data do Caixa Realizado]]))</f>
        <v>5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 s="48">
        <f>IF(TbRegistroEntradas[[#This Row],[Data do Caixa Previsto]]="",0,MONTH(TbRegistroEntradas[[#This Row],[Data do Caixa Previsto]]))</f>
        <v>5</v>
      </c>
      <c r="N89" s="48">
        <f>IF(TbRegistroEntradas[[#This Row],[Data do Caixa Previsto]]="",0,YEAR(TbRegistroEntradas[[#This Row],[Data do Caixa Previsto]]))</f>
        <v>2018</v>
      </c>
      <c r="O89" s="48" t="str">
        <f ca="1">IF(AND(TbRegistroEntradas[[#This Row],[Data do Caixa Previsto]]&lt;TODAY(),TbRegistroEntradas[[#This Row],[Data do Caixa Realizado]]=""),"Vencida","Não Vencida")</f>
        <v>Não Vencida</v>
      </c>
      <c r="P89" s="48" t="str">
        <f>IF(TbRegistroEntradas[[#This Row],[Data da Competência]]=TbRegistroEntradas[[#This Row],[Data do Caixa Previsto]],"Vista","Prazo")</f>
        <v>Prazo</v>
      </c>
      <c r="Q8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0" spans="2:17" x14ac:dyDescent="0.25">
      <c r="B90" s="14">
        <v>43251.171133907985</v>
      </c>
      <c r="C90" s="14">
        <v>43199</v>
      </c>
      <c r="D90" s="14">
        <v>43251.171133907985</v>
      </c>
      <c r="E90" t="s">
        <v>24</v>
      </c>
      <c r="F90" t="s">
        <v>34</v>
      </c>
      <c r="G90" t="s">
        <v>152</v>
      </c>
      <c r="H90" s="17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 s="48">
        <f>IF(TbRegistroEntradas[[#This Row],[Data do Caixa Previsto]]="",0,MONTH(TbRegistroEntradas[[#This Row],[Data do Caixa Previsto]]))</f>
        <v>5</v>
      </c>
      <c r="N90" s="48">
        <f>IF(TbRegistroEntradas[[#This Row],[Data do Caixa Previsto]]="",0,YEAR(TbRegistroEntradas[[#This Row],[Data do Caixa Previsto]]))</f>
        <v>2018</v>
      </c>
      <c r="O90" s="48" t="str">
        <f ca="1">IF(AND(TbRegistroEntradas[[#This Row],[Data do Caixa Previsto]]&lt;TODAY(),TbRegistroEntradas[[#This Row],[Data do Caixa Realizado]]=""),"Vencida","Não Vencida")</f>
        <v>Não Vencida</v>
      </c>
      <c r="P90" s="48" t="str">
        <f>IF(TbRegistroEntradas[[#This Row],[Data da Competência]]=TbRegistroEntradas[[#This Row],[Data do Caixa Previsto]],"Vista","Prazo")</f>
        <v>Prazo</v>
      </c>
      <c r="Q9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1" spans="2:17" x14ac:dyDescent="0.25">
      <c r="B91" s="14">
        <v>43264.89293629631</v>
      </c>
      <c r="C91" s="14">
        <v>43201</v>
      </c>
      <c r="D91" s="14">
        <v>43260.535750034454</v>
      </c>
      <c r="E91" t="s">
        <v>24</v>
      </c>
      <c r="F91" t="s">
        <v>34</v>
      </c>
      <c r="G91" t="s">
        <v>153</v>
      </c>
      <c r="H91" s="17">
        <v>2593</v>
      </c>
      <c r="I91">
        <f>IF(TbRegistroEntradas[[#This Row],[Data do Caixa Realizado]]="",0,MONTH(TbRegistroEntradas[[#This Row],[Data do Caixa Realizado]]))</f>
        <v>6</v>
      </c>
      <c r="J91">
        <f>IF(TbRegistroEntradas[[#This Row],[Data do Caixa Realizado]]="",0,YEAR(TbRegistroEntradas[[#This Row],[Data do Caixa Realizado]]))</f>
        <v>2018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 s="48">
        <f>IF(TbRegistroEntradas[[#This Row],[Data do Caixa Previsto]]="",0,MONTH(TbRegistroEntradas[[#This Row],[Data do Caixa Previsto]]))</f>
        <v>6</v>
      </c>
      <c r="N91" s="48">
        <f>IF(TbRegistroEntradas[[#This Row],[Data do Caixa Previsto]]="",0,YEAR(TbRegistroEntradas[[#This Row],[Data do Caixa Previsto]]))</f>
        <v>2018</v>
      </c>
      <c r="O91" s="48" t="str">
        <f ca="1">IF(AND(TbRegistroEntradas[[#This Row],[Data do Caixa Previsto]]&lt;TODAY(),TbRegistroEntradas[[#This Row],[Data do Caixa Realizado]]=""),"Vencida","Não Vencida")</f>
        <v>Não Vencida</v>
      </c>
      <c r="P91" s="48" t="str">
        <f>IF(TbRegistroEntradas[[#This Row],[Data da Competência]]=TbRegistroEntradas[[#This Row],[Data do Caixa Previsto]],"Vista","Prazo")</f>
        <v>Prazo</v>
      </c>
      <c r="Q9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4.3571862618555315</v>
      </c>
    </row>
    <row r="92" spans="2:17" x14ac:dyDescent="0.25">
      <c r="B92" s="14">
        <v>43224.851474146271</v>
      </c>
      <c r="C92" s="14">
        <v>43204</v>
      </c>
      <c r="D92" s="14">
        <v>43224.851474146271</v>
      </c>
      <c r="E92" t="s">
        <v>24</v>
      </c>
      <c r="F92" t="s">
        <v>34</v>
      </c>
      <c r="G92" t="s">
        <v>154</v>
      </c>
      <c r="H92" s="17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 s="48">
        <f>IF(TbRegistroEntradas[[#This Row],[Data do Caixa Previsto]]="",0,MONTH(TbRegistroEntradas[[#This Row],[Data do Caixa Previsto]]))</f>
        <v>5</v>
      </c>
      <c r="N92" s="48">
        <f>IF(TbRegistroEntradas[[#This Row],[Data do Caixa Previsto]]="",0,YEAR(TbRegistroEntradas[[#This Row],[Data do Caixa Previsto]]))</f>
        <v>2018</v>
      </c>
      <c r="O92" s="48" t="str">
        <f ca="1">IF(AND(TbRegistroEntradas[[#This Row],[Data do Caixa Previsto]]&lt;TODAY(),TbRegistroEntradas[[#This Row],[Data do Caixa Realizado]]=""),"Vencida","Não Vencida")</f>
        <v>Não Vencida</v>
      </c>
      <c r="P92" s="48" t="str">
        <f>IF(TbRegistroEntradas[[#This Row],[Data da Competência]]=TbRegistroEntradas[[#This Row],[Data do Caixa Previsto]],"Vista","Prazo")</f>
        <v>Prazo</v>
      </c>
      <c r="Q9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3" spans="2:17" x14ac:dyDescent="0.25">
      <c r="B93" s="14" t="s">
        <v>74</v>
      </c>
      <c r="C93" s="14">
        <v>43209</v>
      </c>
      <c r="D93" s="14">
        <v>43266.340119269124</v>
      </c>
      <c r="E93" t="s">
        <v>24</v>
      </c>
      <c r="F93" t="s">
        <v>34</v>
      </c>
      <c r="G93" t="s">
        <v>155</v>
      </c>
      <c r="H93" s="17">
        <v>2224</v>
      </c>
      <c r="I93">
        <f>IF(TbRegistroEntradas[[#This Row],[Data do Caixa Realizado]]="",0,MONTH(TbRegistroEntradas[[#This Row],[Data do Caixa Realizado]]))</f>
        <v>0</v>
      </c>
      <c r="J93">
        <f>IF(TbRegistroEntradas[[#This Row],[Data do Caixa Realizado]]="",0,YEAR(TbRegistroEntradas[[#This Row],[Data do Caixa Realizado]]))</f>
        <v>0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 s="48">
        <f>IF(TbRegistroEntradas[[#This Row],[Data do Caixa Previsto]]="",0,MONTH(TbRegistroEntradas[[#This Row],[Data do Caixa Previsto]]))</f>
        <v>6</v>
      </c>
      <c r="N93" s="48">
        <f>IF(TbRegistroEntradas[[#This Row],[Data do Caixa Previsto]]="",0,YEAR(TbRegistroEntradas[[#This Row],[Data do Caixa Previsto]]))</f>
        <v>2018</v>
      </c>
      <c r="O93" s="48" t="str">
        <f ca="1">IF(AND(TbRegistroEntradas[[#This Row],[Data do Caixa Previsto]]&lt;TODAY(),TbRegistroEntradas[[#This Row],[Data do Caixa Realizado]]=""),"Vencida","Não Vencida")</f>
        <v>Vencida</v>
      </c>
      <c r="P93" s="48" t="str">
        <f>IF(TbRegistroEntradas[[#This Row],[Data da Competência]]=TbRegistroEntradas[[#This Row],[Data do Caixa Previsto]],"Vista","Prazo")</f>
        <v>Prazo</v>
      </c>
      <c r="Q9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2549.6598807308765</v>
      </c>
    </row>
    <row r="94" spans="2:17" x14ac:dyDescent="0.25">
      <c r="B94" s="14">
        <v>43302.517348540277</v>
      </c>
      <c r="C94" s="14">
        <v>43213</v>
      </c>
      <c r="D94" s="14">
        <v>43234.087727619473</v>
      </c>
      <c r="E94" t="s">
        <v>24</v>
      </c>
      <c r="F94" t="s">
        <v>34</v>
      </c>
      <c r="G94" t="s">
        <v>156</v>
      </c>
      <c r="H94" s="17">
        <v>3223</v>
      </c>
      <c r="I94">
        <f>IF(TbRegistroEntradas[[#This Row],[Data do Caixa Realizado]]="",0,MONTH(TbRegistroEntradas[[#This Row],[Data do Caixa Realizado]]))</f>
        <v>7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 s="48">
        <f>IF(TbRegistroEntradas[[#This Row],[Data do Caixa Previsto]]="",0,MONTH(TbRegistroEntradas[[#This Row],[Data do Caixa Previsto]]))</f>
        <v>5</v>
      </c>
      <c r="N94" s="48">
        <f>IF(TbRegistroEntradas[[#This Row],[Data do Caixa Previsto]]="",0,YEAR(TbRegistroEntradas[[#This Row],[Data do Caixa Previsto]]))</f>
        <v>2018</v>
      </c>
      <c r="O94" s="48" t="str">
        <f ca="1">IF(AND(TbRegistroEntradas[[#This Row],[Data do Caixa Previsto]]&lt;TODAY(),TbRegistroEntradas[[#This Row],[Data do Caixa Realizado]]=""),"Vencida","Não Vencida")</f>
        <v>Não Vencida</v>
      </c>
      <c r="P94" s="48" t="str">
        <f>IF(TbRegistroEntradas[[#This Row],[Data da Competência]]=TbRegistroEntradas[[#This Row],[Data do Caixa Previsto]],"Vista","Prazo")</f>
        <v>Prazo</v>
      </c>
      <c r="Q9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68.429620920804155</v>
      </c>
    </row>
    <row r="95" spans="2:17" x14ac:dyDescent="0.25">
      <c r="B95" s="14">
        <v>43299.933065152305</v>
      </c>
      <c r="C95" s="14">
        <v>43216</v>
      </c>
      <c r="D95" s="14">
        <v>43265.015379904566</v>
      </c>
      <c r="E95" t="s">
        <v>24</v>
      </c>
      <c r="F95" t="s">
        <v>33</v>
      </c>
      <c r="G95" t="s">
        <v>157</v>
      </c>
      <c r="H95" s="17">
        <v>3446</v>
      </c>
      <c r="I95">
        <f>IF(TbRegistroEntradas[[#This Row],[Data do Caixa Realizado]]="",0,MONTH(TbRegistroEntradas[[#This Row],[Data do Caixa Realizado]]))</f>
        <v>7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 s="48">
        <f>IF(TbRegistroEntradas[[#This Row],[Data do Caixa Previsto]]="",0,MONTH(TbRegistroEntradas[[#This Row],[Data do Caixa Previsto]]))</f>
        <v>6</v>
      </c>
      <c r="N95" s="48">
        <f>IF(TbRegistroEntradas[[#This Row],[Data do Caixa Previsto]]="",0,YEAR(TbRegistroEntradas[[#This Row],[Data do Caixa Previsto]]))</f>
        <v>2018</v>
      </c>
      <c r="O95" s="48" t="str">
        <f ca="1">IF(AND(TbRegistroEntradas[[#This Row],[Data do Caixa Previsto]]&lt;TODAY(),TbRegistroEntradas[[#This Row],[Data do Caixa Realizado]]=""),"Vencida","Não Vencida")</f>
        <v>Não Vencida</v>
      </c>
      <c r="P95" s="48" t="str">
        <f>IF(TbRegistroEntradas[[#This Row],[Data da Competência]]=TbRegistroEntradas[[#This Row],[Data do Caixa Previsto]],"Vista","Prazo")</f>
        <v>Prazo</v>
      </c>
      <c r="Q9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34.917685247739428</v>
      </c>
    </row>
    <row r="96" spans="2:17" x14ac:dyDescent="0.25">
      <c r="B96" s="14">
        <v>43265.565544078599</v>
      </c>
      <c r="C96" s="14">
        <v>43220</v>
      </c>
      <c r="D96" s="14">
        <v>43265.565544078599</v>
      </c>
      <c r="E96" t="s">
        <v>24</v>
      </c>
      <c r="F96" t="s">
        <v>34</v>
      </c>
      <c r="G96" t="s">
        <v>158</v>
      </c>
      <c r="H96" s="17">
        <v>4540</v>
      </c>
      <c r="I96">
        <f>IF(TbRegistroEntradas[[#This Row],[Data do Caixa Realizado]]="",0,MONTH(TbRegistroEntradas[[#This Row],[Data do Caixa Realizado]]))</f>
        <v>6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 s="48">
        <f>IF(TbRegistroEntradas[[#This Row],[Data do Caixa Previsto]]="",0,MONTH(TbRegistroEntradas[[#This Row],[Data do Caixa Previsto]]))</f>
        <v>6</v>
      </c>
      <c r="N96" s="48">
        <f>IF(TbRegistroEntradas[[#This Row],[Data do Caixa Previsto]]="",0,YEAR(TbRegistroEntradas[[#This Row],[Data do Caixa Previsto]]))</f>
        <v>2018</v>
      </c>
      <c r="O96" s="48" t="str">
        <f ca="1">IF(AND(TbRegistroEntradas[[#This Row],[Data do Caixa Previsto]]&lt;TODAY(),TbRegistroEntradas[[#This Row],[Data do Caixa Realizado]]=""),"Vencida","Não Vencida")</f>
        <v>Não Vencida</v>
      </c>
      <c r="P96" s="48" t="str">
        <f>IF(TbRegistroEntradas[[#This Row],[Data da Competência]]=TbRegistroEntradas[[#This Row],[Data do Caixa Previsto]],"Vista","Prazo")</f>
        <v>Prazo</v>
      </c>
      <c r="Q9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7" spans="2:17" x14ac:dyDescent="0.25">
      <c r="B97" s="14">
        <v>43330.643378541507</v>
      </c>
      <c r="C97" s="14">
        <v>43228</v>
      </c>
      <c r="D97" s="14">
        <v>43283.921086983224</v>
      </c>
      <c r="E97" t="s">
        <v>24</v>
      </c>
      <c r="F97" t="s">
        <v>35</v>
      </c>
      <c r="G97" t="s">
        <v>159</v>
      </c>
      <c r="H97" s="17">
        <v>3862</v>
      </c>
      <c r="I97">
        <f>IF(TbRegistroEntradas[[#This Row],[Data do Caixa Realizado]]="",0,MONTH(TbRegistroEntradas[[#This Row],[Data do Caixa Realizado]]))</f>
        <v>8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 s="48">
        <f>IF(TbRegistroEntradas[[#This Row],[Data do Caixa Previsto]]="",0,MONTH(TbRegistroEntradas[[#This Row],[Data do Caixa Previsto]]))</f>
        <v>7</v>
      </c>
      <c r="N97" s="48">
        <f>IF(TbRegistroEntradas[[#This Row],[Data do Caixa Previsto]]="",0,YEAR(TbRegistroEntradas[[#This Row],[Data do Caixa Previsto]]))</f>
        <v>2018</v>
      </c>
      <c r="O97" s="48" t="str">
        <f ca="1">IF(AND(TbRegistroEntradas[[#This Row],[Data do Caixa Previsto]]&lt;TODAY(),TbRegistroEntradas[[#This Row],[Data do Caixa Realizado]]=""),"Vencida","Não Vencida")</f>
        <v>Não Vencida</v>
      </c>
      <c r="P97" s="48" t="str">
        <f>IF(TbRegistroEntradas[[#This Row],[Data da Competência]]=TbRegistroEntradas[[#This Row],[Data do Caixa Previsto]],"Vista","Prazo")</f>
        <v>Prazo</v>
      </c>
      <c r="Q9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46.72229155828245</v>
      </c>
    </row>
    <row r="98" spans="2:17" x14ac:dyDescent="0.25">
      <c r="B98" s="14">
        <v>43279.381017407846</v>
      </c>
      <c r="C98" s="14">
        <v>43231</v>
      </c>
      <c r="D98" s="14">
        <v>43279.381017407846</v>
      </c>
      <c r="E98" t="s">
        <v>24</v>
      </c>
      <c r="F98" t="s">
        <v>33</v>
      </c>
      <c r="G98" t="s">
        <v>160</v>
      </c>
      <c r="H98" s="17">
        <v>611</v>
      </c>
      <c r="I98">
        <f>IF(TbRegistroEntradas[[#This Row],[Data do Caixa Realizado]]="",0,MONTH(TbRegistroEntradas[[#This Row],[Data do Caixa Realizado]]))</f>
        <v>6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 s="48">
        <f>IF(TbRegistroEntradas[[#This Row],[Data do Caixa Previsto]]="",0,MONTH(TbRegistroEntradas[[#This Row],[Data do Caixa Previsto]]))</f>
        <v>6</v>
      </c>
      <c r="N98" s="48">
        <f>IF(TbRegistroEntradas[[#This Row],[Data do Caixa Previsto]]="",0,YEAR(TbRegistroEntradas[[#This Row],[Data do Caixa Previsto]]))</f>
        <v>2018</v>
      </c>
      <c r="O98" s="48" t="str">
        <f ca="1">IF(AND(TbRegistroEntradas[[#This Row],[Data do Caixa Previsto]]&lt;TODAY(),TbRegistroEntradas[[#This Row],[Data do Caixa Realizado]]=""),"Vencida","Não Vencida")</f>
        <v>Não Vencida</v>
      </c>
      <c r="P98" s="48" t="str">
        <f>IF(TbRegistroEntradas[[#This Row],[Data da Competência]]=TbRegistroEntradas[[#This Row],[Data do Caixa Previsto]],"Vista","Prazo")</f>
        <v>Prazo</v>
      </c>
      <c r="Q9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99" spans="2:17" x14ac:dyDescent="0.25">
      <c r="B99" s="14">
        <v>43285.463133098099</v>
      </c>
      <c r="C99" s="14">
        <v>43233</v>
      </c>
      <c r="D99" s="14">
        <v>43285.463133098099</v>
      </c>
      <c r="E99" t="s">
        <v>24</v>
      </c>
      <c r="F99" t="s">
        <v>31</v>
      </c>
      <c r="G99" t="s">
        <v>161</v>
      </c>
      <c r="H99" s="17">
        <v>1486</v>
      </c>
      <c r="I99">
        <f>IF(TbRegistroEntradas[[#This Row],[Data do Caixa Realizado]]="",0,MONTH(TbRegistroEntradas[[#This Row],[Data do Caixa Realizado]]))</f>
        <v>7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 s="48">
        <f>IF(TbRegistroEntradas[[#This Row],[Data do Caixa Previsto]]="",0,MONTH(TbRegistroEntradas[[#This Row],[Data do Caixa Previsto]]))</f>
        <v>7</v>
      </c>
      <c r="N99" s="48">
        <f>IF(TbRegistroEntradas[[#This Row],[Data do Caixa Previsto]]="",0,YEAR(TbRegistroEntradas[[#This Row],[Data do Caixa Previsto]]))</f>
        <v>2018</v>
      </c>
      <c r="O99" s="48" t="str">
        <f ca="1">IF(AND(TbRegistroEntradas[[#This Row],[Data do Caixa Previsto]]&lt;TODAY(),TbRegistroEntradas[[#This Row],[Data do Caixa Realizado]]=""),"Vencida","Não Vencida")</f>
        <v>Não Vencida</v>
      </c>
      <c r="P99" s="48" t="str">
        <f>IF(TbRegistroEntradas[[#This Row],[Data da Competência]]=TbRegistroEntradas[[#This Row],[Data do Caixa Previsto]],"Vista","Prazo")</f>
        <v>Prazo</v>
      </c>
      <c r="Q9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0" spans="2:17" x14ac:dyDescent="0.25">
      <c r="B100" s="14">
        <v>43252.121501784946</v>
      </c>
      <c r="C100" s="14">
        <v>43241</v>
      </c>
      <c r="D100" s="14">
        <v>43252.121501784946</v>
      </c>
      <c r="E100" t="s">
        <v>24</v>
      </c>
      <c r="F100" t="s">
        <v>34</v>
      </c>
      <c r="G100" t="s">
        <v>162</v>
      </c>
      <c r="H100" s="17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 s="48">
        <f>IF(TbRegistroEntradas[[#This Row],[Data do Caixa Previsto]]="",0,MONTH(TbRegistroEntradas[[#This Row],[Data do Caixa Previsto]]))</f>
        <v>6</v>
      </c>
      <c r="N100" s="48">
        <f>IF(TbRegistroEntradas[[#This Row],[Data do Caixa Previsto]]="",0,YEAR(TbRegistroEntradas[[#This Row],[Data do Caixa Previsto]]))</f>
        <v>2018</v>
      </c>
      <c r="O100" s="48" t="str">
        <f ca="1">IF(AND(TbRegistroEntradas[[#This Row],[Data do Caixa Previsto]]&lt;TODAY(),TbRegistroEntradas[[#This Row],[Data do Caixa Realizado]]=""),"Vencida","Não Vencida")</f>
        <v>Não Vencida</v>
      </c>
      <c r="P100" s="48" t="str">
        <f>IF(TbRegistroEntradas[[#This Row],[Data da Competência]]=TbRegistroEntradas[[#This Row],[Data do Caixa Previsto]],"Vista","Prazo")</f>
        <v>Prazo</v>
      </c>
      <c r="Q10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1" spans="2:17" x14ac:dyDescent="0.25">
      <c r="B101" s="14" t="s">
        <v>74</v>
      </c>
      <c r="C101" s="14">
        <v>43244</v>
      </c>
      <c r="D101" s="14">
        <v>43275.457463184524</v>
      </c>
      <c r="E101" t="s">
        <v>24</v>
      </c>
      <c r="F101" t="s">
        <v>31</v>
      </c>
      <c r="G101" t="s">
        <v>101</v>
      </c>
      <c r="H101" s="17">
        <v>3878</v>
      </c>
      <c r="I101">
        <f>IF(TbRegistroEntradas[[#This Row],[Data do Caixa Realizado]]="",0,MONTH(TbRegistroEntradas[[#This Row],[Data do Caixa Realizado]]))</f>
        <v>0</v>
      </c>
      <c r="J101">
        <f>IF(TbRegistroEntradas[[#This Row],[Data do Caixa Realizado]]="",0,YEAR(TbRegistroEntradas[[#This Row],[Data do Caixa Realizado]]))</f>
        <v>0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 s="48">
        <f>IF(TbRegistroEntradas[[#This Row],[Data do Caixa Previsto]]="",0,MONTH(TbRegistroEntradas[[#This Row],[Data do Caixa Previsto]]))</f>
        <v>6</v>
      </c>
      <c r="N101" s="48">
        <f>IF(TbRegistroEntradas[[#This Row],[Data do Caixa Previsto]]="",0,YEAR(TbRegistroEntradas[[#This Row],[Data do Caixa Previsto]]))</f>
        <v>2018</v>
      </c>
      <c r="O101" s="48" t="str">
        <f ca="1">IF(AND(TbRegistroEntradas[[#This Row],[Data do Caixa Previsto]]&lt;TODAY(),TbRegistroEntradas[[#This Row],[Data do Caixa Realizado]]=""),"Vencida","Não Vencida")</f>
        <v>Vencida</v>
      </c>
      <c r="P101" s="48" t="str">
        <f>IF(TbRegistroEntradas[[#This Row],[Data da Competência]]=TbRegistroEntradas[[#This Row],[Data do Caixa Previsto]],"Vista","Prazo")</f>
        <v>Prazo</v>
      </c>
      <c r="Q10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2540.5425368154756</v>
      </c>
    </row>
    <row r="102" spans="2:17" x14ac:dyDescent="0.25">
      <c r="B102" s="14">
        <v>43275.663970819842</v>
      </c>
      <c r="C102" s="14">
        <v>43249</v>
      </c>
      <c r="D102" s="14">
        <v>43275.663970819842</v>
      </c>
      <c r="E102" t="s">
        <v>24</v>
      </c>
      <c r="F102" t="s">
        <v>31</v>
      </c>
      <c r="G102" t="s">
        <v>163</v>
      </c>
      <c r="H102" s="17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 s="48">
        <f>IF(TbRegistroEntradas[[#This Row],[Data do Caixa Previsto]]="",0,MONTH(TbRegistroEntradas[[#This Row],[Data do Caixa Previsto]]))</f>
        <v>6</v>
      </c>
      <c r="N102" s="48">
        <f>IF(TbRegistroEntradas[[#This Row],[Data do Caixa Previsto]]="",0,YEAR(TbRegistroEntradas[[#This Row],[Data do Caixa Previsto]]))</f>
        <v>2018</v>
      </c>
      <c r="O102" s="48" t="str">
        <f ca="1">IF(AND(TbRegistroEntradas[[#This Row],[Data do Caixa Previsto]]&lt;TODAY(),TbRegistroEntradas[[#This Row],[Data do Caixa Realizado]]=""),"Vencida","Não Vencida")</f>
        <v>Não Vencida</v>
      </c>
      <c r="P102" s="48" t="str">
        <f>IF(TbRegistroEntradas[[#This Row],[Data da Competência]]=TbRegistroEntradas[[#This Row],[Data do Caixa Previsto]],"Vista","Prazo")</f>
        <v>Prazo</v>
      </c>
      <c r="Q10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3" spans="2:17" x14ac:dyDescent="0.25">
      <c r="B103" s="14">
        <v>43265.40932974538</v>
      </c>
      <c r="C103" s="14">
        <v>43250</v>
      </c>
      <c r="D103" s="14">
        <v>43265.40932974538</v>
      </c>
      <c r="E103" t="s">
        <v>24</v>
      </c>
      <c r="F103" t="s">
        <v>35</v>
      </c>
      <c r="G103" t="s">
        <v>164</v>
      </c>
      <c r="H103" s="17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 s="48">
        <f>IF(TbRegistroEntradas[[#This Row],[Data do Caixa Previsto]]="",0,MONTH(TbRegistroEntradas[[#This Row],[Data do Caixa Previsto]]))</f>
        <v>6</v>
      </c>
      <c r="N103" s="48">
        <f>IF(TbRegistroEntradas[[#This Row],[Data do Caixa Previsto]]="",0,YEAR(TbRegistroEntradas[[#This Row],[Data do Caixa Previsto]]))</f>
        <v>2018</v>
      </c>
      <c r="O103" s="48" t="str">
        <f ca="1">IF(AND(TbRegistroEntradas[[#This Row],[Data do Caixa Previsto]]&lt;TODAY(),TbRegistroEntradas[[#This Row],[Data do Caixa Realizado]]=""),"Vencida","Não Vencida")</f>
        <v>Não Vencida</v>
      </c>
      <c r="P103" s="48" t="str">
        <f>IF(TbRegistroEntradas[[#This Row],[Data da Competência]]=TbRegistroEntradas[[#This Row],[Data do Caixa Previsto]],"Vista","Prazo")</f>
        <v>Prazo</v>
      </c>
      <c r="Q10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4" spans="2:17" x14ac:dyDescent="0.25">
      <c r="B104" s="14">
        <v>43313.778330733978</v>
      </c>
      <c r="C104" s="14">
        <v>43254</v>
      </c>
      <c r="D104" s="14">
        <v>43313.778330733978</v>
      </c>
      <c r="E104" t="s">
        <v>24</v>
      </c>
      <c r="F104" t="s">
        <v>33</v>
      </c>
      <c r="G104" t="s">
        <v>165</v>
      </c>
      <c r="H104" s="17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 s="48">
        <f>IF(TbRegistroEntradas[[#This Row],[Data do Caixa Previsto]]="",0,MONTH(TbRegistroEntradas[[#This Row],[Data do Caixa Previsto]]))</f>
        <v>8</v>
      </c>
      <c r="N104" s="48">
        <f>IF(TbRegistroEntradas[[#This Row],[Data do Caixa Previsto]]="",0,YEAR(TbRegistroEntradas[[#This Row],[Data do Caixa Previsto]]))</f>
        <v>2018</v>
      </c>
      <c r="O104" s="48" t="str">
        <f ca="1">IF(AND(TbRegistroEntradas[[#This Row],[Data do Caixa Previsto]]&lt;TODAY(),TbRegistroEntradas[[#This Row],[Data do Caixa Realizado]]=""),"Vencida","Não Vencida")</f>
        <v>Não Vencida</v>
      </c>
      <c r="P104" s="48" t="str">
        <f>IF(TbRegistroEntradas[[#This Row],[Data da Competência]]=TbRegistroEntradas[[#This Row],[Data do Caixa Previsto]],"Vista","Prazo")</f>
        <v>Prazo</v>
      </c>
      <c r="Q10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5" spans="2:17" x14ac:dyDescent="0.25">
      <c r="B105" s="14">
        <v>43309.034479812522</v>
      </c>
      <c r="C105" s="14">
        <v>43255</v>
      </c>
      <c r="D105" s="14">
        <v>43309.034479812522</v>
      </c>
      <c r="E105" t="s">
        <v>24</v>
      </c>
      <c r="F105" t="s">
        <v>33</v>
      </c>
      <c r="G105" t="s">
        <v>166</v>
      </c>
      <c r="H105" s="17">
        <v>2781</v>
      </c>
      <c r="I105">
        <f>IF(TbRegistroEntradas[[#This Row],[Data do Caixa Realizado]]="",0,MONTH(TbRegistroEntradas[[#This Row],[Data do Caixa Realizado]]))</f>
        <v>7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 s="48">
        <f>IF(TbRegistroEntradas[[#This Row],[Data do Caixa Previsto]]="",0,MONTH(TbRegistroEntradas[[#This Row],[Data do Caixa Previsto]]))</f>
        <v>7</v>
      </c>
      <c r="N105" s="48">
        <f>IF(TbRegistroEntradas[[#This Row],[Data do Caixa Previsto]]="",0,YEAR(TbRegistroEntradas[[#This Row],[Data do Caixa Previsto]]))</f>
        <v>2018</v>
      </c>
      <c r="O105" s="48" t="str">
        <f ca="1">IF(AND(TbRegistroEntradas[[#This Row],[Data do Caixa Previsto]]&lt;TODAY(),TbRegistroEntradas[[#This Row],[Data do Caixa Realizado]]=""),"Vencida","Não Vencida")</f>
        <v>Não Vencida</v>
      </c>
      <c r="P105" s="48" t="str">
        <f>IF(TbRegistroEntradas[[#This Row],[Data da Competência]]=TbRegistroEntradas[[#This Row],[Data do Caixa Previsto]],"Vista","Prazo")</f>
        <v>Prazo</v>
      </c>
      <c r="Q10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6" spans="2:17" x14ac:dyDescent="0.25">
      <c r="B106" s="14">
        <v>43267.639792395334</v>
      </c>
      <c r="C106" s="14">
        <v>43256</v>
      </c>
      <c r="D106" s="14">
        <v>43267.639792395334</v>
      </c>
      <c r="E106" t="s">
        <v>24</v>
      </c>
      <c r="F106" t="s">
        <v>31</v>
      </c>
      <c r="G106" t="s">
        <v>167</v>
      </c>
      <c r="H106" s="17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 s="48">
        <f>IF(TbRegistroEntradas[[#This Row],[Data do Caixa Previsto]]="",0,MONTH(TbRegistroEntradas[[#This Row],[Data do Caixa Previsto]]))</f>
        <v>6</v>
      </c>
      <c r="N106" s="48">
        <f>IF(TbRegistroEntradas[[#This Row],[Data do Caixa Previsto]]="",0,YEAR(TbRegistroEntradas[[#This Row],[Data do Caixa Previsto]]))</f>
        <v>2018</v>
      </c>
      <c r="O106" s="48" t="str">
        <f ca="1">IF(AND(TbRegistroEntradas[[#This Row],[Data do Caixa Previsto]]&lt;TODAY(),TbRegistroEntradas[[#This Row],[Data do Caixa Realizado]]=""),"Vencida","Não Vencida")</f>
        <v>Não Vencida</v>
      </c>
      <c r="P106" s="48" t="str">
        <f>IF(TbRegistroEntradas[[#This Row],[Data da Competência]]=TbRegistroEntradas[[#This Row],[Data do Caixa Previsto]],"Vista","Prazo")</f>
        <v>Prazo</v>
      </c>
      <c r="Q10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7" spans="2:17" x14ac:dyDescent="0.25">
      <c r="B107" s="14">
        <v>43295.992726264638</v>
      </c>
      <c r="C107" s="14">
        <v>43259</v>
      </c>
      <c r="D107" s="14">
        <v>43295.992726264638</v>
      </c>
      <c r="E107" t="s">
        <v>24</v>
      </c>
      <c r="F107" t="s">
        <v>34</v>
      </c>
      <c r="G107" t="s">
        <v>168</v>
      </c>
      <c r="H107" s="17">
        <v>3134</v>
      </c>
      <c r="I107">
        <f>IF(TbRegistroEntradas[[#This Row],[Data do Caixa Realizado]]="",0,MONTH(TbRegistroEntradas[[#This Row],[Data do Caixa Realizado]]))</f>
        <v>7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 s="48">
        <f>IF(TbRegistroEntradas[[#This Row],[Data do Caixa Previsto]]="",0,MONTH(TbRegistroEntradas[[#This Row],[Data do Caixa Previsto]]))</f>
        <v>7</v>
      </c>
      <c r="N107" s="48">
        <f>IF(TbRegistroEntradas[[#This Row],[Data do Caixa Previsto]]="",0,YEAR(TbRegistroEntradas[[#This Row],[Data do Caixa Previsto]]))</f>
        <v>2018</v>
      </c>
      <c r="O107" s="48" t="str">
        <f ca="1">IF(AND(TbRegistroEntradas[[#This Row],[Data do Caixa Previsto]]&lt;TODAY(),TbRegistroEntradas[[#This Row],[Data do Caixa Realizado]]=""),"Vencida","Não Vencida")</f>
        <v>Não Vencida</v>
      </c>
      <c r="P107" s="48" t="str">
        <f>IF(TbRegistroEntradas[[#This Row],[Data da Competência]]=TbRegistroEntradas[[#This Row],[Data do Caixa Previsto]],"Vista","Prazo")</f>
        <v>Prazo</v>
      </c>
      <c r="Q10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8" spans="2:17" x14ac:dyDescent="0.25">
      <c r="B108" s="14">
        <v>43276.511490365912</v>
      </c>
      <c r="C108" s="14">
        <v>43261</v>
      </c>
      <c r="D108" s="14">
        <v>43276.511490365912</v>
      </c>
      <c r="E108" t="s">
        <v>24</v>
      </c>
      <c r="F108" t="s">
        <v>32</v>
      </c>
      <c r="G108" t="s">
        <v>169</v>
      </c>
      <c r="H108" s="17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 s="48">
        <f>IF(TbRegistroEntradas[[#This Row],[Data do Caixa Previsto]]="",0,MONTH(TbRegistroEntradas[[#This Row],[Data do Caixa Previsto]]))</f>
        <v>6</v>
      </c>
      <c r="N108" s="48">
        <f>IF(TbRegistroEntradas[[#This Row],[Data do Caixa Previsto]]="",0,YEAR(TbRegistroEntradas[[#This Row],[Data do Caixa Previsto]]))</f>
        <v>2018</v>
      </c>
      <c r="O108" s="48" t="str">
        <f ca="1">IF(AND(TbRegistroEntradas[[#This Row],[Data do Caixa Previsto]]&lt;TODAY(),TbRegistroEntradas[[#This Row],[Data do Caixa Realizado]]=""),"Vencida","Não Vencida")</f>
        <v>Não Vencida</v>
      </c>
      <c r="P108" s="48" t="str">
        <f>IF(TbRegistroEntradas[[#This Row],[Data da Competência]]=TbRegistroEntradas[[#This Row],[Data do Caixa Previsto]],"Vista","Prazo")</f>
        <v>Prazo</v>
      </c>
      <c r="Q10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09" spans="2:17" x14ac:dyDescent="0.25">
      <c r="B109" s="14">
        <v>43320.151513939236</v>
      </c>
      <c r="C109" s="14">
        <v>43264</v>
      </c>
      <c r="D109" s="14">
        <v>43320.151513939236</v>
      </c>
      <c r="E109" t="s">
        <v>24</v>
      </c>
      <c r="F109" t="s">
        <v>31</v>
      </c>
      <c r="G109" t="s">
        <v>170</v>
      </c>
      <c r="H109" s="17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 s="48">
        <f>IF(TbRegistroEntradas[[#This Row],[Data do Caixa Previsto]]="",0,MONTH(TbRegistroEntradas[[#This Row],[Data do Caixa Previsto]]))</f>
        <v>8</v>
      </c>
      <c r="N109" s="48">
        <f>IF(TbRegistroEntradas[[#This Row],[Data do Caixa Previsto]]="",0,YEAR(TbRegistroEntradas[[#This Row],[Data do Caixa Previsto]]))</f>
        <v>2018</v>
      </c>
      <c r="O109" s="48" t="str">
        <f ca="1">IF(AND(TbRegistroEntradas[[#This Row],[Data do Caixa Previsto]]&lt;TODAY(),TbRegistroEntradas[[#This Row],[Data do Caixa Realizado]]=""),"Vencida","Não Vencida")</f>
        <v>Não Vencida</v>
      </c>
      <c r="P109" s="48" t="str">
        <f>IF(TbRegistroEntradas[[#This Row],[Data da Competência]]=TbRegistroEntradas[[#This Row],[Data do Caixa Previsto]],"Vista","Prazo")</f>
        <v>Prazo</v>
      </c>
      <c r="Q10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0" spans="2:17" x14ac:dyDescent="0.25">
      <c r="B110" s="14">
        <v>43303.335943391627</v>
      </c>
      <c r="C110" s="14">
        <v>43265</v>
      </c>
      <c r="D110" s="14">
        <v>43303.335943391627</v>
      </c>
      <c r="E110" t="s">
        <v>24</v>
      </c>
      <c r="F110" t="s">
        <v>34</v>
      </c>
      <c r="G110" t="s">
        <v>171</v>
      </c>
      <c r="H110" s="17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 s="48">
        <f>IF(TbRegistroEntradas[[#This Row],[Data do Caixa Previsto]]="",0,MONTH(TbRegistroEntradas[[#This Row],[Data do Caixa Previsto]]))</f>
        <v>7</v>
      </c>
      <c r="N110" s="48">
        <f>IF(TbRegistroEntradas[[#This Row],[Data do Caixa Previsto]]="",0,YEAR(TbRegistroEntradas[[#This Row],[Data do Caixa Previsto]]))</f>
        <v>2018</v>
      </c>
      <c r="O110" s="48" t="str">
        <f ca="1">IF(AND(TbRegistroEntradas[[#This Row],[Data do Caixa Previsto]]&lt;TODAY(),TbRegistroEntradas[[#This Row],[Data do Caixa Realizado]]=""),"Vencida","Não Vencida")</f>
        <v>Não Vencida</v>
      </c>
      <c r="P110" s="48" t="str">
        <f>IF(TbRegistroEntradas[[#This Row],[Data da Competência]]=TbRegistroEntradas[[#This Row],[Data do Caixa Previsto]],"Vista","Prazo")</f>
        <v>Prazo</v>
      </c>
      <c r="Q11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1" spans="2:17" x14ac:dyDescent="0.25">
      <c r="B111" s="14">
        <v>43293.385542692129</v>
      </c>
      <c r="C111" s="14">
        <v>43266</v>
      </c>
      <c r="D111" s="14">
        <v>43293.385542692129</v>
      </c>
      <c r="E111" t="s">
        <v>24</v>
      </c>
      <c r="F111" t="s">
        <v>34</v>
      </c>
      <c r="G111" t="s">
        <v>172</v>
      </c>
      <c r="H111" s="17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 s="48">
        <f>IF(TbRegistroEntradas[[#This Row],[Data do Caixa Previsto]]="",0,MONTH(TbRegistroEntradas[[#This Row],[Data do Caixa Previsto]]))</f>
        <v>7</v>
      </c>
      <c r="N111" s="48">
        <f>IF(TbRegistroEntradas[[#This Row],[Data do Caixa Previsto]]="",0,YEAR(TbRegistroEntradas[[#This Row],[Data do Caixa Previsto]]))</f>
        <v>2018</v>
      </c>
      <c r="O111" s="48" t="str">
        <f ca="1">IF(AND(TbRegistroEntradas[[#This Row],[Data do Caixa Previsto]]&lt;TODAY(),TbRegistroEntradas[[#This Row],[Data do Caixa Realizado]]=""),"Vencida","Não Vencida")</f>
        <v>Não Vencida</v>
      </c>
      <c r="P111" s="48" t="str">
        <f>IF(TbRegistroEntradas[[#This Row],[Data da Competência]]=TbRegistroEntradas[[#This Row],[Data do Caixa Previsto]],"Vista","Prazo")</f>
        <v>Prazo</v>
      </c>
      <c r="Q11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2" spans="2:17" x14ac:dyDescent="0.25">
      <c r="B112" s="14">
        <v>43347.784698126074</v>
      </c>
      <c r="C112" s="14">
        <v>43268</v>
      </c>
      <c r="D112" s="14">
        <v>43310.26005003383</v>
      </c>
      <c r="E112" t="s">
        <v>24</v>
      </c>
      <c r="F112" t="s">
        <v>35</v>
      </c>
      <c r="G112" t="s">
        <v>173</v>
      </c>
      <c r="H112" s="17">
        <v>3045</v>
      </c>
      <c r="I112">
        <f>IF(TbRegistroEntradas[[#This Row],[Data do Caixa Realizado]]="",0,MONTH(TbRegistroEntradas[[#This Row],[Data do Caixa Realizado]]))</f>
        <v>9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 s="48">
        <f>IF(TbRegistroEntradas[[#This Row],[Data do Caixa Previsto]]="",0,MONTH(TbRegistroEntradas[[#This Row],[Data do Caixa Previsto]]))</f>
        <v>7</v>
      </c>
      <c r="N112" s="48">
        <f>IF(TbRegistroEntradas[[#This Row],[Data do Caixa Previsto]]="",0,YEAR(TbRegistroEntradas[[#This Row],[Data do Caixa Previsto]]))</f>
        <v>2018</v>
      </c>
      <c r="O112" s="48" t="str">
        <f ca="1">IF(AND(TbRegistroEntradas[[#This Row],[Data do Caixa Previsto]]&lt;TODAY(),TbRegistroEntradas[[#This Row],[Data do Caixa Realizado]]=""),"Vencida","Não Vencida")</f>
        <v>Não Vencida</v>
      </c>
      <c r="P112" s="48" t="str">
        <f>IF(TbRegistroEntradas[[#This Row],[Data da Competência]]=TbRegistroEntradas[[#This Row],[Data do Caixa Previsto]],"Vista","Prazo")</f>
        <v>Prazo</v>
      </c>
      <c r="Q11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37.524648092243297</v>
      </c>
    </row>
    <row r="113" spans="2:17" x14ac:dyDescent="0.25">
      <c r="B113" s="14">
        <v>43328.142631140596</v>
      </c>
      <c r="C113" s="14">
        <v>43272</v>
      </c>
      <c r="D113" s="14">
        <v>43309.393451525575</v>
      </c>
      <c r="E113" t="s">
        <v>24</v>
      </c>
      <c r="F113" t="s">
        <v>35</v>
      </c>
      <c r="G113" t="s">
        <v>174</v>
      </c>
      <c r="H113" s="17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 s="48">
        <f>IF(TbRegistroEntradas[[#This Row],[Data do Caixa Previsto]]="",0,MONTH(TbRegistroEntradas[[#This Row],[Data do Caixa Previsto]]))</f>
        <v>7</v>
      </c>
      <c r="N113" s="48">
        <f>IF(TbRegistroEntradas[[#This Row],[Data do Caixa Previsto]]="",0,YEAR(TbRegistroEntradas[[#This Row],[Data do Caixa Previsto]]))</f>
        <v>2018</v>
      </c>
      <c r="O113" s="48" t="str">
        <f ca="1">IF(AND(TbRegistroEntradas[[#This Row],[Data do Caixa Previsto]]&lt;TODAY(),TbRegistroEntradas[[#This Row],[Data do Caixa Realizado]]=""),"Vencida","Não Vencida")</f>
        <v>Não Vencida</v>
      </c>
      <c r="P113" s="48" t="str">
        <f>IF(TbRegistroEntradas[[#This Row],[Data da Competência]]=TbRegistroEntradas[[#This Row],[Data do Caixa Previsto]],"Vista","Prazo")</f>
        <v>Prazo</v>
      </c>
      <c r="Q11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18.749179615020694</v>
      </c>
    </row>
    <row r="114" spans="2:17" x14ac:dyDescent="0.25">
      <c r="B114" s="14" t="s">
        <v>74</v>
      </c>
      <c r="C114" s="14">
        <v>43275</v>
      </c>
      <c r="D114" s="14">
        <v>43313.637699425337</v>
      </c>
      <c r="E114" t="s">
        <v>24</v>
      </c>
      <c r="F114" t="s">
        <v>35</v>
      </c>
      <c r="G114" t="s">
        <v>175</v>
      </c>
      <c r="H114" s="17">
        <v>770</v>
      </c>
      <c r="I114">
        <f>IF(TbRegistroEntradas[[#This Row],[Data do Caixa Realizado]]="",0,MONTH(TbRegistroEntradas[[#This Row],[Data do Caixa Realizado]]))</f>
        <v>0</v>
      </c>
      <c r="J114">
        <f>IF(TbRegistroEntradas[[#This Row],[Data do Caixa Realizado]]="",0,YEAR(TbRegistroEntradas[[#This Row],[Data do Caixa Realizado]]))</f>
        <v>0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 s="48">
        <f>IF(TbRegistroEntradas[[#This Row],[Data do Caixa Previsto]]="",0,MONTH(TbRegistroEntradas[[#This Row],[Data do Caixa Previsto]]))</f>
        <v>8</v>
      </c>
      <c r="N114" s="48">
        <f>IF(TbRegistroEntradas[[#This Row],[Data do Caixa Previsto]]="",0,YEAR(TbRegistroEntradas[[#This Row],[Data do Caixa Previsto]]))</f>
        <v>2018</v>
      </c>
      <c r="O114" s="48" t="str">
        <f ca="1">IF(AND(TbRegistroEntradas[[#This Row],[Data do Caixa Previsto]]&lt;TODAY(),TbRegistroEntradas[[#This Row],[Data do Caixa Realizado]]=""),"Vencida","Não Vencida")</f>
        <v>Vencida</v>
      </c>
      <c r="P114" s="48" t="str">
        <f>IF(TbRegistroEntradas[[#This Row],[Data da Competência]]=TbRegistroEntradas[[#This Row],[Data do Caixa Previsto]],"Vista","Prazo")</f>
        <v>Prazo</v>
      </c>
      <c r="Q11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2502.3623005746631</v>
      </c>
    </row>
    <row r="115" spans="2:17" x14ac:dyDescent="0.25">
      <c r="B115" s="14">
        <v>43321.066181249873</v>
      </c>
      <c r="C115" s="14">
        <v>43276</v>
      </c>
      <c r="D115" s="14">
        <v>43317.738042183715</v>
      </c>
      <c r="E115" t="s">
        <v>24</v>
      </c>
      <c r="F115" t="s">
        <v>34</v>
      </c>
      <c r="G115" t="s">
        <v>176</v>
      </c>
      <c r="H115" s="17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 s="48">
        <f>IF(TbRegistroEntradas[[#This Row],[Data do Caixa Previsto]]="",0,MONTH(TbRegistroEntradas[[#This Row],[Data do Caixa Previsto]]))</f>
        <v>8</v>
      </c>
      <c r="N115" s="48">
        <f>IF(TbRegistroEntradas[[#This Row],[Data do Caixa Previsto]]="",0,YEAR(TbRegistroEntradas[[#This Row],[Data do Caixa Previsto]]))</f>
        <v>2018</v>
      </c>
      <c r="O115" s="48" t="str">
        <f ca="1">IF(AND(TbRegistroEntradas[[#This Row],[Data do Caixa Previsto]]&lt;TODAY(),TbRegistroEntradas[[#This Row],[Data do Caixa Realizado]]=""),"Vencida","Não Vencida")</f>
        <v>Não Vencida</v>
      </c>
      <c r="P115" s="48" t="str">
        <f>IF(TbRegistroEntradas[[#This Row],[Data da Competência]]=TbRegistroEntradas[[#This Row],[Data do Caixa Previsto]],"Vista","Prazo")</f>
        <v>Prazo</v>
      </c>
      <c r="Q11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3.3281390661577461</v>
      </c>
    </row>
    <row r="116" spans="2:17" x14ac:dyDescent="0.25">
      <c r="B116" s="14">
        <v>43328.896220051167</v>
      </c>
      <c r="C116" s="14">
        <v>43280</v>
      </c>
      <c r="D116" s="14">
        <v>43328.896220051167</v>
      </c>
      <c r="E116" t="s">
        <v>24</v>
      </c>
      <c r="F116" t="s">
        <v>34</v>
      </c>
      <c r="G116" t="s">
        <v>177</v>
      </c>
      <c r="H116" s="17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 s="48">
        <f>IF(TbRegistroEntradas[[#This Row],[Data do Caixa Previsto]]="",0,MONTH(TbRegistroEntradas[[#This Row],[Data do Caixa Previsto]]))</f>
        <v>8</v>
      </c>
      <c r="N116" s="48">
        <f>IF(TbRegistroEntradas[[#This Row],[Data do Caixa Previsto]]="",0,YEAR(TbRegistroEntradas[[#This Row],[Data do Caixa Previsto]]))</f>
        <v>2018</v>
      </c>
      <c r="O116" s="48" t="str">
        <f ca="1">IF(AND(TbRegistroEntradas[[#This Row],[Data do Caixa Previsto]]&lt;TODAY(),TbRegistroEntradas[[#This Row],[Data do Caixa Realizado]]=""),"Vencida","Não Vencida")</f>
        <v>Não Vencida</v>
      </c>
      <c r="P116" s="48" t="str">
        <f>IF(TbRegistroEntradas[[#This Row],[Data da Competência]]=TbRegistroEntradas[[#This Row],[Data do Caixa Previsto]],"Vista","Prazo")</f>
        <v>Prazo</v>
      </c>
      <c r="Q11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7" spans="2:17" x14ac:dyDescent="0.25">
      <c r="B117" s="14">
        <v>43310.362560784597</v>
      </c>
      <c r="C117" s="14">
        <v>43284</v>
      </c>
      <c r="D117" s="14">
        <v>43310.362560784597</v>
      </c>
      <c r="E117" t="s">
        <v>24</v>
      </c>
      <c r="F117" t="s">
        <v>34</v>
      </c>
      <c r="G117" t="s">
        <v>178</v>
      </c>
      <c r="H117" s="17">
        <v>3940</v>
      </c>
      <c r="I117">
        <f>IF(TbRegistroEntradas[[#This Row],[Data do Caixa Realizado]]="",0,MONTH(TbRegistroEntradas[[#This Row],[Data do Caixa Realizado]]))</f>
        <v>7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 s="48">
        <f>IF(TbRegistroEntradas[[#This Row],[Data do Caixa Previsto]]="",0,MONTH(TbRegistroEntradas[[#This Row],[Data do Caixa Previsto]]))</f>
        <v>7</v>
      </c>
      <c r="N117" s="48">
        <f>IF(TbRegistroEntradas[[#This Row],[Data do Caixa Previsto]]="",0,YEAR(TbRegistroEntradas[[#This Row],[Data do Caixa Previsto]]))</f>
        <v>2018</v>
      </c>
      <c r="O117" s="48" t="str">
        <f ca="1">IF(AND(TbRegistroEntradas[[#This Row],[Data do Caixa Previsto]]&lt;TODAY(),TbRegistroEntradas[[#This Row],[Data do Caixa Realizado]]=""),"Vencida","Não Vencida")</f>
        <v>Não Vencida</v>
      </c>
      <c r="P117" s="48" t="str">
        <f>IF(TbRegistroEntradas[[#This Row],[Data da Competência]]=TbRegistroEntradas[[#This Row],[Data do Caixa Previsto]],"Vista","Prazo")</f>
        <v>Prazo</v>
      </c>
      <c r="Q11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8" spans="2:17" x14ac:dyDescent="0.25">
      <c r="B118" s="14">
        <v>43343.848263098727</v>
      </c>
      <c r="C118" s="14">
        <v>43285</v>
      </c>
      <c r="D118" s="14">
        <v>43343.848263098727</v>
      </c>
      <c r="E118" t="s">
        <v>24</v>
      </c>
      <c r="F118" t="s">
        <v>34</v>
      </c>
      <c r="G118" t="s">
        <v>179</v>
      </c>
      <c r="H118" s="17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 s="48">
        <f>IF(TbRegistroEntradas[[#This Row],[Data do Caixa Previsto]]="",0,MONTH(TbRegistroEntradas[[#This Row],[Data do Caixa Previsto]]))</f>
        <v>8</v>
      </c>
      <c r="N118" s="48">
        <f>IF(TbRegistroEntradas[[#This Row],[Data do Caixa Previsto]]="",0,YEAR(TbRegistroEntradas[[#This Row],[Data do Caixa Previsto]]))</f>
        <v>2018</v>
      </c>
      <c r="O118" s="48" t="str">
        <f ca="1">IF(AND(TbRegistroEntradas[[#This Row],[Data do Caixa Previsto]]&lt;TODAY(),TbRegistroEntradas[[#This Row],[Data do Caixa Realizado]]=""),"Vencida","Não Vencida")</f>
        <v>Não Vencida</v>
      </c>
      <c r="P118" s="48" t="str">
        <f>IF(TbRegistroEntradas[[#This Row],[Data da Competência]]=TbRegistroEntradas[[#This Row],[Data do Caixa Previsto]],"Vista","Prazo")</f>
        <v>Prazo</v>
      </c>
      <c r="Q11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19" spans="2:17" x14ac:dyDescent="0.25">
      <c r="B119" s="14">
        <v>43316.086897207155</v>
      </c>
      <c r="C119" s="14">
        <v>43286</v>
      </c>
      <c r="D119" s="14">
        <v>43316.086897207155</v>
      </c>
      <c r="E119" t="s">
        <v>24</v>
      </c>
      <c r="F119" t="s">
        <v>33</v>
      </c>
      <c r="G119" t="s">
        <v>180</v>
      </c>
      <c r="H119" s="17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 s="48">
        <f>IF(TbRegistroEntradas[[#This Row],[Data do Caixa Previsto]]="",0,MONTH(TbRegistroEntradas[[#This Row],[Data do Caixa Previsto]]))</f>
        <v>8</v>
      </c>
      <c r="N119" s="48">
        <f>IF(TbRegistroEntradas[[#This Row],[Data do Caixa Previsto]]="",0,YEAR(TbRegistroEntradas[[#This Row],[Data do Caixa Previsto]]))</f>
        <v>2018</v>
      </c>
      <c r="O119" s="48" t="str">
        <f ca="1">IF(AND(TbRegistroEntradas[[#This Row],[Data do Caixa Previsto]]&lt;TODAY(),TbRegistroEntradas[[#This Row],[Data do Caixa Realizado]]=""),"Vencida","Não Vencida")</f>
        <v>Não Vencida</v>
      </c>
      <c r="P119" s="48" t="str">
        <f>IF(TbRegistroEntradas[[#This Row],[Data da Competência]]=TbRegistroEntradas[[#This Row],[Data do Caixa Previsto]],"Vista","Prazo")</f>
        <v>Prazo</v>
      </c>
      <c r="Q11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0" spans="2:17" x14ac:dyDescent="0.25">
      <c r="B120" s="14">
        <v>43336.184362990563</v>
      </c>
      <c r="C120" s="14">
        <v>43288</v>
      </c>
      <c r="D120" s="14">
        <v>43336.184362990563</v>
      </c>
      <c r="E120" t="s">
        <v>24</v>
      </c>
      <c r="F120" t="s">
        <v>32</v>
      </c>
      <c r="G120" t="s">
        <v>181</v>
      </c>
      <c r="H120" s="17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 s="48">
        <f>IF(TbRegistroEntradas[[#This Row],[Data do Caixa Previsto]]="",0,MONTH(TbRegistroEntradas[[#This Row],[Data do Caixa Previsto]]))</f>
        <v>8</v>
      </c>
      <c r="N120" s="48">
        <f>IF(TbRegistroEntradas[[#This Row],[Data do Caixa Previsto]]="",0,YEAR(TbRegistroEntradas[[#This Row],[Data do Caixa Previsto]]))</f>
        <v>2018</v>
      </c>
      <c r="O120" s="48" t="str">
        <f ca="1">IF(AND(TbRegistroEntradas[[#This Row],[Data do Caixa Previsto]]&lt;TODAY(),TbRegistroEntradas[[#This Row],[Data do Caixa Realizado]]=""),"Vencida","Não Vencida")</f>
        <v>Não Vencida</v>
      </c>
      <c r="P120" s="48" t="str">
        <f>IF(TbRegistroEntradas[[#This Row],[Data da Competência]]=TbRegistroEntradas[[#This Row],[Data do Caixa Previsto]],"Vista","Prazo")</f>
        <v>Prazo</v>
      </c>
      <c r="Q12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1" spans="2:17" x14ac:dyDescent="0.25">
      <c r="B121" s="14">
        <v>43367.055849144577</v>
      </c>
      <c r="C121" s="14">
        <v>43292</v>
      </c>
      <c r="D121" s="14">
        <v>43323.658986192779</v>
      </c>
      <c r="E121" t="s">
        <v>24</v>
      </c>
      <c r="F121" t="s">
        <v>35</v>
      </c>
      <c r="G121" t="s">
        <v>182</v>
      </c>
      <c r="H121" s="17">
        <v>4090</v>
      </c>
      <c r="I121">
        <f>IF(TbRegistroEntradas[[#This Row],[Data do Caixa Realizado]]="",0,MONTH(TbRegistroEntradas[[#This Row],[Data do Caixa Realizado]]))</f>
        <v>9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 s="48">
        <f>IF(TbRegistroEntradas[[#This Row],[Data do Caixa Previsto]]="",0,MONTH(TbRegistroEntradas[[#This Row],[Data do Caixa Previsto]]))</f>
        <v>8</v>
      </c>
      <c r="N121" s="48">
        <f>IF(TbRegistroEntradas[[#This Row],[Data do Caixa Previsto]]="",0,YEAR(TbRegistroEntradas[[#This Row],[Data do Caixa Previsto]]))</f>
        <v>2018</v>
      </c>
      <c r="O121" s="48" t="str">
        <f ca="1">IF(AND(TbRegistroEntradas[[#This Row],[Data do Caixa Previsto]]&lt;TODAY(),TbRegistroEntradas[[#This Row],[Data do Caixa Realizado]]=""),"Vencida","Não Vencida")</f>
        <v>Não Vencida</v>
      </c>
      <c r="P121" s="48" t="str">
        <f>IF(TbRegistroEntradas[[#This Row],[Data da Competência]]=TbRegistroEntradas[[#This Row],[Data do Caixa Previsto]],"Vista","Prazo")</f>
        <v>Prazo</v>
      </c>
      <c r="Q12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43.396862951798539</v>
      </c>
    </row>
    <row r="122" spans="2:17" x14ac:dyDescent="0.25">
      <c r="B122" s="14">
        <v>43311.051743268465</v>
      </c>
      <c r="C122" s="14">
        <v>43293</v>
      </c>
      <c r="D122" s="14">
        <v>43311.051743268465</v>
      </c>
      <c r="E122" t="s">
        <v>24</v>
      </c>
      <c r="F122" t="s">
        <v>31</v>
      </c>
      <c r="G122" t="s">
        <v>183</v>
      </c>
      <c r="H122" s="17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 s="48">
        <f>IF(TbRegistroEntradas[[#This Row],[Data do Caixa Previsto]]="",0,MONTH(TbRegistroEntradas[[#This Row],[Data do Caixa Previsto]]))</f>
        <v>7</v>
      </c>
      <c r="N122" s="48">
        <f>IF(TbRegistroEntradas[[#This Row],[Data do Caixa Previsto]]="",0,YEAR(TbRegistroEntradas[[#This Row],[Data do Caixa Previsto]]))</f>
        <v>2018</v>
      </c>
      <c r="O122" s="48" t="str">
        <f ca="1">IF(AND(TbRegistroEntradas[[#This Row],[Data do Caixa Previsto]]&lt;TODAY(),TbRegistroEntradas[[#This Row],[Data do Caixa Realizado]]=""),"Vencida","Não Vencida")</f>
        <v>Não Vencida</v>
      </c>
      <c r="P122" s="48" t="str">
        <f>IF(TbRegistroEntradas[[#This Row],[Data da Competência]]=TbRegistroEntradas[[#This Row],[Data do Caixa Previsto]],"Vista","Prazo")</f>
        <v>Prazo</v>
      </c>
      <c r="Q12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3" spans="2:17" x14ac:dyDescent="0.25">
      <c r="B123" s="14">
        <v>43302.671415134202</v>
      </c>
      <c r="C123" s="14">
        <v>43297</v>
      </c>
      <c r="D123" s="14">
        <v>43302.671415134202</v>
      </c>
      <c r="E123" t="s">
        <v>24</v>
      </c>
      <c r="F123" t="s">
        <v>34</v>
      </c>
      <c r="G123" t="s">
        <v>184</v>
      </c>
      <c r="H123" s="17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 s="48">
        <f>IF(TbRegistroEntradas[[#This Row],[Data do Caixa Previsto]]="",0,MONTH(TbRegistroEntradas[[#This Row],[Data do Caixa Previsto]]))</f>
        <v>7</v>
      </c>
      <c r="N123" s="48">
        <f>IF(TbRegistroEntradas[[#This Row],[Data do Caixa Previsto]]="",0,YEAR(TbRegistroEntradas[[#This Row],[Data do Caixa Previsto]]))</f>
        <v>2018</v>
      </c>
      <c r="O123" s="48" t="str">
        <f ca="1">IF(AND(TbRegistroEntradas[[#This Row],[Data do Caixa Previsto]]&lt;TODAY(),TbRegistroEntradas[[#This Row],[Data do Caixa Realizado]]=""),"Vencida","Não Vencida")</f>
        <v>Não Vencida</v>
      </c>
      <c r="P123" s="48" t="str">
        <f>IF(TbRegistroEntradas[[#This Row],[Data da Competência]]=TbRegistroEntradas[[#This Row],[Data do Caixa Previsto]],"Vista","Prazo")</f>
        <v>Prazo</v>
      </c>
      <c r="Q12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4" spans="2:17" x14ac:dyDescent="0.25">
      <c r="B124" s="14">
        <v>43346.313143570049</v>
      </c>
      <c r="C124" s="14">
        <v>43299</v>
      </c>
      <c r="D124" s="14">
        <v>43346.313143570049</v>
      </c>
      <c r="E124" t="s">
        <v>24</v>
      </c>
      <c r="F124" t="s">
        <v>34</v>
      </c>
      <c r="G124" t="s">
        <v>185</v>
      </c>
      <c r="H124" s="17">
        <v>2071</v>
      </c>
      <c r="I124">
        <f>IF(TbRegistroEntradas[[#This Row],[Data do Caixa Realizado]]="",0,MONTH(TbRegistroEntradas[[#This Row],[Data do Caixa Realizado]]))</f>
        <v>9</v>
      </c>
      <c r="J124">
        <f>IF(TbRegistroEntradas[[#This Row],[Data do Caixa Realizado]]="",0,YEAR(TbRegistroEntradas[[#This Row],[Data do Caixa Realizado]]))</f>
        <v>2018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 s="48">
        <f>IF(TbRegistroEntradas[[#This Row],[Data do Caixa Previsto]]="",0,MONTH(TbRegistroEntradas[[#This Row],[Data do Caixa Previsto]]))</f>
        <v>9</v>
      </c>
      <c r="N124" s="48">
        <f>IF(TbRegistroEntradas[[#This Row],[Data do Caixa Previsto]]="",0,YEAR(TbRegistroEntradas[[#This Row],[Data do Caixa Previsto]]))</f>
        <v>2018</v>
      </c>
      <c r="O124" s="48" t="str">
        <f ca="1">IF(AND(TbRegistroEntradas[[#This Row],[Data do Caixa Previsto]]&lt;TODAY(),TbRegistroEntradas[[#This Row],[Data do Caixa Realizado]]=""),"Vencida","Não Vencida")</f>
        <v>Não Vencida</v>
      </c>
      <c r="P124" s="48" t="str">
        <f>IF(TbRegistroEntradas[[#This Row],[Data da Competência]]=TbRegistroEntradas[[#This Row],[Data do Caixa Previsto]],"Vista","Prazo")</f>
        <v>Prazo</v>
      </c>
      <c r="Q12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5" spans="2:17" x14ac:dyDescent="0.25">
      <c r="B125" s="14">
        <v>43333.777244922574</v>
      </c>
      <c r="C125" s="14">
        <v>43304</v>
      </c>
      <c r="D125" s="14">
        <v>43333.777244922574</v>
      </c>
      <c r="E125" t="s">
        <v>24</v>
      </c>
      <c r="F125" t="s">
        <v>35</v>
      </c>
      <c r="G125" t="s">
        <v>186</v>
      </c>
      <c r="H125" s="17">
        <v>4258</v>
      </c>
      <c r="I125">
        <f>IF(TbRegistroEntradas[[#This Row],[Data do Caixa Realizado]]="",0,MONTH(TbRegistroEntradas[[#This Row],[Data do Caixa Realizado]]))</f>
        <v>8</v>
      </c>
      <c r="J125">
        <f>IF(TbRegistroEntradas[[#This Row],[Data do Caixa Realizado]]="",0,YEAR(TbRegistroEntradas[[#This Row],[Data do Caixa Realizado]]))</f>
        <v>2018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 s="48">
        <f>IF(TbRegistroEntradas[[#This Row],[Data do Caixa Previsto]]="",0,MONTH(TbRegistroEntradas[[#This Row],[Data do Caixa Previsto]]))</f>
        <v>8</v>
      </c>
      <c r="N125" s="48">
        <f>IF(TbRegistroEntradas[[#This Row],[Data do Caixa Previsto]]="",0,YEAR(TbRegistroEntradas[[#This Row],[Data do Caixa Previsto]]))</f>
        <v>2018</v>
      </c>
      <c r="O125" s="48" t="str">
        <f ca="1">IF(AND(TbRegistroEntradas[[#This Row],[Data do Caixa Previsto]]&lt;TODAY(),TbRegistroEntradas[[#This Row],[Data do Caixa Realizado]]=""),"Vencida","Não Vencida")</f>
        <v>Não Vencida</v>
      </c>
      <c r="P125" s="48" t="str">
        <f>IF(TbRegistroEntradas[[#This Row],[Data da Competência]]=TbRegistroEntradas[[#This Row],[Data do Caixa Previsto]],"Vista","Prazo")</f>
        <v>Prazo</v>
      </c>
      <c r="Q12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6" spans="2:17" x14ac:dyDescent="0.25">
      <c r="B126" s="14">
        <v>43428.73128891184</v>
      </c>
      <c r="C126" s="14">
        <v>43306</v>
      </c>
      <c r="D126" s="14">
        <v>43350.178253053913</v>
      </c>
      <c r="E126" t="s">
        <v>24</v>
      </c>
      <c r="F126" t="s">
        <v>32</v>
      </c>
      <c r="G126" t="s">
        <v>187</v>
      </c>
      <c r="H126" s="17">
        <v>4383</v>
      </c>
      <c r="I126">
        <f>IF(TbRegistroEntradas[[#This Row],[Data do Caixa Realizado]]="",0,MONTH(TbRegistroEntradas[[#This Row],[Data do Caixa Realizado]]))</f>
        <v>11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 s="48">
        <f>IF(TbRegistroEntradas[[#This Row],[Data do Caixa Previsto]]="",0,MONTH(TbRegistroEntradas[[#This Row],[Data do Caixa Previsto]]))</f>
        <v>9</v>
      </c>
      <c r="N126" s="48">
        <f>IF(TbRegistroEntradas[[#This Row],[Data do Caixa Previsto]]="",0,YEAR(TbRegistroEntradas[[#This Row],[Data do Caixa Previsto]]))</f>
        <v>2018</v>
      </c>
      <c r="O126" s="48" t="str">
        <f ca="1">IF(AND(TbRegistroEntradas[[#This Row],[Data do Caixa Previsto]]&lt;TODAY(),TbRegistroEntradas[[#This Row],[Data do Caixa Realizado]]=""),"Vencida","Não Vencida")</f>
        <v>Não Vencida</v>
      </c>
      <c r="P126" s="48" t="str">
        <f>IF(TbRegistroEntradas[[#This Row],[Data da Competência]]=TbRegistroEntradas[[#This Row],[Data do Caixa Previsto]],"Vista","Prazo")</f>
        <v>Prazo</v>
      </c>
      <c r="Q12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78.553035857927171</v>
      </c>
    </row>
    <row r="127" spans="2:17" x14ac:dyDescent="0.25">
      <c r="B127" s="14">
        <v>43352.69621488743</v>
      </c>
      <c r="C127" s="14">
        <v>43310</v>
      </c>
      <c r="D127" s="14">
        <v>43352.69621488743</v>
      </c>
      <c r="E127" t="s">
        <v>24</v>
      </c>
      <c r="F127" t="s">
        <v>34</v>
      </c>
      <c r="G127" t="s">
        <v>188</v>
      </c>
      <c r="H127" s="17">
        <v>1369</v>
      </c>
      <c r="I127">
        <f>IF(TbRegistroEntradas[[#This Row],[Data do Caixa Realizado]]="",0,MONTH(TbRegistroEntradas[[#This Row],[Data do Caixa Realizado]]))</f>
        <v>9</v>
      </c>
      <c r="J127">
        <f>IF(TbRegistroEntradas[[#This Row],[Data do Caixa Realizado]]="",0,YEAR(TbRegistroEntradas[[#This Row],[Data do Caixa Realizado]]))</f>
        <v>2018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 s="48">
        <f>IF(TbRegistroEntradas[[#This Row],[Data do Caixa Previsto]]="",0,MONTH(TbRegistroEntradas[[#This Row],[Data do Caixa Previsto]]))</f>
        <v>9</v>
      </c>
      <c r="N127" s="48">
        <f>IF(TbRegistroEntradas[[#This Row],[Data do Caixa Previsto]]="",0,YEAR(TbRegistroEntradas[[#This Row],[Data do Caixa Previsto]]))</f>
        <v>2018</v>
      </c>
      <c r="O127" s="48" t="str">
        <f ca="1">IF(AND(TbRegistroEntradas[[#This Row],[Data do Caixa Previsto]]&lt;TODAY(),TbRegistroEntradas[[#This Row],[Data do Caixa Realizado]]=""),"Vencida","Não Vencida")</f>
        <v>Não Vencida</v>
      </c>
      <c r="P127" s="48" t="str">
        <f>IF(TbRegistroEntradas[[#This Row],[Data da Competência]]=TbRegistroEntradas[[#This Row],[Data do Caixa Previsto]],"Vista","Prazo")</f>
        <v>Prazo</v>
      </c>
      <c r="Q12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8" spans="2:17" x14ac:dyDescent="0.25">
      <c r="B128" s="14">
        <v>43357.5698549507</v>
      </c>
      <c r="C128" s="14">
        <v>43315</v>
      </c>
      <c r="D128" s="14">
        <v>43357.5698549507</v>
      </c>
      <c r="E128" t="s">
        <v>24</v>
      </c>
      <c r="F128" t="s">
        <v>34</v>
      </c>
      <c r="G128" t="s">
        <v>189</v>
      </c>
      <c r="H128" s="17">
        <v>331</v>
      </c>
      <c r="I128">
        <f>IF(TbRegistroEntradas[[#This Row],[Data do Caixa Realizado]]="",0,MONTH(TbRegistroEntradas[[#This Row],[Data do Caixa Realizado]]))</f>
        <v>9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 s="48">
        <f>IF(TbRegistroEntradas[[#This Row],[Data do Caixa Previsto]]="",0,MONTH(TbRegistroEntradas[[#This Row],[Data do Caixa Previsto]]))</f>
        <v>9</v>
      </c>
      <c r="N128" s="48">
        <f>IF(TbRegistroEntradas[[#This Row],[Data do Caixa Previsto]]="",0,YEAR(TbRegistroEntradas[[#This Row],[Data do Caixa Previsto]]))</f>
        <v>2018</v>
      </c>
      <c r="O128" s="48" t="str">
        <f ca="1">IF(AND(TbRegistroEntradas[[#This Row],[Data do Caixa Previsto]]&lt;TODAY(),TbRegistroEntradas[[#This Row],[Data do Caixa Realizado]]=""),"Vencida","Não Vencida")</f>
        <v>Não Vencida</v>
      </c>
      <c r="P128" s="48" t="str">
        <f>IF(TbRegistroEntradas[[#This Row],[Data da Competência]]=TbRegistroEntradas[[#This Row],[Data do Caixa Previsto]],"Vista","Prazo")</f>
        <v>Prazo</v>
      </c>
      <c r="Q12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29" spans="2:17" x14ac:dyDescent="0.25">
      <c r="B129" s="14">
        <v>43321.343775306508</v>
      </c>
      <c r="C129" s="14">
        <v>43318</v>
      </c>
      <c r="D129" s="14">
        <v>43321.343775306508</v>
      </c>
      <c r="E129" t="s">
        <v>24</v>
      </c>
      <c r="F129" t="s">
        <v>34</v>
      </c>
      <c r="G129" t="s">
        <v>190</v>
      </c>
      <c r="H129" s="17">
        <v>3031</v>
      </c>
      <c r="I129">
        <f>IF(TbRegistroEntradas[[#This Row],[Data do Caixa Realizado]]="",0,MONTH(TbRegistroEntradas[[#This Row],[Data do Caixa Realizado]]))</f>
        <v>8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 s="48">
        <f>IF(TbRegistroEntradas[[#This Row],[Data do Caixa Previsto]]="",0,MONTH(TbRegistroEntradas[[#This Row],[Data do Caixa Previsto]]))</f>
        <v>8</v>
      </c>
      <c r="N129" s="48">
        <f>IF(TbRegistroEntradas[[#This Row],[Data do Caixa Previsto]]="",0,YEAR(TbRegistroEntradas[[#This Row],[Data do Caixa Previsto]]))</f>
        <v>2018</v>
      </c>
      <c r="O129" s="48" t="str">
        <f ca="1">IF(AND(TbRegistroEntradas[[#This Row],[Data do Caixa Previsto]]&lt;TODAY(),TbRegistroEntradas[[#This Row],[Data do Caixa Realizado]]=""),"Vencida","Não Vencida")</f>
        <v>Não Vencida</v>
      </c>
      <c r="P129" s="48" t="str">
        <f>IF(TbRegistroEntradas[[#This Row],[Data da Competência]]=TbRegistroEntradas[[#This Row],[Data do Caixa Previsto]],"Vista","Prazo")</f>
        <v>Prazo</v>
      </c>
      <c r="Q12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0" spans="2:17" x14ac:dyDescent="0.25">
      <c r="B130" s="14">
        <v>43341.446775987133</v>
      </c>
      <c r="C130" s="14">
        <v>43321</v>
      </c>
      <c r="D130" s="14">
        <v>43341.446775987133</v>
      </c>
      <c r="E130" t="s">
        <v>24</v>
      </c>
      <c r="F130" t="s">
        <v>32</v>
      </c>
      <c r="G130" t="s">
        <v>191</v>
      </c>
      <c r="H130" s="17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 s="48">
        <f>IF(TbRegistroEntradas[[#This Row],[Data do Caixa Previsto]]="",0,MONTH(TbRegistroEntradas[[#This Row],[Data do Caixa Previsto]]))</f>
        <v>8</v>
      </c>
      <c r="N130" s="48">
        <f>IF(TbRegistroEntradas[[#This Row],[Data do Caixa Previsto]]="",0,YEAR(TbRegistroEntradas[[#This Row],[Data do Caixa Previsto]]))</f>
        <v>2018</v>
      </c>
      <c r="O130" s="48" t="str">
        <f ca="1">IF(AND(TbRegistroEntradas[[#This Row],[Data do Caixa Previsto]]&lt;TODAY(),TbRegistroEntradas[[#This Row],[Data do Caixa Realizado]]=""),"Vencida","Não Vencida")</f>
        <v>Não Vencida</v>
      </c>
      <c r="P130" s="48" t="str">
        <f>IF(TbRegistroEntradas[[#This Row],[Data da Competência]]=TbRegistroEntradas[[#This Row],[Data do Caixa Previsto]],"Vista","Prazo")</f>
        <v>Prazo</v>
      </c>
      <c r="Q13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1" spans="2:17" x14ac:dyDescent="0.25">
      <c r="B131" s="14">
        <v>43343.77071694022</v>
      </c>
      <c r="C131" s="14">
        <v>43323</v>
      </c>
      <c r="D131" s="14">
        <v>43343.77071694022</v>
      </c>
      <c r="E131" t="s">
        <v>24</v>
      </c>
      <c r="F131" t="s">
        <v>32</v>
      </c>
      <c r="G131" t="s">
        <v>192</v>
      </c>
      <c r="H131" s="17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 s="48">
        <f>IF(TbRegistroEntradas[[#This Row],[Data do Caixa Previsto]]="",0,MONTH(TbRegistroEntradas[[#This Row],[Data do Caixa Previsto]]))</f>
        <v>8</v>
      </c>
      <c r="N131" s="48">
        <f>IF(TbRegistroEntradas[[#This Row],[Data do Caixa Previsto]]="",0,YEAR(TbRegistroEntradas[[#This Row],[Data do Caixa Previsto]]))</f>
        <v>2018</v>
      </c>
      <c r="O131" s="48" t="str">
        <f ca="1">IF(AND(TbRegistroEntradas[[#This Row],[Data do Caixa Previsto]]&lt;TODAY(),TbRegistroEntradas[[#This Row],[Data do Caixa Realizado]]=""),"Vencida","Não Vencida")</f>
        <v>Não Vencida</v>
      </c>
      <c r="P131" s="48" t="str">
        <f>IF(TbRegistroEntradas[[#This Row],[Data da Competência]]=TbRegistroEntradas[[#This Row],[Data do Caixa Previsto]],"Vista","Prazo")</f>
        <v>Prazo</v>
      </c>
      <c r="Q13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2" spans="2:17" x14ac:dyDescent="0.25">
      <c r="B132" s="14">
        <v>43360.32999077069</v>
      </c>
      <c r="C132" s="14">
        <v>43326</v>
      </c>
      <c r="D132" s="14">
        <v>43360.32999077069</v>
      </c>
      <c r="E132" t="s">
        <v>24</v>
      </c>
      <c r="F132" t="s">
        <v>31</v>
      </c>
      <c r="G132" t="s">
        <v>158</v>
      </c>
      <c r="H132" s="17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 s="48">
        <f>IF(TbRegistroEntradas[[#This Row],[Data do Caixa Previsto]]="",0,MONTH(TbRegistroEntradas[[#This Row],[Data do Caixa Previsto]]))</f>
        <v>9</v>
      </c>
      <c r="N132" s="48">
        <f>IF(TbRegistroEntradas[[#This Row],[Data do Caixa Previsto]]="",0,YEAR(TbRegistroEntradas[[#This Row],[Data do Caixa Previsto]]))</f>
        <v>2018</v>
      </c>
      <c r="O132" s="48" t="str">
        <f ca="1">IF(AND(TbRegistroEntradas[[#This Row],[Data do Caixa Previsto]]&lt;TODAY(),TbRegistroEntradas[[#This Row],[Data do Caixa Realizado]]=""),"Vencida","Não Vencida")</f>
        <v>Não Vencida</v>
      </c>
      <c r="P132" s="48" t="str">
        <f>IF(TbRegistroEntradas[[#This Row],[Data da Competência]]=TbRegistroEntradas[[#This Row],[Data do Caixa Previsto]],"Vista","Prazo")</f>
        <v>Prazo</v>
      </c>
      <c r="Q13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3" spans="2:17" x14ac:dyDescent="0.25">
      <c r="B133" s="14">
        <v>43329.315214521994</v>
      </c>
      <c r="C133" s="14">
        <v>43329</v>
      </c>
      <c r="D133" s="14">
        <v>43329.315214521994</v>
      </c>
      <c r="E133" t="s">
        <v>24</v>
      </c>
      <c r="F133" t="s">
        <v>34</v>
      </c>
      <c r="G133" t="s">
        <v>193</v>
      </c>
      <c r="H133" s="17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 s="48">
        <f>IF(TbRegistroEntradas[[#This Row],[Data do Caixa Previsto]]="",0,MONTH(TbRegistroEntradas[[#This Row],[Data do Caixa Previsto]]))</f>
        <v>8</v>
      </c>
      <c r="N133" s="48">
        <f>IF(TbRegistroEntradas[[#This Row],[Data do Caixa Previsto]]="",0,YEAR(TbRegistroEntradas[[#This Row],[Data do Caixa Previsto]]))</f>
        <v>2018</v>
      </c>
      <c r="O133" s="48" t="str">
        <f ca="1">IF(AND(TbRegistroEntradas[[#This Row],[Data do Caixa Previsto]]&lt;TODAY(),TbRegistroEntradas[[#This Row],[Data do Caixa Realizado]]=""),"Vencida","Não Vencida")</f>
        <v>Não Vencida</v>
      </c>
      <c r="P133" s="48" t="str">
        <f>IF(TbRegistroEntradas[[#This Row],[Data da Competência]]=TbRegistroEntradas[[#This Row],[Data do Caixa Previsto]],"Vista","Prazo")</f>
        <v>Prazo</v>
      </c>
      <c r="Q13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4" spans="2:17" x14ac:dyDescent="0.25">
      <c r="B134" s="14">
        <v>43388.49957155843</v>
      </c>
      <c r="C134" s="14">
        <v>43336</v>
      </c>
      <c r="D134" s="14">
        <v>43388.49957155843</v>
      </c>
      <c r="E134" t="s">
        <v>24</v>
      </c>
      <c r="F134" t="s">
        <v>35</v>
      </c>
      <c r="G134" t="s">
        <v>194</v>
      </c>
      <c r="H134" s="17">
        <v>4287</v>
      </c>
      <c r="I134">
        <f>IF(TbRegistroEntradas[[#This Row],[Data do Caixa Realizado]]="",0,MONTH(TbRegistroEntradas[[#This Row],[Data do Caixa Realizado]]))</f>
        <v>10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 s="48">
        <f>IF(TbRegistroEntradas[[#This Row],[Data do Caixa Previsto]]="",0,MONTH(TbRegistroEntradas[[#This Row],[Data do Caixa Previsto]]))</f>
        <v>10</v>
      </c>
      <c r="N134" s="48">
        <f>IF(TbRegistroEntradas[[#This Row],[Data do Caixa Previsto]]="",0,YEAR(TbRegistroEntradas[[#This Row],[Data do Caixa Previsto]]))</f>
        <v>2018</v>
      </c>
      <c r="O134" s="48" t="str">
        <f ca="1">IF(AND(TbRegistroEntradas[[#This Row],[Data do Caixa Previsto]]&lt;TODAY(),TbRegistroEntradas[[#This Row],[Data do Caixa Realizado]]=""),"Vencida","Não Vencida")</f>
        <v>Não Vencida</v>
      </c>
      <c r="P134" s="48" t="str">
        <f>IF(TbRegistroEntradas[[#This Row],[Data da Competência]]=TbRegistroEntradas[[#This Row],[Data do Caixa Previsto]],"Vista","Prazo")</f>
        <v>Prazo</v>
      </c>
      <c r="Q13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5" spans="2:17" x14ac:dyDescent="0.25">
      <c r="B135" s="14">
        <v>43395.898810917068</v>
      </c>
      <c r="C135" s="14">
        <v>43338</v>
      </c>
      <c r="D135" s="14">
        <v>43395.898810917068</v>
      </c>
      <c r="E135" t="s">
        <v>24</v>
      </c>
      <c r="F135" t="s">
        <v>35</v>
      </c>
      <c r="G135" t="s">
        <v>195</v>
      </c>
      <c r="H135" s="17">
        <v>4857</v>
      </c>
      <c r="I135">
        <f>IF(TbRegistroEntradas[[#This Row],[Data do Caixa Realizado]]="",0,MONTH(TbRegistroEntradas[[#This Row],[Data do Caixa Realizado]]))</f>
        <v>10</v>
      </c>
      <c r="J135">
        <f>IF(TbRegistroEntradas[[#This Row],[Data do Caixa Realizado]]="",0,YEAR(TbRegistroEntradas[[#This Row],[Data do Caixa Realizado]]))</f>
        <v>2018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 s="48">
        <f>IF(TbRegistroEntradas[[#This Row],[Data do Caixa Previsto]]="",0,MONTH(TbRegistroEntradas[[#This Row],[Data do Caixa Previsto]]))</f>
        <v>10</v>
      </c>
      <c r="N135" s="48">
        <f>IF(TbRegistroEntradas[[#This Row],[Data do Caixa Previsto]]="",0,YEAR(TbRegistroEntradas[[#This Row],[Data do Caixa Previsto]]))</f>
        <v>2018</v>
      </c>
      <c r="O135" s="48" t="str">
        <f ca="1">IF(AND(TbRegistroEntradas[[#This Row],[Data do Caixa Previsto]]&lt;TODAY(),TbRegistroEntradas[[#This Row],[Data do Caixa Realizado]]=""),"Vencida","Não Vencida")</f>
        <v>Não Vencida</v>
      </c>
      <c r="P135" s="48" t="str">
        <f>IF(TbRegistroEntradas[[#This Row],[Data da Competência]]=TbRegistroEntradas[[#This Row],[Data do Caixa Previsto]],"Vista","Prazo")</f>
        <v>Prazo</v>
      </c>
      <c r="Q13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6" spans="2:17" x14ac:dyDescent="0.25">
      <c r="B136" s="14">
        <v>43393.910050358987</v>
      </c>
      <c r="C136" s="14">
        <v>43342</v>
      </c>
      <c r="D136" s="14">
        <v>43393.910050358987</v>
      </c>
      <c r="E136" t="s">
        <v>24</v>
      </c>
      <c r="F136" t="s">
        <v>34</v>
      </c>
      <c r="G136" t="s">
        <v>196</v>
      </c>
      <c r="H136" s="17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 s="48">
        <f>IF(TbRegistroEntradas[[#This Row],[Data do Caixa Previsto]]="",0,MONTH(TbRegistroEntradas[[#This Row],[Data do Caixa Previsto]]))</f>
        <v>10</v>
      </c>
      <c r="N136" s="48">
        <f>IF(TbRegistroEntradas[[#This Row],[Data do Caixa Previsto]]="",0,YEAR(TbRegistroEntradas[[#This Row],[Data do Caixa Previsto]]))</f>
        <v>2018</v>
      </c>
      <c r="O136" s="48" t="str">
        <f ca="1">IF(AND(TbRegistroEntradas[[#This Row],[Data do Caixa Previsto]]&lt;TODAY(),TbRegistroEntradas[[#This Row],[Data do Caixa Realizado]]=""),"Vencida","Não Vencida")</f>
        <v>Não Vencida</v>
      </c>
      <c r="P136" s="48" t="str">
        <f>IF(TbRegistroEntradas[[#This Row],[Data da Competência]]=TbRegistroEntradas[[#This Row],[Data do Caixa Previsto]],"Vista","Prazo")</f>
        <v>Prazo</v>
      </c>
      <c r="Q13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7" spans="2:17" x14ac:dyDescent="0.25">
      <c r="B137" s="14">
        <v>43354.387651420941</v>
      </c>
      <c r="C137" s="14">
        <v>43343</v>
      </c>
      <c r="D137" s="14">
        <v>43354.387651420941</v>
      </c>
      <c r="E137" t="s">
        <v>24</v>
      </c>
      <c r="F137" t="s">
        <v>32</v>
      </c>
      <c r="G137" t="s">
        <v>197</v>
      </c>
      <c r="H137" s="17">
        <v>2467</v>
      </c>
      <c r="I137">
        <f>IF(TbRegistroEntradas[[#This Row],[Data do Caixa Realizado]]="",0,MONTH(TbRegistroEntradas[[#This Row],[Data do Caixa Realizado]]))</f>
        <v>9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 s="48">
        <f>IF(TbRegistroEntradas[[#This Row],[Data do Caixa Previsto]]="",0,MONTH(TbRegistroEntradas[[#This Row],[Data do Caixa Previsto]]))</f>
        <v>9</v>
      </c>
      <c r="N137" s="48">
        <f>IF(TbRegistroEntradas[[#This Row],[Data do Caixa Previsto]]="",0,YEAR(TbRegistroEntradas[[#This Row],[Data do Caixa Previsto]]))</f>
        <v>2018</v>
      </c>
      <c r="O137" s="48" t="str">
        <f ca="1">IF(AND(TbRegistroEntradas[[#This Row],[Data do Caixa Previsto]]&lt;TODAY(),TbRegistroEntradas[[#This Row],[Data do Caixa Realizado]]=""),"Vencida","Não Vencida")</f>
        <v>Não Vencida</v>
      </c>
      <c r="P137" s="48" t="str">
        <f>IF(TbRegistroEntradas[[#This Row],[Data da Competência]]=TbRegistroEntradas[[#This Row],[Data do Caixa Previsto]],"Vista","Prazo")</f>
        <v>Prazo</v>
      </c>
      <c r="Q13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38" spans="2:17" x14ac:dyDescent="0.25">
      <c r="B138" s="14" t="s">
        <v>74</v>
      </c>
      <c r="C138" s="14">
        <v>43344</v>
      </c>
      <c r="D138" s="14">
        <v>43370.663792328756</v>
      </c>
      <c r="E138" t="s">
        <v>24</v>
      </c>
      <c r="F138" t="s">
        <v>34</v>
      </c>
      <c r="G138" t="s">
        <v>198</v>
      </c>
      <c r="H138" s="17">
        <v>4253</v>
      </c>
      <c r="I138">
        <f>IF(TbRegistroEntradas[[#This Row],[Data do Caixa Realizado]]="",0,MONTH(TbRegistroEntradas[[#This Row],[Data do Caixa Realizado]]))</f>
        <v>0</v>
      </c>
      <c r="J138">
        <f>IF(TbRegistroEntradas[[#This Row],[Data do Caixa Realizado]]="",0,YEAR(TbRegistroEntradas[[#This Row],[Data do Caixa Realizado]]))</f>
        <v>0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 s="48">
        <f>IF(TbRegistroEntradas[[#This Row],[Data do Caixa Previsto]]="",0,MONTH(TbRegistroEntradas[[#This Row],[Data do Caixa Previsto]]))</f>
        <v>9</v>
      </c>
      <c r="N138" s="48">
        <f>IF(TbRegistroEntradas[[#This Row],[Data do Caixa Previsto]]="",0,YEAR(TbRegistroEntradas[[#This Row],[Data do Caixa Previsto]]))</f>
        <v>2018</v>
      </c>
      <c r="O138" s="48" t="str">
        <f ca="1">IF(AND(TbRegistroEntradas[[#This Row],[Data do Caixa Previsto]]&lt;TODAY(),TbRegistroEntradas[[#This Row],[Data do Caixa Realizado]]=""),"Vencida","Não Vencida")</f>
        <v>Vencida</v>
      </c>
      <c r="P138" s="48" t="str">
        <f>IF(TbRegistroEntradas[[#This Row],[Data da Competência]]=TbRegistroEntradas[[#This Row],[Data do Caixa Previsto]],"Vista","Prazo")</f>
        <v>Prazo</v>
      </c>
      <c r="Q13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2445.3362076712438</v>
      </c>
    </row>
    <row r="139" spans="2:17" x14ac:dyDescent="0.25">
      <c r="B139" s="14">
        <v>43357.782262904322</v>
      </c>
      <c r="C139" s="14">
        <v>43350</v>
      </c>
      <c r="D139" s="14">
        <v>43357.782262904322</v>
      </c>
      <c r="E139" t="s">
        <v>24</v>
      </c>
      <c r="F139" t="s">
        <v>35</v>
      </c>
      <c r="G139" t="s">
        <v>199</v>
      </c>
      <c r="H139" s="17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 s="48">
        <f>IF(TbRegistroEntradas[[#This Row],[Data do Caixa Previsto]]="",0,MONTH(TbRegistroEntradas[[#This Row],[Data do Caixa Previsto]]))</f>
        <v>9</v>
      </c>
      <c r="N139" s="48">
        <f>IF(TbRegistroEntradas[[#This Row],[Data do Caixa Previsto]]="",0,YEAR(TbRegistroEntradas[[#This Row],[Data do Caixa Previsto]]))</f>
        <v>2018</v>
      </c>
      <c r="O139" s="48" t="str">
        <f ca="1">IF(AND(TbRegistroEntradas[[#This Row],[Data do Caixa Previsto]]&lt;TODAY(),TbRegistroEntradas[[#This Row],[Data do Caixa Realizado]]=""),"Vencida","Não Vencida")</f>
        <v>Não Vencida</v>
      </c>
      <c r="P139" s="48" t="str">
        <f>IF(TbRegistroEntradas[[#This Row],[Data da Competência]]=TbRegistroEntradas[[#This Row],[Data do Caixa Previsto]],"Vista","Prazo")</f>
        <v>Prazo</v>
      </c>
      <c r="Q13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0" spans="2:17" x14ac:dyDescent="0.25">
      <c r="B140" s="14">
        <v>43370.746792358121</v>
      </c>
      <c r="C140" s="14">
        <v>43352</v>
      </c>
      <c r="D140" s="14">
        <v>43365.799147030826</v>
      </c>
      <c r="E140" t="s">
        <v>24</v>
      </c>
      <c r="F140" t="s">
        <v>34</v>
      </c>
      <c r="G140" t="s">
        <v>200</v>
      </c>
      <c r="H140" s="17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 s="48">
        <f>IF(TbRegistroEntradas[[#This Row],[Data do Caixa Previsto]]="",0,MONTH(TbRegistroEntradas[[#This Row],[Data do Caixa Previsto]]))</f>
        <v>9</v>
      </c>
      <c r="N140" s="48">
        <f>IF(TbRegistroEntradas[[#This Row],[Data do Caixa Previsto]]="",0,YEAR(TbRegistroEntradas[[#This Row],[Data do Caixa Previsto]]))</f>
        <v>2018</v>
      </c>
      <c r="O140" s="48" t="str">
        <f ca="1">IF(AND(TbRegistroEntradas[[#This Row],[Data do Caixa Previsto]]&lt;TODAY(),TbRegistroEntradas[[#This Row],[Data do Caixa Realizado]]=""),"Vencida","Não Vencida")</f>
        <v>Não Vencida</v>
      </c>
      <c r="P140" s="48" t="str">
        <f>IF(TbRegistroEntradas[[#This Row],[Data da Competência]]=TbRegistroEntradas[[#This Row],[Data do Caixa Previsto]],"Vista","Prazo")</f>
        <v>Prazo</v>
      </c>
      <c r="Q14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4.9476453272945946</v>
      </c>
    </row>
    <row r="141" spans="2:17" x14ac:dyDescent="0.25">
      <c r="B141" s="14">
        <v>43452.502445224149</v>
      </c>
      <c r="C141" s="14">
        <v>43355</v>
      </c>
      <c r="D141" s="14">
        <v>43383.231108677093</v>
      </c>
      <c r="E141" t="s">
        <v>24</v>
      </c>
      <c r="F141" t="s">
        <v>34</v>
      </c>
      <c r="G141" t="s">
        <v>201</v>
      </c>
      <c r="H141" s="17">
        <v>1207</v>
      </c>
      <c r="I141">
        <f>IF(TbRegistroEntradas[[#This Row],[Data do Caixa Realizado]]="",0,MONTH(TbRegistroEntradas[[#This Row],[Data do Caixa Realizado]]))</f>
        <v>12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 s="48">
        <f>IF(TbRegistroEntradas[[#This Row],[Data do Caixa Previsto]]="",0,MONTH(TbRegistroEntradas[[#This Row],[Data do Caixa Previsto]]))</f>
        <v>10</v>
      </c>
      <c r="N141" s="48">
        <f>IF(TbRegistroEntradas[[#This Row],[Data do Caixa Previsto]]="",0,YEAR(TbRegistroEntradas[[#This Row],[Data do Caixa Previsto]]))</f>
        <v>2018</v>
      </c>
      <c r="O141" s="48" t="str">
        <f ca="1">IF(AND(TbRegistroEntradas[[#This Row],[Data do Caixa Previsto]]&lt;TODAY(),TbRegistroEntradas[[#This Row],[Data do Caixa Realizado]]=""),"Vencida","Não Vencida")</f>
        <v>Não Vencida</v>
      </c>
      <c r="P141" s="48" t="str">
        <f>IF(TbRegistroEntradas[[#This Row],[Data da Competência]]=TbRegistroEntradas[[#This Row],[Data do Caixa Previsto]],"Vista","Prazo")</f>
        <v>Prazo</v>
      </c>
      <c r="Q14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69.271336547055398</v>
      </c>
    </row>
    <row r="142" spans="2:17" x14ac:dyDescent="0.25">
      <c r="B142" s="14">
        <v>43412.045933493078</v>
      </c>
      <c r="C142" s="14">
        <v>43361</v>
      </c>
      <c r="D142" s="14">
        <v>43412.045933493078</v>
      </c>
      <c r="E142" t="s">
        <v>24</v>
      </c>
      <c r="F142" t="s">
        <v>32</v>
      </c>
      <c r="G142" t="s">
        <v>202</v>
      </c>
      <c r="H142" s="17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 s="48">
        <f>IF(TbRegistroEntradas[[#This Row],[Data do Caixa Previsto]]="",0,MONTH(TbRegistroEntradas[[#This Row],[Data do Caixa Previsto]]))</f>
        <v>11</v>
      </c>
      <c r="N142" s="48">
        <f>IF(TbRegistroEntradas[[#This Row],[Data do Caixa Previsto]]="",0,YEAR(TbRegistroEntradas[[#This Row],[Data do Caixa Previsto]]))</f>
        <v>2018</v>
      </c>
      <c r="O142" s="48" t="str">
        <f ca="1">IF(AND(TbRegistroEntradas[[#This Row],[Data do Caixa Previsto]]&lt;TODAY(),TbRegistroEntradas[[#This Row],[Data do Caixa Realizado]]=""),"Vencida","Não Vencida")</f>
        <v>Não Vencida</v>
      </c>
      <c r="P142" s="48" t="str">
        <f>IF(TbRegistroEntradas[[#This Row],[Data da Competência]]=TbRegistroEntradas[[#This Row],[Data do Caixa Previsto]],"Vista","Prazo")</f>
        <v>Prazo</v>
      </c>
      <c r="Q14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3" spans="2:17" x14ac:dyDescent="0.25">
      <c r="B143" s="14">
        <v>43374.505096957248</v>
      </c>
      <c r="C143" s="14">
        <v>43363</v>
      </c>
      <c r="D143" s="14">
        <v>43374.505096957248</v>
      </c>
      <c r="E143" t="s">
        <v>24</v>
      </c>
      <c r="F143" t="s">
        <v>33</v>
      </c>
      <c r="G143" t="s">
        <v>203</v>
      </c>
      <c r="H143" s="17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 s="48">
        <f>IF(TbRegistroEntradas[[#This Row],[Data do Caixa Previsto]]="",0,MONTH(TbRegistroEntradas[[#This Row],[Data do Caixa Previsto]]))</f>
        <v>10</v>
      </c>
      <c r="N143" s="48">
        <f>IF(TbRegistroEntradas[[#This Row],[Data do Caixa Previsto]]="",0,YEAR(TbRegistroEntradas[[#This Row],[Data do Caixa Previsto]]))</f>
        <v>2018</v>
      </c>
      <c r="O143" s="48" t="str">
        <f ca="1">IF(AND(TbRegistroEntradas[[#This Row],[Data do Caixa Previsto]]&lt;TODAY(),TbRegistroEntradas[[#This Row],[Data do Caixa Realizado]]=""),"Vencida","Não Vencida")</f>
        <v>Não Vencida</v>
      </c>
      <c r="P143" s="48" t="str">
        <f>IF(TbRegistroEntradas[[#This Row],[Data da Competência]]=TbRegistroEntradas[[#This Row],[Data do Caixa Previsto]],"Vista","Prazo")</f>
        <v>Prazo</v>
      </c>
      <c r="Q14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4" spans="2:17" x14ac:dyDescent="0.25">
      <c r="B144" s="14">
        <v>43388.790596442639</v>
      </c>
      <c r="C144" s="14">
        <v>43364</v>
      </c>
      <c r="D144" s="14">
        <v>43377.195562585111</v>
      </c>
      <c r="E144" t="s">
        <v>24</v>
      </c>
      <c r="F144" t="s">
        <v>34</v>
      </c>
      <c r="G144" t="s">
        <v>204</v>
      </c>
      <c r="H144" s="17">
        <v>2106</v>
      </c>
      <c r="I144">
        <f>IF(TbRegistroEntradas[[#This Row],[Data do Caixa Realizado]]="",0,MONTH(TbRegistroEntradas[[#This Row],[Data do Caixa Realizado]]))</f>
        <v>10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 s="48">
        <f>IF(TbRegistroEntradas[[#This Row],[Data do Caixa Previsto]]="",0,MONTH(TbRegistroEntradas[[#This Row],[Data do Caixa Previsto]]))</f>
        <v>10</v>
      </c>
      <c r="N144" s="48">
        <f>IF(TbRegistroEntradas[[#This Row],[Data do Caixa Previsto]]="",0,YEAR(TbRegistroEntradas[[#This Row],[Data do Caixa Previsto]]))</f>
        <v>2018</v>
      </c>
      <c r="O144" s="48" t="str">
        <f ca="1">IF(AND(TbRegistroEntradas[[#This Row],[Data do Caixa Previsto]]&lt;TODAY(),TbRegistroEntradas[[#This Row],[Data do Caixa Realizado]]=""),"Vencida","Não Vencida")</f>
        <v>Não Vencida</v>
      </c>
      <c r="P144" s="48" t="str">
        <f>IF(TbRegistroEntradas[[#This Row],[Data da Competência]]=TbRegistroEntradas[[#This Row],[Data do Caixa Previsto]],"Vista","Prazo")</f>
        <v>Prazo</v>
      </c>
      <c r="Q14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11.595033857527596</v>
      </c>
    </row>
    <row r="145" spans="2:17" x14ac:dyDescent="0.25">
      <c r="B145" s="14">
        <v>43405.698265794999</v>
      </c>
      <c r="C145" s="14">
        <v>43366</v>
      </c>
      <c r="D145" s="14">
        <v>43405.698265794999</v>
      </c>
      <c r="E145" t="s">
        <v>24</v>
      </c>
      <c r="F145" t="s">
        <v>33</v>
      </c>
      <c r="G145" t="s">
        <v>205</v>
      </c>
      <c r="H145" s="17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 s="48">
        <f>IF(TbRegistroEntradas[[#This Row],[Data do Caixa Previsto]]="",0,MONTH(TbRegistroEntradas[[#This Row],[Data do Caixa Previsto]]))</f>
        <v>11</v>
      </c>
      <c r="N145" s="48">
        <f>IF(TbRegistroEntradas[[#This Row],[Data do Caixa Previsto]]="",0,YEAR(TbRegistroEntradas[[#This Row],[Data do Caixa Previsto]]))</f>
        <v>2018</v>
      </c>
      <c r="O145" s="48" t="str">
        <f ca="1">IF(AND(TbRegistroEntradas[[#This Row],[Data do Caixa Previsto]]&lt;TODAY(),TbRegistroEntradas[[#This Row],[Data do Caixa Realizado]]=""),"Vencida","Não Vencida")</f>
        <v>Não Vencida</v>
      </c>
      <c r="P145" s="48" t="str">
        <f>IF(TbRegistroEntradas[[#This Row],[Data da Competência]]=TbRegistroEntradas[[#This Row],[Data do Caixa Previsto]],"Vista","Prazo")</f>
        <v>Prazo</v>
      </c>
      <c r="Q14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6" spans="2:17" x14ac:dyDescent="0.25">
      <c r="B146" s="14">
        <v>43395.635115246572</v>
      </c>
      <c r="C146" s="14">
        <v>43369</v>
      </c>
      <c r="D146" s="14">
        <v>43395.635115246572</v>
      </c>
      <c r="E146" t="s">
        <v>24</v>
      </c>
      <c r="F146" t="s">
        <v>32</v>
      </c>
      <c r="G146" t="s">
        <v>206</v>
      </c>
      <c r="H146" s="17">
        <v>3222</v>
      </c>
      <c r="I146">
        <f>IF(TbRegistroEntradas[[#This Row],[Data do Caixa Realizado]]="",0,MONTH(TbRegistroEntradas[[#This Row],[Data do Caixa Realizado]]))</f>
        <v>10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 s="48">
        <f>IF(TbRegistroEntradas[[#This Row],[Data do Caixa Previsto]]="",0,MONTH(TbRegistroEntradas[[#This Row],[Data do Caixa Previsto]]))</f>
        <v>10</v>
      </c>
      <c r="N146" s="48">
        <f>IF(TbRegistroEntradas[[#This Row],[Data do Caixa Previsto]]="",0,YEAR(TbRegistroEntradas[[#This Row],[Data do Caixa Previsto]]))</f>
        <v>2018</v>
      </c>
      <c r="O146" s="48" t="str">
        <f ca="1">IF(AND(TbRegistroEntradas[[#This Row],[Data do Caixa Previsto]]&lt;TODAY(),TbRegistroEntradas[[#This Row],[Data do Caixa Realizado]]=""),"Vencida","Não Vencida")</f>
        <v>Não Vencida</v>
      </c>
      <c r="P146" s="48" t="str">
        <f>IF(TbRegistroEntradas[[#This Row],[Data da Competência]]=TbRegistroEntradas[[#This Row],[Data do Caixa Previsto]],"Vista","Prazo")</f>
        <v>Prazo</v>
      </c>
      <c r="Q14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7" spans="2:17" x14ac:dyDescent="0.25">
      <c r="B147" s="14">
        <v>43392.294011107704</v>
      </c>
      <c r="C147" s="14">
        <v>43374</v>
      </c>
      <c r="D147" s="14">
        <v>43392.294011107704</v>
      </c>
      <c r="E147" t="s">
        <v>24</v>
      </c>
      <c r="F147" t="s">
        <v>34</v>
      </c>
      <c r="G147" t="s">
        <v>207</v>
      </c>
      <c r="H147" s="17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 s="48">
        <f>IF(TbRegistroEntradas[[#This Row],[Data do Caixa Previsto]]="",0,MONTH(TbRegistroEntradas[[#This Row],[Data do Caixa Previsto]]))</f>
        <v>10</v>
      </c>
      <c r="N147" s="48">
        <f>IF(TbRegistroEntradas[[#This Row],[Data do Caixa Previsto]]="",0,YEAR(TbRegistroEntradas[[#This Row],[Data do Caixa Previsto]]))</f>
        <v>2018</v>
      </c>
      <c r="O147" s="48" t="str">
        <f ca="1">IF(AND(TbRegistroEntradas[[#This Row],[Data do Caixa Previsto]]&lt;TODAY(),TbRegistroEntradas[[#This Row],[Data do Caixa Realizado]]=""),"Vencida","Não Vencida")</f>
        <v>Não Vencida</v>
      </c>
      <c r="P147" s="48" t="str">
        <f>IF(TbRegistroEntradas[[#This Row],[Data da Competência]]=TbRegistroEntradas[[#This Row],[Data do Caixa Previsto]],"Vista","Prazo")</f>
        <v>Prazo</v>
      </c>
      <c r="Q14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48" spans="2:17" x14ac:dyDescent="0.25">
      <c r="B148" s="14" t="s">
        <v>74</v>
      </c>
      <c r="C148" s="14">
        <v>43378</v>
      </c>
      <c r="D148" s="14">
        <v>43399.816257310325</v>
      </c>
      <c r="E148" t="s">
        <v>24</v>
      </c>
      <c r="F148" t="s">
        <v>31</v>
      </c>
      <c r="G148" t="s">
        <v>208</v>
      </c>
      <c r="H148" s="17">
        <v>4922</v>
      </c>
      <c r="I148">
        <f>IF(TbRegistroEntradas[[#This Row],[Data do Caixa Realizado]]="",0,MONTH(TbRegistroEntradas[[#This Row],[Data do Caixa Realizado]]))</f>
        <v>0</v>
      </c>
      <c r="J148">
        <f>IF(TbRegistroEntradas[[#This Row],[Data do Caixa Realizado]]="",0,YEAR(TbRegistroEntradas[[#This Row],[Data do Caixa Realizado]]))</f>
        <v>0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 s="48">
        <f>IF(TbRegistroEntradas[[#This Row],[Data do Caixa Previsto]]="",0,MONTH(TbRegistroEntradas[[#This Row],[Data do Caixa Previsto]]))</f>
        <v>10</v>
      </c>
      <c r="N148" s="48">
        <f>IF(TbRegistroEntradas[[#This Row],[Data do Caixa Previsto]]="",0,YEAR(TbRegistroEntradas[[#This Row],[Data do Caixa Previsto]]))</f>
        <v>2018</v>
      </c>
      <c r="O148" s="48" t="str">
        <f ca="1">IF(AND(TbRegistroEntradas[[#This Row],[Data do Caixa Previsto]]&lt;TODAY(),TbRegistroEntradas[[#This Row],[Data do Caixa Realizado]]=""),"Vencida","Não Vencida")</f>
        <v>Vencida</v>
      </c>
      <c r="P148" s="48" t="str">
        <f>IF(TbRegistroEntradas[[#This Row],[Data da Competência]]=TbRegistroEntradas[[#This Row],[Data do Caixa Previsto]],"Vista","Prazo")</f>
        <v>Prazo</v>
      </c>
      <c r="Q14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2416.1837426896745</v>
      </c>
    </row>
    <row r="149" spans="2:17" x14ac:dyDescent="0.25">
      <c r="B149" s="14">
        <v>43491.255960910879</v>
      </c>
      <c r="C149" s="14">
        <v>43382</v>
      </c>
      <c r="D149" s="14">
        <v>43432.893680650159</v>
      </c>
      <c r="E149" t="s">
        <v>24</v>
      </c>
      <c r="F149" t="s">
        <v>35</v>
      </c>
      <c r="G149" t="s">
        <v>209</v>
      </c>
      <c r="H149" s="17">
        <v>1688</v>
      </c>
      <c r="I149">
        <f>IF(TbRegistroEntradas[[#This Row],[Data do Caixa Realizado]]="",0,MONTH(TbRegistroEntradas[[#This Row],[Data do Caixa Realizado]]))</f>
        <v>1</v>
      </c>
      <c r="J149">
        <f>IF(TbRegistroEntradas[[#This Row],[Data do Caixa Realizado]]="",0,YEAR(TbRegistroEntradas[[#This Row],[Data do Caixa Realizado]]))</f>
        <v>2019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 s="48">
        <f>IF(TbRegistroEntradas[[#This Row],[Data do Caixa Previsto]]="",0,MONTH(TbRegistroEntradas[[#This Row],[Data do Caixa Previsto]]))</f>
        <v>11</v>
      </c>
      <c r="N149" s="48">
        <f>IF(TbRegistroEntradas[[#This Row],[Data do Caixa Previsto]]="",0,YEAR(TbRegistroEntradas[[#This Row],[Data do Caixa Previsto]]))</f>
        <v>2018</v>
      </c>
      <c r="O149" s="48" t="str">
        <f ca="1">IF(AND(TbRegistroEntradas[[#This Row],[Data do Caixa Previsto]]&lt;TODAY(),TbRegistroEntradas[[#This Row],[Data do Caixa Realizado]]=""),"Vencida","Não Vencida")</f>
        <v>Não Vencida</v>
      </c>
      <c r="P149" s="48" t="str">
        <f>IF(TbRegistroEntradas[[#This Row],[Data da Competência]]=TbRegistroEntradas[[#This Row],[Data do Caixa Previsto]],"Vista","Prazo")</f>
        <v>Prazo</v>
      </c>
      <c r="Q14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58.362280260720581</v>
      </c>
    </row>
    <row r="150" spans="2:17" x14ac:dyDescent="0.25">
      <c r="B150" s="14">
        <v>43442.77456497735</v>
      </c>
      <c r="C150" s="14">
        <v>43382</v>
      </c>
      <c r="D150" s="14">
        <v>43423.510226289633</v>
      </c>
      <c r="E150" t="s">
        <v>24</v>
      </c>
      <c r="F150" t="s">
        <v>35</v>
      </c>
      <c r="G150" t="s">
        <v>210</v>
      </c>
      <c r="H150" s="17">
        <v>979</v>
      </c>
      <c r="I150">
        <f>IF(TbRegistroEntradas[[#This Row],[Data do Caixa Realizado]]="",0,MONTH(TbRegistroEntradas[[#This Row],[Data do Caixa Realizado]]))</f>
        <v>12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 s="48">
        <f>IF(TbRegistroEntradas[[#This Row],[Data do Caixa Previsto]]="",0,MONTH(TbRegistroEntradas[[#This Row],[Data do Caixa Previsto]]))</f>
        <v>11</v>
      </c>
      <c r="N150" s="48">
        <f>IF(TbRegistroEntradas[[#This Row],[Data do Caixa Previsto]]="",0,YEAR(TbRegistroEntradas[[#This Row],[Data do Caixa Previsto]]))</f>
        <v>2018</v>
      </c>
      <c r="O150" s="48" t="str">
        <f ca="1">IF(AND(TbRegistroEntradas[[#This Row],[Data do Caixa Previsto]]&lt;TODAY(),TbRegistroEntradas[[#This Row],[Data do Caixa Realizado]]=""),"Vencida","Não Vencida")</f>
        <v>Não Vencida</v>
      </c>
      <c r="P150" s="48" t="str">
        <f>IF(TbRegistroEntradas[[#This Row],[Data da Competência]]=TbRegistroEntradas[[#This Row],[Data do Caixa Previsto]],"Vista","Prazo")</f>
        <v>Prazo</v>
      </c>
      <c r="Q15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19.2643386877171</v>
      </c>
    </row>
    <row r="151" spans="2:17" x14ac:dyDescent="0.25">
      <c r="B151" s="14">
        <v>43400.871146361249</v>
      </c>
      <c r="C151" s="14">
        <v>43387</v>
      </c>
      <c r="D151" s="14">
        <v>43400.871146361249</v>
      </c>
      <c r="E151" t="s">
        <v>24</v>
      </c>
      <c r="F151" t="s">
        <v>34</v>
      </c>
      <c r="G151" t="s">
        <v>211</v>
      </c>
      <c r="H151" s="17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 s="48">
        <f>IF(TbRegistroEntradas[[#This Row],[Data do Caixa Previsto]]="",0,MONTH(TbRegistroEntradas[[#This Row],[Data do Caixa Previsto]]))</f>
        <v>10</v>
      </c>
      <c r="N151" s="48">
        <f>IF(TbRegistroEntradas[[#This Row],[Data do Caixa Previsto]]="",0,YEAR(TbRegistroEntradas[[#This Row],[Data do Caixa Previsto]]))</f>
        <v>2018</v>
      </c>
      <c r="O151" s="48" t="str">
        <f ca="1">IF(AND(TbRegistroEntradas[[#This Row],[Data do Caixa Previsto]]&lt;TODAY(),TbRegistroEntradas[[#This Row],[Data do Caixa Realizado]]=""),"Vencida","Não Vencida")</f>
        <v>Não Vencida</v>
      </c>
      <c r="P151" s="48" t="str">
        <f>IF(TbRegistroEntradas[[#This Row],[Data da Competência]]=TbRegistroEntradas[[#This Row],[Data do Caixa Previsto]],"Vista","Prazo")</f>
        <v>Prazo</v>
      </c>
      <c r="Q15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2" spans="2:17" x14ac:dyDescent="0.25">
      <c r="B152" s="14">
        <v>43438.136766228803</v>
      </c>
      <c r="C152" s="14">
        <v>43389</v>
      </c>
      <c r="D152" s="14">
        <v>43438.136766228803</v>
      </c>
      <c r="E152" t="s">
        <v>24</v>
      </c>
      <c r="F152" t="s">
        <v>35</v>
      </c>
      <c r="G152" t="s">
        <v>212</v>
      </c>
      <c r="H152" s="17">
        <v>4061</v>
      </c>
      <c r="I152">
        <f>IF(TbRegistroEntradas[[#This Row],[Data do Caixa Realizado]]="",0,MONTH(TbRegistroEntradas[[#This Row],[Data do Caixa Realizado]]))</f>
        <v>12</v>
      </c>
      <c r="J152">
        <f>IF(TbRegistroEntradas[[#This Row],[Data do Caixa Realizado]]="",0,YEAR(TbRegistroEntradas[[#This Row],[Data do Caixa Realizado]]))</f>
        <v>2018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 s="48">
        <f>IF(TbRegistroEntradas[[#This Row],[Data do Caixa Previsto]]="",0,MONTH(TbRegistroEntradas[[#This Row],[Data do Caixa Previsto]]))</f>
        <v>12</v>
      </c>
      <c r="N152" s="48">
        <f>IF(TbRegistroEntradas[[#This Row],[Data do Caixa Previsto]]="",0,YEAR(TbRegistroEntradas[[#This Row],[Data do Caixa Previsto]]))</f>
        <v>2018</v>
      </c>
      <c r="O152" s="48" t="str">
        <f ca="1">IF(AND(TbRegistroEntradas[[#This Row],[Data do Caixa Previsto]]&lt;TODAY(),TbRegistroEntradas[[#This Row],[Data do Caixa Realizado]]=""),"Vencida","Não Vencida")</f>
        <v>Não Vencida</v>
      </c>
      <c r="P152" s="48" t="str">
        <f>IF(TbRegistroEntradas[[#This Row],[Data da Competência]]=TbRegistroEntradas[[#This Row],[Data do Caixa Previsto]],"Vista","Prazo")</f>
        <v>Prazo</v>
      </c>
      <c r="Q15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3" spans="2:17" x14ac:dyDescent="0.25">
      <c r="B153" s="14">
        <v>43493.104436604881</v>
      </c>
      <c r="C153" s="14">
        <v>43394</v>
      </c>
      <c r="D153" s="14">
        <v>43435.81232629544</v>
      </c>
      <c r="E153" t="s">
        <v>24</v>
      </c>
      <c r="F153" t="s">
        <v>32</v>
      </c>
      <c r="G153" t="s">
        <v>213</v>
      </c>
      <c r="H153" s="17">
        <v>4404</v>
      </c>
      <c r="I153">
        <f>IF(TbRegistroEntradas[[#This Row],[Data do Caixa Realizado]]="",0,MONTH(TbRegistroEntradas[[#This Row],[Data do Caixa Realizado]]))</f>
        <v>1</v>
      </c>
      <c r="J153">
        <f>IF(TbRegistroEntradas[[#This Row],[Data do Caixa Realizado]]="",0,YEAR(TbRegistroEntradas[[#This Row],[Data do Caixa Realizado]]))</f>
        <v>2019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 s="48">
        <f>IF(TbRegistroEntradas[[#This Row],[Data do Caixa Previsto]]="",0,MONTH(TbRegistroEntradas[[#This Row],[Data do Caixa Previsto]]))</f>
        <v>12</v>
      </c>
      <c r="N153" s="48">
        <f>IF(TbRegistroEntradas[[#This Row],[Data do Caixa Previsto]]="",0,YEAR(TbRegistroEntradas[[#This Row],[Data do Caixa Previsto]]))</f>
        <v>2018</v>
      </c>
      <c r="O153" s="48" t="str">
        <f ca="1">IF(AND(TbRegistroEntradas[[#This Row],[Data do Caixa Previsto]]&lt;TODAY(),TbRegistroEntradas[[#This Row],[Data do Caixa Realizado]]=""),"Vencida","Não Vencida")</f>
        <v>Não Vencida</v>
      </c>
      <c r="P153" s="48" t="str">
        <f>IF(TbRegistroEntradas[[#This Row],[Data da Competência]]=TbRegistroEntradas[[#This Row],[Data do Caixa Previsto]],"Vista","Prazo")</f>
        <v>Prazo</v>
      </c>
      <c r="Q15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57.292110309441341</v>
      </c>
    </row>
    <row r="154" spans="2:17" x14ac:dyDescent="0.25">
      <c r="B154" s="14">
        <v>43419.609240604143</v>
      </c>
      <c r="C154" s="14">
        <v>43398</v>
      </c>
      <c r="D154" s="14">
        <v>43419.609240604143</v>
      </c>
      <c r="E154" t="s">
        <v>24</v>
      </c>
      <c r="F154" t="s">
        <v>34</v>
      </c>
      <c r="G154" t="s">
        <v>214</v>
      </c>
      <c r="H154" s="17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 s="48">
        <f>IF(TbRegistroEntradas[[#This Row],[Data do Caixa Previsto]]="",0,MONTH(TbRegistroEntradas[[#This Row],[Data do Caixa Previsto]]))</f>
        <v>11</v>
      </c>
      <c r="N154" s="48">
        <f>IF(TbRegistroEntradas[[#This Row],[Data do Caixa Previsto]]="",0,YEAR(TbRegistroEntradas[[#This Row],[Data do Caixa Previsto]]))</f>
        <v>2018</v>
      </c>
      <c r="O154" s="48" t="str">
        <f ca="1">IF(AND(TbRegistroEntradas[[#This Row],[Data do Caixa Previsto]]&lt;TODAY(),TbRegistroEntradas[[#This Row],[Data do Caixa Realizado]]=""),"Vencida","Não Vencida")</f>
        <v>Não Vencida</v>
      </c>
      <c r="P154" s="48" t="str">
        <f>IF(TbRegistroEntradas[[#This Row],[Data da Competência]]=TbRegistroEntradas[[#This Row],[Data do Caixa Previsto]],"Vista","Prazo")</f>
        <v>Prazo</v>
      </c>
      <c r="Q15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5" spans="2:17" x14ac:dyDescent="0.25">
      <c r="B155" s="14">
        <v>43457.427069040656</v>
      </c>
      <c r="C155" s="14">
        <v>43398</v>
      </c>
      <c r="D155" s="14">
        <v>43457.427069040656</v>
      </c>
      <c r="E155" t="s">
        <v>24</v>
      </c>
      <c r="F155" t="s">
        <v>32</v>
      </c>
      <c r="G155" t="s">
        <v>215</v>
      </c>
      <c r="H155" s="17">
        <v>2713</v>
      </c>
      <c r="I155">
        <f>IF(TbRegistroEntradas[[#This Row],[Data do Caixa Realizado]]="",0,MONTH(TbRegistroEntradas[[#This Row],[Data do Caixa Realizado]]))</f>
        <v>12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 s="48">
        <f>IF(TbRegistroEntradas[[#This Row],[Data do Caixa Previsto]]="",0,MONTH(TbRegistroEntradas[[#This Row],[Data do Caixa Previsto]]))</f>
        <v>12</v>
      </c>
      <c r="N155" s="48">
        <f>IF(TbRegistroEntradas[[#This Row],[Data do Caixa Previsto]]="",0,YEAR(TbRegistroEntradas[[#This Row],[Data do Caixa Previsto]]))</f>
        <v>2018</v>
      </c>
      <c r="O155" s="48" t="str">
        <f ca="1">IF(AND(TbRegistroEntradas[[#This Row],[Data do Caixa Previsto]]&lt;TODAY(),TbRegistroEntradas[[#This Row],[Data do Caixa Realizado]]=""),"Vencida","Não Vencida")</f>
        <v>Não Vencida</v>
      </c>
      <c r="P155" s="48" t="str">
        <f>IF(TbRegistroEntradas[[#This Row],[Data da Competência]]=TbRegistroEntradas[[#This Row],[Data do Caixa Previsto]],"Vista","Prazo")</f>
        <v>Prazo</v>
      </c>
      <c r="Q15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6" spans="2:17" x14ac:dyDescent="0.25">
      <c r="B156" s="14">
        <v>43416.791420716982</v>
      </c>
      <c r="C156" s="14">
        <v>43403</v>
      </c>
      <c r="D156" s="14">
        <v>43416.791420716982</v>
      </c>
      <c r="E156" t="s">
        <v>24</v>
      </c>
      <c r="F156" t="s">
        <v>34</v>
      </c>
      <c r="G156" t="s">
        <v>216</v>
      </c>
      <c r="H156" s="17">
        <v>3787</v>
      </c>
      <c r="I156">
        <f>IF(TbRegistroEntradas[[#This Row],[Data do Caixa Realizado]]="",0,MONTH(TbRegistroEntradas[[#This Row],[Data do Caixa Realizado]]))</f>
        <v>11</v>
      </c>
      <c r="J156">
        <f>IF(TbRegistroEntradas[[#This Row],[Data do Caixa Realizado]]="",0,YEAR(TbRegistroEntradas[[#This Row],[Data do Caixa Realizado]]))</f>
        <v>2018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 s="48">
        <f>IF(TbRegistroEntradas[[#This Row],[Data do Caixa Previsto]]="",0,MONTH(TbRegistroEntradas[[#This Row],[Data do Caixa Previsto]]))</f>
        <v>11</v>
      </c>
      <c r="N156" s="48">
        <f>IF(TbRegistroEntradas[[#This Row],[Data do Caixa Previsto]]="",0,YEAR(TbRegistroEntradas[[#This Row],[Data do Caixa Previsto]]))</f>
        <v>2018</v>
      </c>
      <c r="O156" s="48" t="str">
        <f ca="1">IF(AND(TbRegistroEntradas[[#This Row],[Data do Caixa Previsto]]&lt;TODAY(),TbRegistroEntradas[[#This Row],[Data do Caixa Realizado]]=""),"Vencida","Não Vencida")</f>
        <v>Não Vencida</v>
      </c>
      <c r="P156" s="48" t="str">
        <f>IF(TbRegistroEntradas[[#This Row],[Data da Competência]]=TbRegistroEntradas[[#This Row],[Data do Caixa Previsto]],"Vista","Prazo")</f>
        <v>Prazo</v>
      </c>
      <c r="Q15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7" spans="2:17" x14ac:dyDescent="0.25">
      <c r="B157" s="14">
        <v>43503.017030074843</v>
      </c>
      <c r="C157" s="14">
        <v>43408</v>
      </c>
      <c r="D157" s="14">
        <v>43442.90009272196</v>
      </c>
      <c r="E157" t="s">
        <v>24</v>
      </c>
      <c r="F157" t="s">
        <v>33</v>
      </c>
      <c r="G157" t="s">
        <v>217</v>
      </c>
      <c r="H157" s="17">
        <v>1820</v>
      </c>
      <c r="I157">
        <f>IF(TbRegistroEntradas[[#This Row],[Data do Caixa Realizado]]="",0,MONTH(TbRegistroEntradas[[#This Row],[Data do Caixa Realizado]]))</f>
        <v>2</v>
      </c>
      <c r="J157">
        <f>IF(TbRegistroEntradas[[#This Row],[Data do Caixa Realizado]]="",0,YEAR(TbRegistroEntradas[[#This Row],[Data do Caixa Realizado]]))</f>
        <v>2019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 s="48">
        <f>IF(TbRegistroEntradas[[#This Row],[Data do Caixa Previsto]]="",0,MONTH(TbRegistroEntradas[[#This Row],[Data do Caixa Previsto]]))</f>
        <v>12</v>
      </c>
      <c r="N157" s="48">
        <f>IF(TbRegistroEntradas[[#This Row],[Data do Caixa Previsto]]="",0,YEAR(TbRegistroEntradas[[#This Row],[Data do Caixa Previsto]]))</f>
        <v>2018</v>
      </c>
      <c r="O157" s="48" t="str">
        <f ca="1">IF(AND(TbRegistroEntradas[[#This Row],[Data do Caixa Previsto]]&lt;TODAY(),TbRegistroEntradas[[#This Row],[Data do Caixa Realizado]]=""),"Vencida","Não Vencida")</f>
        <v>Não Vencida</v>
      </c>
      <c r="P157" s="48" t="str">
        <f>IF(TbRegistroEntradas[[#This Row],[Data da Competência]]=TbRegistroEntradas[[#This Row],[Data do Caixa Previsto]],"Vista","Prazo")</f>
        <v>Prazo</v>
      </c>
      <c r="Q15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60.116937352882815</v>
      </c>
    </row>
    <row r="158" spans="2:17" x14ac:dyDescent="0.25">
      <c r="B158" s="14">
        <v>43431.589825007759</v>
      </c>
      <c r="C158" s="14">
        <v>43412</v>
      </c>
      <c r="D158" s="14">
        <v>43431.589825007759</v>
      </c>
      <c r="E158" t="s">
        <v>24</v>
      </c>
      <c r="F158" t="s">
        <v>34</v>
      </c>
      <c r="G158" t="s">
        <v>218</v>
      </c>
      <c r="H158" s="17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 s="48">
        <f>IF(TbRegistroEntradas[[#This Row],[Data do Caixa Previsto]]="",0,MONTH(TbRegistroEntradas[[#This Row],[Data do Caixa Previsto]]))</f>
        <v>11</v>
      </c>
      <c r="N158" s="48">
        <f>IF(TbRegistroEntradas[[#This Row],[Data do Caixa Previsto]]="",0,YEAR(TbRegistroEntradas[[#This Row],[Data do Caixa Previsto]]))</f>
        <v>2018</v>
      </c>
      <c r="O158" s="48" t="str">
        <f ca="1">IF(AND(TbRegistroEntradas[[#This Row],[Data do Caixa Previsto]]&lt;TODAY(),TbRegistroEntradas[[#This Row],[Data do Caixa Realizado]]=""),"Vencida","Não Vencida")</f>
        <v>Não Vencida</v>
      </c>
      <c r="P158" s="48" t="str">
        <f>IF(TbRegistroEntradas[[#This Row],[Data da Competência]]=TbRegistroEntradas[[#This Row],[Data do Caixa Previsto]],"Vista","Prazo")</f>
        <v>Prazo</v>
      </c>
      <c r="Q15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59" spans="2:17" x14ac:dyDescent="0.25">
      <c r="B159" s="14">
        <v>43467.343545956064</v>
      </c>
      <c r="C159" s="14">
        <v>43415</v>
      </c>
      <c r="D159" s="14">
        <v>43421.091967250024</v>
      </c>
      <c r="E159" t="s">
        <v>24</v>
      </c>
      <c r="F159" t="s">
        <v>34</v>
      </c>
      <c r="G159" t="s">
        <v>219</v>
      </c>
      <c r="H159" s="17">
        <v>3902</v>
      </c>
      <c r="I159">
        <f>IF(TbRegistroEntradas[[#This Row],[Data do Caixa Realizado]]="",0,MONTH(TbRegistroEntradas[[#This Row],[Data do Caixa Realizado]]))</f>
        <v>1</v>
      </c>
      <c r="J159">
        <f>IF(TbRegistroEntradas[[#This Row],[Data do Caixa Realizado]]="",0,YEAR(TbRegistroEntradas[[#This Row],[Data do Caixa Realizado]]))</f>
        <v>2019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 s="48">
        <f>IF(TbRegistroEntradas[[#This Row],[Data do Caixa Previsto]]="",0,MONTH(TbRegistroEntradas[[#This Row],[Data do Caixa Previsto]]))</f>
        <v>11</v>
      </c>
      <c r="N159" s="48">
        <f>IF(TbRegistroEntradas[[#This Row],[Data do Caixa Previsto]]="",0,YEAR(TbRegistroEntradas[[#This Row],[Data do Caixa Previsto]]))</f>
        <v>2018</v>
      </c>
      <c r="O159" s="48" t="str">
        <f ca="1">IF(AND(TbRegistroEntradas[[#This Row],[Data do Caixa Previsto]]&lt;TODAY(),TbRegistroEntradas[[#This Row],[Data do Caixa Realizado]]=""),"Vencida","Não Vencida")</f>
        <v>Não Vencida</v>
      </c>
      <c r="P159" s="48" t="str">
        <f>IF(TbRegistroEntradas[[#This Row],[Data da Competência]]=TbRegistroEntradas[[#This Row],[Data do Caixa Previsto]],"Vista","Prazo")</f>
        <v>Prazo</v>
      </c>
      <c r="Q15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46.251578706040164</v>
      </c>
    </row>
    <row r="160" spans="2:17" x14ac:dyDescent="0.25">
      <c r="B160" s="14">
        <v>43523.081285354827</v>
      </c>
      <c r="C160" s="14">
        <v>43418</v>
      </c>
      <c r="D160" s="14">
        <v>43441.738773120276</v>
      </c>
      <c r="E160" t="s">
        <v>24</v>
      </c>
      <c r="F160" t="s">
        <v>34</v>
      </c>
      <c r="G160" t="s">
        <v>220</v>
      </c>
      <c r="H160" s="17">
        <v>4319</v>
      </c>
      <c r="I160">
        <f>IF(TbRegistroEntradas[[#This Row],[Data do Caixa Realizado]]="",0,MONTH(TbRegistroEntradas[[#This Row],[Data do Caixa Realizado]]))</f>
        <v>2</v>
      </c>
      <c r="J160">
        <f>IF(TbRegistroEntradas[[#This Row],[Data do Caixa Realizado]]="",0,YEAR(TbRegistroEntradas[[#This Row],[Data do Caixa Realizado]]))</f>
        <v>2019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 s="48">
        <f>IF(TbRegistroEntradas[[#This Row],[Data do Caixa Previsto]]="",0,MONTH(TbRegistroEntradas[[#This Row],[Data do Caixa Previsto]]))</f>
        <v>12</v>
      </c>
      <c r="N160" s="48">
        <f>IF(TbRegistroEntradas[[#This Row],[Data do Caixa Previsto]]="",0,YEAR(TbRegistroEntradas[[#This Row],[Data do Caixa Previsto]]))</f>
        <v>2018</v>
      </c>
      <c r="O160" s="48" t="str">
        <f ca="1">IF(AND(TbRegistroEntradas[[#This Row],[Data do Caixa Previsto]]&lt;TODAY(),TbRegistroEntradas[[#This Row],[Data do Caixa Realizado]]=""),"Vencida","Não Vencida")</f>
        <v>Não Vencida</v>
      </c>
      <c r="P160" s="48" t="str">
        <f>IF(TbRegistroEntradas[[#This Row],[Data da Competência]]=TbRegistroEntradas[[#This Row],[Data do Caixa Previsto]],"Vista","Prazo")</f>
        <v>Prazo</v>
      </c>
      <c r="Q16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81.342512234550668</v>
      </c>
    </row>
    <row r="161" spans="2:17" x14ac:dyDescent="0.25">
      <c r="B161" s="14">
        <v>43464.748499618698</v>
      </c>
      <c r="C161" s="14">
        <v>43421</v>
      </c>
      <c r="D161" s="14">
        <v>43464.748499618698</v>
      </c>
      <c r="E161" t="s">
        <v>24</v>
      </c>
      <c r="F161" t="s">
        <v>32</v>
      </c>
      <c r="G161" t="s">
        <v>221</v>
      </c>
      <c r="H161" s="17">
        <v>3068</v>
      </c>
      <c r="I161">
        <f>IF(TbRegistroEntradas[[#This Row],[Data do Caixa Realizado]]="",0,MONTH(TbRegistroEntradas[[#This Row],[Data do Caixa Realizado]]))</f>
        <v>12</v>
      </c>
      <c r="J161">
        <f>IF(TbRegistroEntradas[[#This Row],[Data do Caixa Realizado]]="",0,YEAR(TbRegistroEntradas[[#This Row],[Data do Caixa Realizado]]))</f>
        <v>2018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 s="48">
        <f>IF(TbRegistroEntradas[[#This Row],[Data do Caixa Previsto]]="",0,MONTH(TbRegistroEntradas[[#This Row],[Data do Caixa Previsto]]))</f>
        <v>12</v>
      </c>
      <c r="N161" s="48">
        <f>IF(TbRegistroEntradas[[#This Row],[Data do Caixa Previsto]]="",0,YEAR(TbRegistroEntradas[[#This Row],[Data do Caixa Previsto]]))</f>
        <v>2018</v>
      </c>
      <c r="O161" s="48" t="str">
        <f ca="1">IF(AND(TbRegistroEntradas[[#This Row],[Data do Caixa Previsto]]&lt;TODAY(),TbRegistroEntradas[[#This Row],[Data do Caixa Realizado]]=""),"Vencida","Não Vencida")</f>
        <v>Não Vencida</v>
      </c>
      <c r="P161" s="48" t="str">
        <f>IF(TbRegistroEntradas[[#This Row],[Data da Competência]]=TbRegistroEntradas[[#This Row],[Data do Caixa Previsto]],"Vista","Prazo")</f>
        <v>Prazo</v>
      </c>
      <c r="Q16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62" spans="2:17" x14ac:dyDescent="0.25">
      <c r="B162" s="14">
        <v>43455.375597423525</v>
      </c>
      <c r="C162" s="14">
        <v>43425</v>
      </c>
      <c r="D162" s="14">
        <v>43455.375597423525</v>
      </c>
      <c r="E162" t="s">
        <v>24</v>
      </c>
      <c r="F162" t="s">
        <v>34</v>
      </c>
      <c r="G162" t="s">
        <v>222</v>
      </c>
      <c r="H162" s="17">
        <v>1880</v>
      </c>
      <c r="I162">
        <f>IF(TbRegistroEntradas[[#This Row],[Data do Caixa Realizado]]="",0,MONTH(TbRegistroEntradas[[#This Row],[Data do Caixa Realizado]]))</f>
        <v>12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 s="48">
        <f>IF(TbRegistroEntradas[[#This Row],[Data do Caixa Previsto]]="",0,MONTH(TbRegistroEntradas[[#This Row],[Data do Caixa Previsto]]))</f>
        <v>12</v>
      </c>
      <c r="N162" s="48">
        <f>IF(TbRegistroEntradas[[#This Row],[Data do Caixa Previsto]]="",0,YEAR(TbRegistroEntradas[[#This Row],[Data do Caixa Previsto]]))</f>
        <v>2018</v>
      </c>
      <c r="O162" s="48" t="str">
        <f ca="1">IF(AND(TbRegistroEntradas[[#This Row],[Data do Caixa Previsto]]&lt;TODAY(),TbRegistroEntradas[[#This Row],[Data do Caixa Realizado]]=""),"Vencida","Não Vencida")</f>
        <v>Não Vencida</v>
      </c>
      <c r="P162" s="48" t="str">
        <f>IF(TbRegistroEntradas[[#This Row],[Data da Competência]]=TbRegistroEntradas[[#This Row],[Data do Caixa Previsto]],"Vista","Prazo")</f>
        <v>Prazo</v>
      </c>
      <c r="Q16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63" spans="2:17" x14ac:dyDescent="0.25">
      <c r="B163" s="14" t="s">
        <v>74</v>
      </c>
      <c r="C163" s="14">
        <v>43427</v>
      </c>
      <c r="D163" s="14">
        <v>43465.063381850647</v>
      </c>
      <c r="E163" t="s">
        <v>24</v>
      </c>
      <c r="F163" t="s">
        <v>34</v>
      </c>
      <c r="G163" t="s">
        <v>223</v>
      </c>
      <c r="H163" s="17">
        <v>1414</v>
      </c>
      <c r="I163">
        <f>IF(TbRegistroEntradas[[#This Row],[Data do Caixa Realizado]]="",0,MONTH(TbRegistroEntradas[[#This Row],[Data do Caixa Realizado]]))</f>
        <v>0</v>
      </c>
      <c r="J163">
        <f>IF(TbRegistroEntradas[[#This Row],[Data do Caixa Realizado]]="",0,YEAR(TbRegistroEntradas[[#This Row],[Data do Caixa Realizado]]))</f>
        <v>0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 s="48">
        <f>IF(TbRegistroEntradas[[#This Row],[Data do Caixa Previsto]]="",0,MONTH(TbRegistroEntradas[[#This Row],[Data do Caixa Previsto]]))</f>
        <v>12</v>
      </c>
      <c r="N163" s="48">
        <f>IF(TbRegistroEntradas[[#This Row],[Data do Caixa Previsto]]="",0,YEAR(TbRegistroEntradas[[#This Row],[Data do Caixa Previsto]]))</f>
        <v>2018</v>
      </c>
      <c r="O163" s="48" t="str">
        <f ca="1">IF(AND(TbRegistroEntradas[[#This Row],[Data do Caixa Previsto]]&lt;TODAY(),TbRegistroEntradas[[#This Row],[Data do Caixa Realizado]]=""),"Vencida","Não Vencida")</f>
        <v>Vencida</v>
      </c>
      <c r="P163" s="48" t="str">
        <f>IF(TbRegistroEntradas[[#This Row],[Data da Competência]]=TbRegistroEntradas[[#This Row],[Data do Caixa Previsto]],"Vista","Prazo")</f>
        <v>Prazo</v>
      </c>
      <c r="Q16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2350.9366181493533</v>
      </c>
    </row>
    <row r="164" spans="2:17" x14ac:dyDescent="0.25">
      <c r="B164" s="14" t="s">
        <v>74</v>
      </c>
      <c r="C164" s="14">
        <v>43430</v>
      </c>
      <c r="D164" s="14">
        <v>43447.889924144794</v>
      </c>
      <c r="E164" t="s">
        <v>24</v>
      </c>
      <c r="F164" t="s">
        <v>31</v>
      </c>
      <c r="G164" t="s">
        <v>224</v>
      </c>
      <c r="H164" s="17">
        <v>919</v>
      </c>
      <c r="I164">
        <f>IF(TbRegistroEntradas[[#This Row],[Data do Caixa Realizado]]="",0,MONTH(TbRegistroEntradas[[#This Row],[Data do Caixa Realizado]]))</f>
        <v>0</v>
      </c>
      <c r="J164">
        <f>IF(TbRegistroEntradas[[#This Row],[Data do Caixa Realizado]]="",0,YEAR(TbRegistroEntradas[[#This Row],[Data do Caixa Realizado]]))</f>
        <v>0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 s="48">
        <f>IF(TbRegistroEntradas[[#This Row],[Data do Caixa Previsto]]="",0,MONTH(TbRegistroEntradas[[#This Row],[Data do Caixa Previsto]]))</f>
        <v>12</v>
      </c>
      <c r="N164" s="48">
        <f>IF(TbRegistroEntradas[[#This Row],[Data do Caixa Previsto]]="",0,YEAR(TbRegistroEntradas[[#This Row],[Data do Caixa Previsto]]))</f>
        <v>2018</v>
      </c>
      <c r="O164" s="48" t="str">
        <f ca="1">IF(AND(TbRegistroEntradas[[#This Row],[Data do Caixa Previsto]]&lt;TODAY(),TbRegistroEntradas[[#This Row],[Data do Caixa Realizado]]=""),"Vencida","Não Vencida")</f>
        <v>Vencida</v>
      </c>
      <c r="P164" s="48" t="str">
        <f>IF(TbRegistroEntradas[[#This Row],[Data da Competência]]=TbRegistroEntradas[[#This Row],[Data do Caixa Previsto]],"Vista","Prazo")</f>
        <v>Prazo</v>
      </c>
      <c r="Q16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2368.1100758552057</v>
      </c>
    </row>
    <row r="165" spans="2:17" x14ac:dyDescent="0.25">
      <c r="B165" s="14">
        <v>43477.965813489587</v>
      </c>
      <c r="C165" s="14">
        <v>43431</v>
      </c>
      <c r="D165" s="14">
        <v>43477.965813489587</v>
      </c>
      <c r="E165" t="s">
        <v>24</v>
      </c>
      <c r="F165" t="s">
        <v>34</v>
      </c>
      <c r="G165" t="s">
        <v>225</v>
      </c>
      <c r="H165" s="17">
        <v>4801</v>
      </c>
      <c r="I165">
        <f>IF(TbRegistroEntradas[[#This Row],[Data do Caixa Realizado]]="",0,MONTH(TbRegistroEntradas[[#This Row],[Data do Caixa Realizado]]))</f>
        <v>1</v>
      </c>
      <c r="J165">
        <f>IF(TbRegistroEntradas[[#This Row],[Data do Caixa Realizado]]="",0,YEAR(TbRegistroEntradas[[#This Row],[Data do Caixa Realizado]]))</f>
        <v>2019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 s="48">
        <f>IF(TbRegistroEntradas[[#This Row],[Data do Caixa Previsto]]="",0,MONTH(TbRegistroEntradas[[#This Row],[Data do Caixa Previsto]]))</f>
        <v>1</v>
      </c>
      <c r="N165" s="48">
        <f>IF(TbRegistroEntradas[[#This Row],[Data do Caixa Previsto]]="",0,YEAR(TbRegistroEntradas[[#This Row],[Data do Caixa Previsto]]))</f>
        <v>2019</v>
      </c>
      <c r="O165" s="48" t="str">
        <f ca="1">IF(AND(TbRegistroEntradas[[#This Row],[Data do Caixa Previsto]]&lt;TODAY(),TbRegistroEntradas[[#This Row],[Data do Caixa Realizado]]=""),"Vencida","Não Vencida")</f>
        <v>Não Vencida</v>
      </c>
      <c r="P165" s="48" t="str">
        <f>IF(TbRegistroEntradas[[#This Row],[Data da Competência]]=TbRegistroEntradas[[#This Row],[Data do Caixa Previsto]],"Vista","Prazo")</f>
        <v>Prazo</v>
      </c>
      <c r="Q16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66" spans="2:17" x14ac:dyDescent="0.25">
      <c r="B166" s="14" t="s">
        <v>74</v>
      </c>
      <c r="C166" s="14">
        <v>43434</v>
      </c>
      <c r="D166" s="14">
        <v>43455.267564406917</v>
      </c>
      <c r="E166" t="s">
        <v>24</v>
      </c>
      <c r="F166" t="s">
        <v>35</v>
      </c>
      <c r="G166" t="s">
        <v>226</v>
      </c>
      <c r="H166" s="17">
        <v>4639</v>
      </c>
      <c r="I166">
        <f>IF(TbRegistroEntradas[[#This Row],[Data do Caixa Realizado]]="",0,MONTH(TbRegistroEntradas[[#This Row],[Data do Caixa Realizado]]))</f>
        <v>0</v>
      </c>
      <c r="J166">
        <f>IF(TbRegistroEntradas[[#This Row],[Data do Caixa Realizado]]="",0,YEAR(TbRegistroEntradas[[#This Row],[Data do Caixa Realizado]]))</f>
        <v>0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 s="48">
        <f>IF(TbRegistroEntradas[[#This Row],[Data do Caixa Previsto]]="",0,MONTH(TbRegistroEntradas[[#This Row],[Data do Caixa Previsto]]))</f>
        <v>12</v>
      </c>
      <c r="N166" s="48">
        <f>IF(TbRegistroEntradas[[#This Row],[Data do Caixa Previsto]]="",0,YEAR(TbRegistroEntradas[[#This Row],[Data do Caixa Previsto]]))</f>
        <v>2018</v>
      </c>
      <c r="O166" s="48" t="str">
        <f ca="1">IF(AND(TbRegistroEntradas[[#This Row],[Data do Caixa Previsto]]&lt;TODAY(),TbRegistroEntradas[[#This Row],[Data do Caixa Realizado]]=""),"Vencida","Não Vencida")</f>
        <v>Vencida</v>
      </c>
      <c r="P166" s="48" t="str">
        <f>IF(TbRegistroEntradas[[#This Row],[Data da Competência]]=TbRegistroEntradas[[#This Row],[Data do Caixa Previsto]],"Vista","Prazo")</f>
        <v>Prazo</v>
      </c>
      <c r="Q16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2360.7324355930832</v>
      </c>
    </row>
    <row r="167" spans="2:17" x14ac:dyDescent="0.25">
      <c r="B167" s="14">
        <v>43544.142248909535</v>
      </c>
      <c r="C167" s="14">
        <v>43440</v>
      </c>
      <c r="D167" s="14">
        <v>43487.390614414791</v>
      </c>
      <c r="E167" t="s">
        <v>24</v>
      </c>
      <c r="F167" t="s">
        <v>34</v>
      </c>
      <c r="G167" t="s">
        <v>227</v>
      </c>
      <c r="H167" s="17">
        <v>1209</v>
      </c>
      <c r="I167">
        <f>IF(TbRegistroEntradas[[#This Row],[Data do Caixa Realizado]]="",0,MONTH(TbRegistroEntradas[[#This Row],[Data do Caixa Realizado]]))</f>
        <v>3</v>
      </c>
      <c r="J167">
        <f>IF(TbRegistroEntradas[[#This Row],[Data do Caixa Realizado]]="",0,YEAR(TbRegistroEntradas[[#This Row],[Data do Caixa Realizado]]))</f>
        <v>2019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 s="48">
        <f>IF(TbRegistroEntradas[[#This Row],[Data do Caixa Previsto]]="",0,MONTH(TbRegistroEntradas[[#This Row],[Data do Caixa Previsto]]))</f>
        <v>1</v>
      </c>
      <c r="N167" s="48">
        <f>IF(TbRegistroEntradas[[#This Row],[Data do Caixa Previsto]]="",0,YEAR(TbRegistroEntradas[[#This Row],[Data do Caixa Previsto]]))</f>
        <v>2019</v>
      </c>
      <c r="O167" s="48" t="str">
        <f ca="1">IF(AND(TbRegistroEntradas[[#This Row],[Data do Caixa Previsto]]&lt;TODAY(),TbRegistroEntradas[[#This Row],[Data do Caixa Realizado]]=""),"Vencida","Não Vencida")</f>
        <v>Não Vencida</v>
      </c>
      <c r="P167" s="48" t="str">
        <f>IF(TbRegistroEntradas[[#This Row],[Data da Competência]]=TbRegistroEntradas[[#This Row],[Data do Caixa Previsto]],"Vista","Prazo")</f>
        <v>Prazo</v>
      </c>
      <c r="Q16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56.751634494743485</v>
      </c>
    </row>
    <row r="168" spans="2:17" x14ac:dyDescent="0.25">
      <c r="B168" s="14" t="s">
        <v>74</v>
      </c>
      <c r="C168" s="14">
        <v>43444</v>
      </c>
      <c r="D168" s="14">
        <v>43477.170204498791</v>
      </c>
      <c r="E168" t="s">
        <v>24</v>
      </c>
      <c r="F168" t="s">
        <v>35</v>
      </c>
      <c r="G168" t="s">
        <v>228</v>
      </c>
      <c r="H168" s="17">
        <v>483</v>
      </c>
      <c r="I168">
        <f>IF(TbRegistroEntradas[[#This Row],[Data do Caixa Realizado]]="",0,MONTH(TbRegistroEntradas[[#This Row],[Data do Caixa Realizado]]))</f>
        <v>0</v>
      </c>
      <c r="J168">
        <f>IF(TbRegistroEntradas[[#This Row],[Data do Caixa Realizado]]="",0,YEAR(TbRegistroEntradas[[#This Row],[Data do Caixa Realizado]]))</f>
        <v>0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 s="48">
        <f>IF(TbRegistroEntradas[[#This Row],[Data do Caixa Previsto]]="",0,MONTH(TbRegistroEntradas[[#This Row],[Data do Caixa Previsto]]))</f>
        <v>1</v>
      </c>
      <c r="N168" s="48">
        <f>IF(TbRegistroEntradas[[#This Row],[Data do Caixa Previsto]]="",0,YEAR(TbRegistroEntradas[[#This Row],[Data do Caixa Previsto]]))</f>
        <v>2019</v>
      </c>
      <c r="O168" s="48" t="str">
        <f ca="1">IF(AND(TbRegistroEntradas[[#This Row],[Data do Caixa Previsto]]&lt;TODAY(),TbRegistroEntradas[[#This Row],[Data do Caixa Realizado]]=""),"Vencida","Não Vencida")</f>
        <v>Vencida</v>
      </c>
      <c r="P168" s="48" t="str">
        <f>IF(TbRegistroEntradas[[#This Row],[Data da Competência]]=TbRegistroEntradas[[#This Row],[Data do Caixa Previsto]],"Vista","Prazo")</f>
        <v>Prazo</v>
      </c>
      <c r="Q16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2338.8297955012094</v>
      </c>
    </row>
    <row r="169" spans="2:17" x14ac:dyDescent="0.25">
      <c r="B169" s="14">
        <v>43469.404646888193</v>
      </c>
      <c r="C169" s="14">
        <v>43451</v>
      </c>
      <c r="D169" s="14">
        <v>43469.404646888193</v>
      </c>
      <c r="E169" t="s">
        <v>24</v>
      </c>
      <c r="F169" t="s">
        <v>34</v>
      </c>
      <c r="G169" t="s">
        <v>229</v>
      </c>
      <c r="H169" s="17">
        <v>373</v>
      </c>
      <c r="I169">
        <f>IF(TbRegistroEntradas[[#This Row],[Data do Caixa Realizado]]="",0,MONTH(TbRegistroEntradas[[#This Row],[Data do Caixa Realizado]]))</f>
        <v>1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 s="48">
        <f>IF(TbRegistroEntradas[[#This Row],[Data do Caixa Previsto]]="",0,MONTH(TbRegistroEntradas[[#This Row],[Data do Caixa Previsto]]))</f>
        <v>1</v>
      </c>
      <c r="N169" s="48">
        <f>IF(TbRegistroEntradas[[#This Row],[Data do Caixa Previsto]]="",0,YEAR(TbRegistroEntradas[[#This Row],[Data do Caixa Previsto]]))</f>
        <v>2019</v>
      </c>
      <c r="O169" s="48" t="str">
        <f ca="1">IF(AND(TbRegistroEntradas[[#This Row],[Data do Caixa Previsto]]&lt;TODAY(),TbRegistroEntradas[[#This Row],[Data do Caixa Realizado]]=""),"Vencida","Não Vencida")</f>
        <v>Não Vencida</v>
      </c>
      <c r="P169" s="48" t="str">
        <f>IF(TbRegistroEntradas[[#This Row],[Data da Competência]]=TbRegistroEntradas[[#This Row],[Data do Caixa Previsto]],"Vista","Prazo")</f>
        <v>Prazo</v>
      </c>
      <c r="Q16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0" spans="2:17" x14ac:dyDescent="0.25">
      <c r="B170" s="14">
        <v>43459.694209767709</v>
      </c>
      <c r="C170" s="14">
        <v>43454</v>
      </c>
      <c r="D170" s="14">
        <v>43459.694209767709</v>
      </c>
      <c r="E170" t="s">
        <v>24</v>
      </c>
      <c r="F170" t="s">
        <v>32</v>
      </c>
      <c r="G170" t="s">
        <v>230</v>
      </c>
      <c r="H170" s="17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 s="48">
        <f>IF(TbRegistroEntradas[[#This Row],[Data do Caixa Previsto]]="",0,MONTH(TbRegistroEntradas[[#This Row],[Data do Caixa Previsto]]))</f>
        <v>12</v>
      </c>
      <c r="N170" s="48">
        <f>IF(TbRegistroEntradas[[#This Row],[Data do Caixa Previsto]]="",0,YEAR(TbRegistroEntradas[[#This Row],[Data do Caixa Previsto]]))</f>
        <v>2018</v>
      </c>
      <c r="O170" s="48" t="str">
        <f ca="1">IF(AND(TbRegistroEntradas[[#This Row],[Data do Caixa Previsto]]&lt;TODAY(),TbRegistroEntradas[[#This Row],[Data do Caixa Realizado]]=""),"Vencida","Não Vencida")</f>
        <v>Não Vencida</v>
      </c>
      <c r="P170" s="48" t="str">
        <f>IF(TbRegistroEntradas[[#This Row],[Data da Competência]]=TbRegistroEntradas[[#This Row],[Data do Caixa Previsto]],"Vista","Prazo")</f>
        <v>Prazo</v>
      </c>
      <c r="Q17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1" spans="2:17" x14ac:dyDescent="0.25">
      <c r="B171" s="14">
        <v>43497.817197182514</v>
      </c>
      <c r="C171" s="14">
        <v>43455</v>
      </c>
      <c r="D171" s="14">
        <v>43497.817197182514</v>
      </c>
      <c r="E171" t="s">
        <v>24</v>
      </c>
      <c r="F171" t="s">
        <v>35</v>
      </c>
      <c r="G171" t="s">
        <v>231</v>
      </c>
      <c r="H171" s="17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 s="48">
        <f>IF(TbRegistroEntradas[[#This Row],[Data do Caixa Previsto]]="",0,MONTH(TbRegistroEntradas[[#This Row],[Data do Caixa Previsto]]))</f>
        <v>2</v>
      </c>
      <c r="N171" s="48">
        <f>IF(TbRegistroEntradas[[#This Row],[Data do Caixa Previsto]]="",0,YEAR(TbRegistroEntradas[[#This Row],[Data do Caixa Previsto]]))</f>
        <v>2019</v>
      </c>
      <c r="O171" s="48" t="str">
        <f ca="1">IF(AND(TbRegistroEntradas[[#This Row],[Data do Caixa Previsto]]&lt;TODAY(),TbRegistroEntradas[[#This Row],[Data do Caixa Realizado]]=""),"Vencida","Não Vencida")</f>
        <v>Não Vencida</v>
      </c>
      <c r="P171" s="48" t="str">
        <f>IF(TbRegistroEntradas[[#This Row],[Data da Competência]]=TbRegistroEntradas[[#This Row],[Data do Caixa Previsto]],"Vista","Prazo")</f>
        <v>Prazo</v>
      </c>
      <c r="Q17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2" spans="2:17" x14ac:dyDescent="0.25">
      <c r="B172" s="14">
        <v>43550.908167683869</v>
      </c>
      <c r="C172" s="14">
        <v>43457</v>
      </c>
      <c r="D172" s="14">
        <v>43493.892299226922</v>
      </c>
      <c r="E172" t="s">
        <v>24</v>
      </c>
      <c r="F172" t="s">
        <v>35</v>
      </c>
      <c r="G172" t="s">
        <v>232</v>
      </c>
      <c r="H172" s="17">
        <v>4429</v>
      </c>
      <c r="I172">
        <f>IF(TbRegistroEntradas[[#This Row],[Data do Caixa Realizado]]="",0,MONTH(TbRegistroEntradas[[#This Row],[Data do Caixa Realizado]]))</f>
        <v>3</v>
      </c>
      <c r="J172">
        <f>IF(TbRegistroEntradas[[#This Row],[Data do Caixa Realizado]]="",0,YEAR(TbRegistroEntradas[[#This Row],[Data do Caixa Realizado]]))</f>
        <v>2019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 s="48">
        <f>IF(TbRegistroEntradas[[#This Row],[Data do Caixa Previsto]]="",0,MONTH(TbRegistroEntradas[[#This Row],[Data do Caixa Previsto]]))</f>
        <v>1</v>
      </c>
      <c r="N172" s="48">
        <f>IF(TbRegistroEntradas[[#This Row],[Data do Caixa Previsto]]="",0,YEAR(TbRegistroEntradas[[#This Row],[Data do Caixa Previsto]]))</f>
        <v>2019</v>
      </c>
      <c r="O172" s="48" t="str">
        <f ca="1">IF(AND(TbRegistroEntradas[[#This Row],[Data do Caixa Previsto]]&lt;TODAY(),TbRegistroEntradas[[#This Row],[Data do Caixa Realizado]]=""),"Vencida","Não Vencida")</f>
        <v>Não Vencida</v>
      </c>
      <c r="P172" s="48" t="str">
        <f>IF(TbRegistroEntradas[[#This Row],[Data da Competência]]=TbRegistroEntradas[[#This Row],[Data do Caixa Previsto]],"Vista","Prazo")</f>
        <v>Prazo</v>
      </c>
      <c r="Q17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57.015868456946919</v>
      </c>
    </row>
    <row r="173" spans="2:17" x14ac:dyDescent="0.25">
      <c r="B173" s="14">
        <v>43519.692753371986</v>
      </c>
      <c r="C173" s="14">
        <v>43462</v>
      </c>
      <c r="D173" s="14">
        <v>43519.692753371986</v>
      </c>
      <c r="E173" t="s">
        <v>24</v>
      </c>
      <c r="F173" t="s">
        <v>34</v>
      </c>
      <c r="G173" t="s">
        <v>233</v>
      </c>
      <c r="H173" s="17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 s="48">
        <f>IF(TbRegistroEntradas[[#This Row],[Data do Caixa Previsto]]="",0,MONTH(TbRegistroEntradas[[#This Row],[Data do Caixa Previsto]]))</f>
        <v>2</v>
      </c>
      <c r="N173" s="48">
        <f>IF(TbRegistroEntradas[[#This Row],[Data do Caixa Previsto]]="",0,YEAR(TbRegistroEntradas[[#This Row],[Data do Caixa Previsto]]))</f>
        <v>2019</v>
      </c>
      <c r="O173" s="48" t="str">
        <f ca="1">IF(AND(TbRegistroEntradas[[#This Row],[Data do Caixa Previsto]]&lt;TODAY(),TbRegistroEntradas[[#This Row],[Data do Caixa Realizado]]=""),"Vencida","Não Vencida")</f>
        <v>Não Vencida</v>
      </c>
      <c r="P173" s="48" t="str">
        <f>IF(TbRegistroEntradas[[#This Row],[Data da Competência]]=TbRegistroEntradas[[#This Row],[Data do Caixa Previsto]],"Vista","Prazo")</f>
        <v>Prazo</v>
      </c>
      <c r="Q17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4" spans="2:17" x14ac:dyDescent="0.25">
      <c r="B174" s="14">
        <v>43484.08707667359</v>
      </c>
      <c r="C174" s="14">
        <v>43465</v>
      </c>
      <c r="D174" s="14">
        <v>43483.090606344922</v>
      </c>
      <c r="E174" t="s">
        <v>24</v>
      </c>
      <c r="F174" t="s">
        <v>34</v>
      </c>
      <c r="G174" t="s">
        <v>234</v>
      </c>
      <c r="H174" s="17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 s="48">
        <f>IF(TbRegistroEntradas[[#This Row],[Data do Caixa Previsto]]="",0,MONTH(TbRegistroEntradas[[#This Row],[Data do Caixa Previsto]]))</f>
        <v>1</v>
      </c>
      <c r="N174" s="48">
        <f>IF(TbRegistroEntradas[[#This Row],[Data do Caixa Previsto]]="",0,YEAR(TbRegistroEntradas[[#This Row],[Data do Caixa Previsto]]))</f>
        <v>2019</v>
      </c>
      <c r="O174" s="48" t="str">
        <f ca="1">IF(AND(TbRegistroEntradas[[#This Row],[Data do Caixa Previsto]]&lt;TODAY(),TbRegistroEntradas[[#This Row],[Data do Caixa Realizado]]=""),"Vencida","Não Vencida")</f>
        <v>Não Vencida</v>
      </c>
      <c r="P174" s="48" t="str">
        <f>IF(TbRegistroEntradas[[#This Row],[Data da Competência]]=TbRegistroEntradas[[#This Row],[Data do Caixa Previsto]],"Vista","Prazo")</f>
        <v>Prazo</v>
      </c>
      <c r="Q17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0.99647032866778318</v>
      </c>
    </row>
    <row r="175" spans="2:17" x14ac:dyDescent="0.25">
      <c r="B175" s="14">
        <v>43511.69240968494</v>
      </c>
      <c r="C175" s="14">
        <v>43469</v>
      </c>
      <c r="D175" s="14">
        <v>43511.69240968494</v>
      </c>
      <c r="E175" t="s">
        <v>24</v>
      </c>
      <c r="F175" t="s">
        <v>33</v>
      </c>
      <c r="G175" t="s">
        <v>235</v>
      </c>
      <c r="H175" s="17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 s="48">
        <f>IF(TbRegistroEntradas[[#This Row],[Data do Caixa Previsto]]="",0,MONTH(TbRegistroEntradas[[#This Row],[Data do Caixa Previsto]]))</f>
        <v>2</v>
      </c>
      <c r="N175" s="48">
        <f>IF(TbRegistroEntradas[[#This Row],[Data do Caixa Previsto]]="",0,YEAR(TbRegistroEntradas[[#This Row],[Data do Caixa Previsto]]))</f>
        <v>2019</v>
      </c>
      <c r="O175" s="48" t="str">
        <f ca="1">IF(AND(TbRegistroEntradas[[#This Row],[Data do Caixa Previsto]]&lt;TODAY(),TbRegistroEntradas[[#This Row],[Data do Caixa Realizado]]=""),"Vencida","Não Vencida")</f>
        <v>Não Vencida</v>
      </c>
      <c r="P175" s="48" t="str">
        <f>IF(TbRegistroEntradas[[#This Row],[Data da Competência]]=TbRegistroEntradas[[#This Row],[Data do Caixa Previsto]],"Vista","Prazo")</f>
        <v>Prazo</v>
      </c>
      <c r="Q17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6" spans="2:17" x14ac:dyDescent="0.25">
      <c r="B176" s="14">
        <v>43511.114471984198</v>
      </c>
      <c r="C176" s="14">
        <v>43473</v>
      </c>
      <c r="D176" s="14">
        <v>43511.114471984198</v>
      </c>
      <c r="E176" t="s">
        <v>24</v>
      </c>
      <c r="F176" t="s">
        <v>35</v>
      </c>
      <c r="G176" t="s">
        <v>236</v>
      </c>
      <c r="H176" s="17">
        <v>900</v>
      </c>
      <c r="I176">
        <f>IF(TbRegistroEntradas[[#This Row],[Data do Caixa Realizado]]="",0,MONTH(TbRegistroEntradas[[#This Row],[Data do Caixa Realizado]]))</f>
        <v>2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 s="48">
        <f>IF(TbRegistroEntradas[[#This Row],[Data do Caixa Previsto]]="",0,MONTH(TbRegistroEntradas[[#This Row],[Data do Caixa Previsto]]))</f>
        <v>2</v>
      </c>
      <c r="N176" s="48">
        <f>IF(TbRegistroEntradas[[#This Row],[Data do Caixa Previsto]]="",0,YEAR(TbRegistroEntradas[[#This Row],[Data do Caixa Previsto]]))</f>
        <v>2019</v>
      </c>
      <c r="O176" s="48" t="str">
        <f ca="1">IF(AND(TbRegistroEntradas[[#This Row],[Data do Caixa Previsto]]&lt;TODAY(),TbRegistroEntradas[[#This Row],[Data do Caixa Realizado]]=""),"Vencida","Não Vencida")</f>
        <v>Não Vencida</v>
      </c>
      <c r="P176" s="48" t="str">
        <f>IF(TbRegistroEntradas[[#This Row],[Data da Competência]]=TbRegistroEntradas[[#This Row],[Data do Caixa Previsto]],"Vista","Prazo")</f>
        <v>Prazo</v>
      </c>
      <c r="Q17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7" spans="2:17" x14ac:dyDescent="0.25">
      <c r="B177" s="14">
        <v>43509.221158562403</v>
      </c>
      <c r="C177" s="14">
        <v>43478</v>
      </c>
      <c r="D177" s="14">
        <v>43509.221158562403</v>
      </c>
      <c r="E177" t="s">
        <v>24</v>
      </c>
      <c r="F177" t="s">
        <v>34</v>
      </c>
      <c r="G177" t="s">
        <v>237</v>
      </c>
      <c r="H177" s="17">
        <v>2970</v>
      </c>
      <c r="I177">
        <f>IF(TbRegistroEntradas[[#This Row],[Data do Caixa Realizado]]="",0,MONTH(TbRegistroEntradas[[#This Row],[Data do Caixa Realizado]]))</f>
        <v>2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 s="48">
        <f>IF(TbRegistroEntradas[[#This Row],[Data do Caixa Previsto]]="",0,MONTH(TbRegistroEntradas[[#This Row],[Data do Caixa Previsto]]))</f>
        <v>2</v>
      </c>
      <c r="N177" s="48">
        <f>IF(TbRegistroEntradas[[#This Row],[Data do Caixa Previsto]]="",0,YEAR(TbRegistroEntradas[[#This Row],[Data do Caixa Previsto]]))</f>
        <v>2019</v>
      </c>
      <c r="O177" s="48" t="str">
        <f ca="1">IF(AND(TbRegistroEntradas[[#This Row],[Data do Caixa Previsto]]&lt;TODAY(),TbRegistroEntradas[[#This Row],[Data do Caixa Realizado]]=""),"Vencida","Não Vencida")</f>
        <v>Não Vencida</v>
      </c>
      <c r="P177" s="48" t="str">
        <f>IF(TbRegistroEntradas[[#This Row],[Data da Competência]]=TbRegistroEntradas[[#This Row],[Data do Caixa Previsto]],"Vista","Prazo")</f>
        <v>Prazo</v>
      </c>
      <c r="Q17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78" spans="2:17" x14ac:dyDescent="0.25">
      <c r="B178" s="14">
        <v>43601.782099050732</v>
      </c>
      <c r="C178" s="14">
        <v>43482</v>
      </c>
      <c r="D178" s="14">
        <v>43538.543475375038</v>
      </c>
      <c r="E178" t="s">
        <v>24</v>
      </c>
      <c r="F178" t="s">
        <v>31</v>
      </c>
      <c r="G178" t="s">
        <v>238</v>
      </c>
      <c r="H178" s="17">
        <v>4993</v>
      </c>
      <c r="I178">
        <f>IF(TbRegistroEntradas[[#This Row],[Data do Caixa Realizado]]="",0,MONTH(TbRegistroEntradas[[#This Row],[Data do Caixa Realizado]]))</f>
        <v>5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 s="48">
        <f>IF(TbRegistroEntradas[[#This Row],[Data do Caixa Previsto]]="",0,MONTH(TbRegistroEntradas[[#This Row],[Data do Caixa Previsto]]))</f>
        <v>3</v>
      </c>
      <c r="N178" s="48">
        <f>IF(TbRegistroEntradas[[#This Row],[Data do Caixa Previsto]]="",0,YEAR(TbRegistroEntradas[[#This Row],[Data do Caixa Previsto]]))</f>
        <v>2019</v>
      </c>
      <c r="O178" s="48" t="str">
        <f ca="1">IF(AND(TbRegistroEntradas[[#This Row],[Data do Caixa Previsto]]&lt;TODAY(),TbRegistroEntradas[[#This Row],[Data do Caixa Realizado]]=""),"Vencida","Não Vencida")</f>
        <v>Não Vencida</v>
      </c>
      <c r="P178" s="48" t="str">
        <f>IF(TbRegistroEntradas[[#This Row],[Data da Competência]]=TbRegistroEntradas[[#This Row],[Data do Caixa Previsto]],"Vista","Prazo")</f>
        <v>Prazo</v>
      </c>
      <c r="Q17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63.238623675693816</v>
      </c>
    </row>
    <row r="179" spans="2:17" x14ac:dyDescent="0.25">
      <c r="B179" s="14">
        <v>43485.955494346097</v>
      </c>
      <c r="C179" s="14">
        <v>43485</v>
      </c>
      <c r="D179" s="14">
        <v>43485.955494346097</v>
      </c>
      <c r="E179" t="s">
        <v>24</v>
      </c>
      <c r="F179" t="s">
        <v>35</v>
      </c>
      <c r="G179" t="s">
        <v>239</v>
      </c>
      <c r="H179" s="17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 s="48">
        <f>IF(TbRegistroEntradas[[#This Row],[Data do Caixa Previsto]]="",0,MONTH(TbRegistroEntradas[[#This Row],[Data do Caixa Previsto]]))</f>
        <v>1</v>
      </c>
      <c r="N179" s="48">
        <f>IF(TbRegistroEntradas[[#This Row],[Data do Caixa Previsto]]="",0,YEAR(TbRegistroEntradas[[#This Row],[Data do Caixa Previsto]]))</f>
        <v>2019</v>
      </c>
      <c r="O179" s="48" t="str">
        <f ca="1">IF(AND(TbRegistroEntradas[[#This Row],[Data do Caixa Previsto]]&lt;TODAY(),TbRegistroEntradas[[#This Row],[Data do Caixa Realizado]]=""),"Vencida","Não Vencida")</f>
        <v>Não Vencida</v>
      </c>
      <c r="P179" s="48" t="str">
        <f>IF(TbRegistroEntradas[[#This Row],[Data da Competência]]=TbRegistroEntradas[[#This Row],[Data do Caixa Previsto]],"Vista","Prazo")</f>
        <v>Prazo</v>
      </c>
      <c r="Q17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0" spans="2:17" x14ac:dyDescent="0.25">
      <c r="B180" s="14">
        <v>43522.615238592094</v>
      </c>
      <c r="C180" s="14">
        <v>43486</v>
      </c>
      <c r="D180" s="14">
        <v>43522.615238592094</v>
      </c>
      <c r="E180" t="s">
        <v>24</v>
      </c>
      <c r="F180" t="s">
        <v>34</v>
      </c>
      <c r="G180" t="s">
        <v>240</v>
      </c>
      <c r="H180" s="17">
        <v>1815</v>
      </c>
      <c r="I180">
        <f>IF(TbRegistroEntradas[[#This Row],[Data do Caixa Realizado]]="",0,MONTH(TbRegistroEntradas[[#This Row],[Data do Caixa Realizado]]))</f>
        <v>2</v>
      </c>
      <c r="J180">
        <f>IF(TbRegistroEntradas[[#This Row],[Data do Caixa Realizado]]="",0,YEAR(TbRegistroEntradas[[#This Row],[Data do Caixa Realizado]]))</f>
        <v>2019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 s="48">
        <f>IF(TbRegistroEntradas[[#This Row],[Data do Caixa Previsto]]="",0,MONTH(TbRegistroEntradas[[#This Row],[Data do Caixa Previsto]]))</f>
        <v>2</v>
      </c>
      <c r="N180" s="48">
        <f>IF(TbRegistroEntradas[[#This Row],[Data do Caixa Previsto]]="",0,YEAR(TbRegistroEntradas[[#This Row],[Data do Caixa Previsto]]))</f>
        <v>2019</v>
      </c>
      <c r="O180" s="48" t="str">
        <f ca="1">IF(AND(TbRegistroEntradas[[#This Row],[Data do Caixa Previsto]]&lt;TODAY(),TbRegistroEntradas[[#This Row],[Data do Caixa Realizado]]=""),"Vencida","Não Vencida")</f>
        <v>Não Vencida</v>
      </c>
      <c r="P180" s="48" t="str">
        <f>IF(TbRegistroEntradas[[#This Row],[Data da Competência]]=TbRegistroEntradas[[#This Row],[Data do Caixa Previsto]],"Vista","Prazo")</f>
        <v>Prazo</v>
      </c>
      <c r="Q18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1" spans="2:17" x14ac:dyDescent="0.25">
      <c r="B181" s="14">
        <v>43505.043861470636</v>
      </c>
      <c r="C181" s="14">
        <v>43488</v>
      </c>
      <c r="D181" s="14">
        <v>43505.043861470636</v>
      </c>
      <c r="E181" t="s">
        <v>24</v>
      </c>
      <c r="F181" t="s">
        <v>33</v>
      </c>
      <c r="G181" t="s">
        <v>241</v>
      </c>
      <c r="H181" s="17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 s="48">
        <f>IF(TbRegistroEntradas[[#This Row],[Data do Caixa Previsto]]="",0,MONTH(TbRegistroEntradas[[#This Row],[Data do Caixa Previsto]]))</f>
        <v>2</v>
      </c>
      <c r="N181" s="48">
        <f>IF(TbRegistroEntradas[[#This Row],[Data do Caixa Previsto]]="",0,YEAR(TbRegistroEntradas[[#This Row],[Data do Caixa Previsto]]))</f>
        <v>2019</v>
      </c>
      <c r="O181" s="48" t="str">
        <f ca="1">IF(AND(TbRegistroEntradas[[#This Row],[Data do Caixa Previsto]]&lt;TODAY(),TbRegistroEntradas[[#This Row],[Data do Caixa Realizado]]=""),"Vencida","Não Vencida")</f>
        <v>Não Vencida</v>
      </c>
      <c r="P181" s="48" t="str">
        <f>IF(TbRegistroEntradas[[#This Row],[Data da Competência]]=TbRegistroEntradas[[#This Row],[Data do Caixa Previsto]],"Vista","Prazo")</f>
        <v>Prazo</v>
      </c>
      <c r="Q18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2" spans="2:17" x14ac:dyDescent="0.25">
      <c r="B182" s="14">
        <v>43513.423178401492</v>
      </c>
      <c r="C182" s="14">
        <v>43492</v>
      </c>
      <c r="D182" s="14">
        <v>43513.423178401492</v>
      </c>
      <c r="E182" t="s">
        <v>24</v>
      </c>
      <c r="F182" t="s">
        <v>34</v>
      </c>
      <c r="G182" t="s">
        <v>242</v>
      </c>
      <c r="H182" s="17">
        <v>177</v>
      </c>
      <c r="I182">
        <f>IF(TbRegistroEntradas[[#This Row],[Data do Caixa Realizado]]="",0,MONTH(TbRegistroEntradas[[#This Row],[Data do Caixa Realizado]]))</f>
        <v>2</v>
      </c>
      <c r="J182">
        <f>IF(TbRegistroEntradas[[#This Row],[Data do Caixa Realizado]]="",0,YEAR(TbRegistroEntradas[[#This Row],[Data do Caixa Realizado]]))</f>
        <v>2019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 s="48">
        <f>IF(TbRegistroEntradas[[#This Row],[Data do Caixa Previsto]]="",0,MONTH(TbRegistroEntradas[[#This Row],[Data do Caixa Previsto]]))</f>
        <v>2</v>
      </c>
      <c r="N182" s="48">
        <f>IF(TbRegistroEntradas[[#This Row],[Data do Caixa Previsto]]="",0,YEAR(TbRegistroEntradas[[#This Row],[Data do Caixa Previsto]]))</f>
        <v>2019</v>
      </c>
      <c r="O182" s="48" t="str">
        <f ca="1">IF(AND(TbRegistroEntradas[[#This Row],[Data do Caixa Previsto]]&lt;TODAY(),TbRegistroEntradas[[#This Row],[Data do Caixa Realizado]]=""),"Vencida","Não Vencida")</f>
        <v>Não Vencida</v>
      </c>
      <c r="P182" s="48" t="str">
        <f>IF(TbRegistroEntradas[[#This Row],[Data da Competência]]=TbRegistroEntradas[[#This Row],[Data do Caixa Previsto]],"Vista","Prazo")</f>
        <v>Prazo</v>
      </c>
      <c r="Q18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3" spans="2:17" x14ac:dyDescent="0.25">
      <c r="B183" s="14">
        <v>43513.404065853094</v>
      </c>
      <c r="C183" s="14">
        <v>43494</v>
      </c>
      <c r="D183" s="14">
        <v>43513.404065853094</v>
      </c>
      <c r="E183" t="s">
        <v>24</v>
      </c>
      <c r="F183" t="s">
        <v>34</v>
      </c>
      <c r="G183" t="s">
        <v>243</v>
      </c>
      <c r="H183" s="17">
        <v>3619</v>
      </c>
      <c r="I183">
        <f>IF(TbRegistroEntradas[[#This Row],[Data do Caixa Realizado]]="",0,MONTH(TbRegistroEntradas[[#This Row],[Data do Caixa Realizado]]))</f>
        <v>2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 s="48">
        <f>IF(TbRegistroEntradas[[#This Row],[Data do Caixa Previsto]]="",0,MONTH(TbRegistroEntradas[[#This Row],[Data do Caixa Previsto]]))</f>
        <v>2</v>
      </c>
      <c r="N183" s="48">
        <f>IF(TbRegistroEntradas[[#This Row],[Data do Caixa Previsto]]="",0,YEAR(TbRegistroEntradas[[#This Row],[Data do Caixa Previsto]]))</f>
        <v>2019</v>
      </c>
      <c r="O183" s="48" t="str">
        <f ca="1">IF(AND(TbRegistroEntradas[[#This Row],[Data do Caixa Previsto]]&lt;TODAY(),TbRegistroEntradas[[#This Row],[Data do Caixa Realizado]]=""),"Vencida","Não Vencida")</f>
        <v>Não Vencida</v>
      </c>
      <c r="P183" s="48" t="str">
        <f>IF(TbRegistroEntradas[[#This Row],[Data da Competência]]=TbRegistroEntradas[[#This Row],[Data do Caixa Previsto]],"Vista","Prazo")</f>
        <v>Prazo</v>
      </c>
      <c r="Q18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4" spans="2:17" x14ac:dyDescent="0.25">
      <c r="B184" s="14">
        <v>43534.989762344601</v>
      </c>
      <c r="C184" s="14">
        <v>43498</v>
      </c>
      <c r="D184" s="14">
        <v>43534.989762344601</v>
      </c>
      <c r="E184" t="s">
        <v>24</v>
      </c>
      <c r="F184" t="s">
        <v>34</v>
      </c>
      <c r="G184" t="s">
        <v>244</v>
      </c>
      <c r="H184" s="17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 s="48">
        <f>IF(TbRegistroEntradas[[#This Row],[Data do Caixa Previsto]]="",0,MONTH(TbRegistroEntradas[[#This Row],[Data do Caixa Previsto]]))</f>
        <v>3</v>
      </c>
      <c r="N184" s="48">
        <f>IF(TbRegistroEntradas[[#This Row],[Data do Caixa Previsto]]="",0,YEAR(TbRegistroEntradas[[#This Row],[Data do Caixa Previsto]]))</f>
        <v>2019</v>
      </c>
      <c r="O184" s="48" t="str">
        <f ca="1">IF(AND(TbRegistroEntradas[[#This Row],[Data do Caixa Previsto]]&lt;TODAY(),TbRegistroEntradas[[#This Row],[Data do Caixa Realizado]]=""),"Vencida","Não Vencida")</f>
        <v>Não Vencida</v>
      </c>
      <c r="P184" s="48" t="str">
        <f>IF(TbRegistroEntradas[[#This Row],[Data da Competência]]=TbRegistroEntradas[[#This Row],[Data do Caixa Previsto]],"Vista","Prazo")</f>
        <v>Prazo</v>
      </c>
      <c r="Q18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5" spans="2:17" x14ac:dyDescent="0.25">
      <c r="B185" s="14">
        <v>43512.886043755854</v>
      </c>
      <c r="C185" s="14">
        <v>43501</v>
      </c>
      <c r="D185" s="14">
        <v>43512.886043755854</v>
      </c>
      <c r="E185" t="s">
        <v>24</v>
      </c>
      <c r="F185" t="s">
        <v>33</v>
      </c>
      <c r="G185" t="s">
        <v>245</v>
      </c>
      <c r="H185" s="17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 s="48">
        <f>IF(TbRegistroEntradas[[#This Row],[Data do Caixa Previsto]]="",0,MONTH(TbRegistroEntradas[[#This Row],[Data do Caixa Previsto]]))</f>
        <v>2</v>
      </c>
      <c r="N185" s="48">
        <f>IF(TbRegistroEntradas[[#This Row],[Data do Caixa Previsto]]="",0,YEAR(TbRegistroEntradas[[#This Row],[Data do Caixa Previsto]]))</f>
        <v>2019</v>
      </c>
      <c r="O185" s="48" t="str">
        <f ca="1">IF(AND(TbRegistroEntradas[[#This Row],[Data do Caixa Previsto]]&lt;TODAY(),TbRegistroEntradas[[#This Row],[Data do Caixa Realizado]]=""),"Vencida","Não Vencida")</f>
        <v>Não Vencida</v>
      </c>
      <c r="P185" s="48" t="str">
        <f>IF(TbRegistroEntradas[[#This Row],[Data da Competência]]=TbRegistroEntradas[[#This Row],[Data do Caixa Previsto]],"Vista","Prazo")</f>
        <v>Prazo</v>
      </c>
      <c r="Q18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6" spans="2:17" x14ac:dyDescent="0.25">
      <c r="B186" s="14">
        <v>43532.824988934779</v>
      </c>
      <c r="C186" s="14">
        <v>43502</v>
      </c>
      <c r="D186" s="14">
        <v>43532.824988934779</v>
      </c>
      <c r="E186" t="s">
        <v>24</v>
      </c>
      <c r="F186" t="s">
        <v>32</v>
      </c>
      <c r="G186" t="s">
        <v>246</v>
      </c>
      <c r="H186" s="17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 s="48">
        <f>IF(TbRegistroEntradas[[#This Row],[Data do Caixa Previsto]]="",0,MONTH(TbRegistroEntradas[[#This Row],[Data do Caixa Previsto]]))</f>
        <v>3</v>
      </c>
      <c r="N186" s="48">
        <f>IF(TbRegistroEntradas[[#This Row],[Data do Caixa Previsto]]="",0,YEAR(TbRegistroEntradas[[#This Row],[Data do Caixa Previsto]]))</f>
        <v>2019</v>
      </c>
      <c r="O186" s="48" t="str">
        <f ca="1">IF(AND(TbRegistroEntradas[[#This Row],[Data do Caixa Previsto]]&lt;TODAY(),TbRegistroEntradas[[#This Row],[Data do Caixa Realizado]]=""),"Vencida","Não Vencida")</f>
        <v>Não Vencida</v>
      </c>
      <c r="P186" s="48" t="str">
        <f>IF(TbRegistroEntradas[[#This Row],[Data da Competência]]=TbRegistroEntradas[[#This Row],[Data do Caixa Previsto]],"Vista","Prazo")</f>
        <v>Prazo</v>
      </c>
      <c r="Q18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7" spans="2:17" x14ac:dyDescent="0.25">
      <c r="B187" s="14">
        <v>43540.311131757786</v>
      </c>
      <c r="C187" s="14">
        <v>43505</v>
      </c>
      <c r="D187" s="14">
        <v>43540.311131757786</v>
      </c>
      <c r="E187" t="s">
        <v>24</v>
      </c>
      <c r="F187" t="s">
        <v>35</v>
      </c>
      <c r="G187" t="s">
        <v>247</v>
      </c>
      <c r="H187" s="17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 s="48">
        <f>IF(TbRegistroEntradas[[#This Row],[Data do Caixa Previsto]]="",0,MONTH(TbRegistroEntradas[[#This Row],[Data do Caixa Previsto]]))</f>
        <v>3</v>
      </c>
      <c r="N187" s="48">
        <f>IF(TbRegistroEntradas[[#This Row],[Data do Caixa Previsto]]="",0,YEAR(TbRegistroEntradas[[#This Row],[Data do Caixa Previsto]]))</f>
        <v>2019</v>
      </c>
      <c r="O187" s="48" t="str">
        <f ca="1">IF(AND(TbRegistroEntradas[[#This Row],[Data do Caixa Previsto]]&lt;TODAY(),TbRegistroEntradas[[#This Row],[Data do Caixa Realizado]]=""),"Vencida","Não Vencida")</f>
        <v>Não Vencida</v>
      </c>
      <c r="P187" s="48" t="str">
        <f>IF(TbRegistroEntradas[[#This Row],[Data da Competência]]=TbRegistroEntradas[[#This Row],[Data do Caixa Previsto]],"Vista","Prazo")</f>
        <v>Prazo</v>
      </c>
      <c r="Q18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8" spans="2:17" x14ac:dyDescent="0.25">
      <c r="B188" s="14">
        <v>43541.652544038297</v>
      </c>
      <c r="C188" s="14">
        <v>43506</v>
      </c>
      <c r="D188" s="14">
        <v>43541.652544038297</v>
      </c>
      <c r="E188" t="s">
        <v>24</v>
      </c>
      <c r="F188" t="s">
        <v>31</v>
      </c>
      <c r="G188" t="s">
        <v>248</v>
      </c>
      <c r="H188" s="17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 s="48">
        <f>IF(TbRegistroEntradas[[#This Row],[Data do Caixa Previsto]]="",0,MONTH(TbRegistroEntradas[[#This Row],[Data do Caixa Previsto]]))</f>
        <v>3</v>
      </c>
      <c r="N188" s="48">
        <f>IF(TbRegistroEntradas[[#This Row],[Data do Caixa Previsto]]="",0,YEAR(TbRegistroEntradas[[#This Row],[Data do Caixa Previsto]]))</f>
        <v>2019</v>
      </c>
      <c r="O188" s="48" t="str">
        <f ca="1">IF(AND(TbRegistroEntradas[[#This Row],[Data do Caixa Previsto]]&lt;TODAY(),TbRegistroEntradas[[#This Row],[Data do Caixa Realizado]]=""),"Vencida","Não Vencida")</f>
        <v>Não Vencida</v>
      </c>
      <c r="P188" s="48" t="str">
        <f>IF(TbRegistroEntradas[[#This Row],[Data da Competência]]=TbRegistroEntradas[[#This Row],[Data do Caixa Previsto]],"Vista","Prazo")</f>
        <v>Prazo</v>
      </c>
      <c r="Q18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89" spans="2:17" x14ac:dyDescent="0.25">
      <c r="B189" s="14">
        <v>43560.051672837129</v>
      </c>
      <c r="C189" s="14">
        <v>43508</v>
      </c>
      <c r="D189" s="14">
        <v>43554.09538121894</v>
      </c>
      <c r="E189" t="s">
        <v>24</v>
      </c>
      <c r="F189" t="s">
        <v>34</v>
      </c>
      <c r="G189" t="s">
        <v>249</v>
      </c>
      <c r="H189" s="17">
        <v>3732</v>
      </c>
      <c r="I189">
        <f>IF(TbRegistroEntradas[[#This Row],[Data do Caixa Realizado]]="",0,MONTH(TbRegistroEntradas[[#This Row],[Data do Caixa Realizado]]))</f>
        <v>4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 s="48">
        <f>IF(TbRegistroEntradas[[#This Row],[Data do Caixa Previsto]]="",0,MONTH(TbRegistroEntradas[[#This Row],[Data do Caixa Previsto]]))</f>
        <v>3</v>
      </c>
      <c r="N189" s="48">
        <f>IF(TbRegistroEntradas[[#This Row],[Data do Caixa Previsto]]="",0,YEAR(TbRegistroEntradas[[#This Row],[Data do Caixa Previsto]]))</f>
        <v>2019</v>
      </c>
      <c r="O189" s="48" t="str">
        <f ca="1">IF(AND(TbRegistroEntradas[[#This Row],[Data do Caixa Previsto]]&lt;TODAY(),TbRegistroEntradas[[#This Row],[Data do Caixa Realizado]]=""),"Vencida","Não Vencida")</f>
        <v>Não Vencida</v>
      </c>
      <c r="P189" s="48" t="str">
        <f>IF(TbRegistroEntradas[[#This Row],[Data da Competência]]=TbRegistroEntradas[[#This Row],[Data do Caixa Previsto]],"Vista","Prazo")</f>
        <v>Prazo</v>
      </c>
      <c r="Q18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5.9562916181894252</v>
      </c>
    </row>
    <row r="190" spans="2:17" x14ac:dyDescent="0.25">
      <c r="B190" s="14">
        <v>43512.426649972214</v>
      </c>
      <c r="C190" s="14">
        <v>43509</v>
      </c>
      <c r="D190" s="14">
        <v>43512.426649972214</v>
      </c>
      <c r="E190" t="s">
        <v>24</v>
      </c>
      <c r="F190" t="s">
        <v>35</v>
      </c>
      <c r="G190" t="s">
        <v>250</v>
      </c>
      <c r="H190" s="17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 s="48">
        <f>IF(TbRegistroEntradas[[#This Row],[Data do Caixa Previsto]]="",0,MONTH(TbRegistroEntradas[[#This Row],[Data do Caixa Previsto]]))</f>
        <v>2</v>
      </c>
      <c r="N190" s="48">
        <f>IF(TbRegistroEntradas[[#This Row],[Data do Caixa Previsto]]="",0,YEAR(TbRegistroEntradas[[#This Row],[Data do Caixa Previsto]]))</f>
        <v>2019</v>
      </c>
      <c r="O190" s="48" t="str">
        <f ca="1">IF(AND(TbRegistroEntradas[[#This Row],[Data do Caixa Previsto]]&lt;TODAY(),TbRegistroEntradas[[#This Row],[Data do Caixa Realizado]]=""),"Vencida","Não Vencida")</f>
        <v>Não Vencida</v>
      </c>
      <c r="P190" s="48" t="str">
        <f>IF(TbRegistroEntradas[[#This Row],[Data da Competência]]=TbRegistroEntradas[[#This Row],[Data do Caixa Previsto]],"Vista","Prazo")</f>
        <v>Prazo</v>
      </c>
      <c r="Q19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1" spans="2:17" x14ac:dyDescent="0.25">
      <c r="B191" s="14" t="s">
        <v>74</v>
      </c>
      <c r="C191" s="14">
        <v>43512</v>
      </c>
      <c r="D191" s="14">
        <v>43570.205876707638</v>
      </c>
      <c r="E191" t="s">
        <v>24</v>
      </c>
      <c r="F191" t="s">
        <v>34</v>
      </c>
      <c r="G191" t="s">
        <v>251</v>
      </c>
      <c r="H191" s="17">
        <v>928</v>
      </c>
      <c r="I191">
        <f>IF(TbRegistroEntradas[[#This Row],[Data do Caixa Realizado]]="",0,MONTH(TbRegistroEntradas[[#This Row],[Data do Caixa Realizado]]))</f>
        <v>0</v>
      </c>
      <c r="J191">
        <f>IF(TbRegistroEntradas[[#This Row],[Data do Caixa Realizado]]="",0,YEAR(TbRegistroEntradas[[#This Row],[Data do Caixa Realizado]]))</f>
        <v>0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 s="48">
        <f>IF(TbRegistroEntradas[[#This Row],[Data do Caixa Previsto]]="",0,MONTH(TbRegistroEntradas[[#This Row],[Data do Caixa Previsto]]))</f>
        <v>4</v>
      </c>
      <c r="N191" s="48">
        <f>IF(TbRegistroEntradas[[#This Row],[Data do Caixa Previsto]]="",0,YEAR(TbRegistroEntradas[[#This Row],[Data do Caixa Previsto]]))</f>
        <v>2019</v>
      </c>
      <c r="O191" s="48" t="str">
        <f ca="1">IF(AND(TbRegistroEntradas[[#This Row],[Data do Caixa Previsto]]&lt;TODAY(),TbRegistroEntradas[[#This Row],[Data do Caixa Realizado]]=""),"Vencida","Não Vencida")</f>
        <v>Vencida</v>
      </c>
      <c r="P191" s="48" t="str">
        <f>IF(TbRegistroEntradas[[#This Row],[Data da Competência]]=TbRegistroEntradas[[#This Row],[Data do Caixa Previsto]],"Vista","Prazo")</f>
        <v>Prazo</v>
      </c>
      <c r="Q19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2245.7941232923622</v>
      </c>
    </row>
    <row r="192" spans="2:17" x14ac:dyDescent="0.25">
      <c r="B192" s="14">
        <v>43560.066685649028</v>
      </c>
      <c r="C192" s="14">
        <v>43513</v>
      </c>
      <c r="D192" s="14">
        <v>43560.066685649028</v>
      </c>
      <c r="E192" t="s">
        <v>24</v>
      </c>
      <c r="F192" t="s">
        <v>35</v>
      </c>
      <c r="G192" t="s">
        <v>252</v>
      </c>
      <c r="H192" s="17">
        <v>3557</v>
      </c>
      <c r="I192">
        <f>IF(TbRegistroEntradas[[#This Row],[Data do Caixa Realizado]]="",0,MONTH(TbRegistroEntradas[[#This Row],[Data do Caixa Realizado]]))</f>
        <v>4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 s="48">
        <f>IF(TbRegistroEntradas[[#This Row],[Data do Caixa Previsto]]="",0,MONTH(TbRegistroEntradas[[#This Row],[Data do Caixa Previsto]]))</f>
        <v>4</v>
      </c>
      <c r="N192" s="48">
        <f>IF(TbRegistroEntradas[[#This Row],[Data do Caixa Previsto]]="",0,YEAR(TbRegistroEntradas[[#This Row],[Data do Caixa Previsto]]))</f>
        <v>2019</v>
      </c>
      <c r="O192" s="48" t="str">
        <f ca="1">IF(AND(TbRegistroEntradas[[#This Row],[Data do Caixa Previsto]]&lt;TODAY(),TbRegistroEntradas[[#This Row],[Data do Caixa Realizado]]=""),"Vencida","Não Vencida")</f>
        <v>Não Vencida</v>
      </c>
      <c r="P192" s="48" t="str">
        <f>IF(TbRegistroEntradas[[#This Row],[Data da Competência]]=TbRegistroEntradas[[#This Row],[Data do Caixa Previsto]],"Vista","Prazo")</f>
        <v>Prazo</v>
      </c>
      <c r="Q19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3" spans="2:17" x14ac:dyDescent="0.25">
      <c r="B193" s="14">
        <v>43540.820705056554</v>
      </c>
      <c r="C193" s="14">
        <v>43514</v>
      </c>
      <c r="D193" s="14">
        <v>43540.820705056554</v>
      </c>
      <c r="E193" t="s">
        <v>24</v>
      </c>
      <c r="F193" t="s">
        <v>35</v>
      </c>
      <c r="G193" t="s">
        <v>253</v>
      </c>
      <c r="H193" s="17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 s="48">
        <f>IF(TbRegistroEntradas[[#This Row],[Data do Caixa Previsto]]="",0,MONTH(TbRegistroEntradas[[#This Row],[Data do Caixa Previsto]]))</f>
        <v>3</v>
      </c>
      <c r="N193" s="48">
        <f>IF(TbRegistroEntradas[[#This Row],[Data do Caixa Previsto]]="",0,YEAR(TbRegistroEntradas[[#This Row],[Data do Caixa Previsto]]))</f>
        <v>2019</v>
      </c>
      <c r="O193" s="48" t="str">
        <f ca="1">IF(AND(TbRegistroEntradas[[#This Row],[Data do Caixa Previsto]]&lt;TODAY(),TbRegistroEntradas[[#This Row],[Data do Caixa Realizado]]=""),"Vencida","Não Vencida")</f>
        <v>Não Vencida</v>
      </c>
      <c r="P193" s="48" t="str">
        <f>IF(TbRegistroEntradas[[#This Row],[Data da Competência]]=TbRegistroEntradas[[#This Row],[Data do Caixa Previsto]],"Vista","Prazo")</f>
        <v>Prazo</v>
      </c>
      <c r="Q19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4" spans="2:17" x14ac:dyDescent="0.25">
      <c r="B194" s="14">
        <v>43548.222942782464</v>
      </c>
      <c r="C194" s="14">
        <v>43517</v>
      </c>
      <c r="D194" s="14">
        <v>43548.222942782464</v>
      </c>
      <c r="E194" t="s">
        <v>24</v>
      </c>
      <c r="F194" t="s">
        <v>35</v>
      </c>
      <c r="G194" t="s">
        <v>254</v>
      </c>
      <c r="H194" s="17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 s="48">
        <f>IF(TbRegistroEntradas[[#This Row],[Data do Caixa Previsto]]="",0,MONTH(TbRegistroEntradas[[#This Row],[Data do Caixa Previsto]]))</f>
        <v>3</v>
      </c>
      <c r="N194" s="48">
        <f>IF(TbRegistroEntradas[[#This Row],[Data do Caixa Previsto]]="",0,YEAR(TbRegistroEntradas[[#This Row],[Data do Caixa Previsto]]))</f>
        <v>2019</v>
      </c>
      <c r="O194" s="48" t="str">
        <f ca="1">IF(AND(TbRegistroEntradas[[#This Row],[Data do Caixa Previsto]]&lt;TODAY(),TbRegistroEntradas[[#This Row],[Data do Caixa Realizado]]=""),"Vencida","Não Vencida")</f>
        <v>Não Vencida</v>
      </c>
      <c r="P194" s="48" t="str">
        <f>IF(TbRegistroEntradas[[#This Row],[Data da Competência]]=TbRegistroEntradas[[#This Row],[Data do Caixa Previsto]],"Vista","Prazo")</f>
        <v>Prazo</v>
      </c>
      <c r="Q19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5" spans="2:17" x14ac:dyDescent="0.25">
      <c r="B195" s="14">
        <v>43625.080024605937</v>
      </c>
      <c r="C195" s="14">
        <v>43522</v>
      </c>
      <c r="D195" s="14">
        <v>43563.814201596448</v>
      </c>
      <c r="E195" t="s">
        <v>24</v>
      </c>
      <c r="F195" t="s">
        <v>34</v>
      </c>
      <c r="G195" t="s">
        <v>255</v>
      </c>
      <c r="H195" s="17">
        <v>4741</v>
      </c>
      <c r="I195">
        <f>IF(TbRegistroEntradas[[#This Row],[Data do Caixa Realizado]]="",0,MONTH(TbRegistroEntradas[[#This Row],[Data do Caixa Realizado]]))</f>
        <v>6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 s="48">
        <f>IF(TbRegistroEntradas[[#This Row],[Data do Caixa Previsto]]="",0,MONTH(TbRegistroEntradas[[#This Row],[Data do Caixa Previsto]]))</f>
        <v>4</v>
      </c>
      <c r="N195" s="48">
        <f>IF(TbRegistroEntradas[[#This Row],[Data do Caixa Previsto]]="",0,YEAR(TbRegistroEntradas[[#This Row],[Data do Caixa Previsto]]))</f>
        <v>2019</v>
      </c>
      <c r="O195" s="48" t="str">
        <f ca="1">IF(AND(TbRegistroEntradas[[#This Row],[Data do Caixa Previsto]]&lt;TODAY(),TbRegistroEntradas[[#This Row],[Data do Caixa Realizado]]=""),"Vencida","Não Vencida")</f>
        <v>Não Vencida</v>
      </c>
      <c r="P195" s="48" t="str">
        <f>IF(TbRegistroEntradas[[#This Row],[Data da Competência]]=TbRegistroEntradas[[#This Row],[Data do Caixa Previsto]],"Vista","Prazo")</f>
        <v>Prazo</v>
      </c>
      <c r="Q19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61.265823009489395</v>
      </c>
    </row>
    <row r="196" spans="2:17" x14ac:dyDescent="0.25">
      <c r="B196" s="14">
        <v>43571.459066587013</v>
      </c>
      <c r="C196" s="14">
        <v>43525</v>
      </c>
      <c r="D196" s="14">
        <v>43571.459066587013</v>
      </c>
      <c r="E196" t="s">
        <v>24</v>
      </c>
      <c r="F196" t="s">
        <v>32</v>
      </c>
      <c r="G196" t="s">
        <v>256</v>
      </c>
      <c r="H196" s="17">
        <v>471</v>
      </c>
      <c r="I196">
        <f>IF(TbRegistroEntradas[[#This Row],[Data do Caixa Realizado]]="",0,MONTH(TbRegistroEntradas[[#This Row],[Data do Caixa Realizado]]))</f>
        <v>4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 s="48">
        <f>IF(TbRegistroEntradas[[#This Row],[Data do Caixa Previsto]]="",0,MONTH(TbRegistroEntradas[[#This Row],[Data do Caixa Previsto]]))</f>
        <v>4</v>
      </c>
      <c r="N196" s="48">
        <f>IF(TbRegistroEntradas[[#This Row],[Data do Caixa Previsto]]="",0,YEAR(TbRegistroEntradas[[#This Row],[Data do Caixa Previsto]]))</f>
        <v>2019</v>
      </c>
      <c r="O196" s="48" t="str">
        <f ca="1">IF(AND(TbRegistroEntradas[[#This Row],[Data do Caixa Previsto]]&lt;TODAY(),TbRegistroEntradas[[#This Row],[Data do Caixa Realizado]]=""),"Vencida","Não Vencida")</f>
        <v>Não Vencida</v>
      </c>
      <c r="P196" s="48" t="str">
        <f>IF(TbRegistroEntradas[[#This Row],[Data da Competência]]=TbRegistroEntradas[[#This Row],[Data do Caixa Previsto]],"Vista","Prazo")</f>
        <v>Prazo</v>
      </c>
      <c r="Q19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7" spans="2:17" x14ac:dyDescent="0.25">
      <c r="B197" s="14">
        <v>43590.006789576961</v>
      </c>
      <c r="C197" s="14">
        <v>43527</v>
      </c>
      <c r="D197" s="14">
        <v>43568.716482543525</v>
      </c>
      <c r="E197" t="s">
        <v>24</v>
      </c>
      <c r="F197" t="s">
        <v>32</v>
      </c>
      <c r="G197" t="s">
        <v>257</v>
      </c>
      <c r="H197" s="17">
        <v>517</v>
      </c>
      <c r="I197">
        <f>IF(TbRegistroEntradas[[#This Row],[Data do Caixa Realizado]]="",0,MONTH(TbRegistroEntradas[[#This Row],[Data do Caixa Realizado]]))</f>
        <v>5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 s="48">
        <f>IF(TbRegistroEntradas[[#This Row],[Data do Caixa Previsto]]="",0,MONTH(TbRegistroEntradas[[#This Row],[Data do Caixa Previsto]]))</f>
        <v>4</v>
      </c>
      <c r="N197" s="48">
        <f>IF(TbRegistroEntradas[[#This Row],[Data do Caixa Previsto]]="",0,YEAR(TbRegistroEntradas[[#This Row],[Data do Caixa Previsto]]))</f>
        <v>2019</v>
      </c>
      <c r="O197" s="48" t="str">
        <f ca="1">IF(AND(TbRegistroEntradas[[#This Row],[Data do Caixa Previsto]]&lt;TODAY(),TbRegistroEntradas[[#This Row],[Data do Caixa Realizado]]=""),"Vencida","Não Vencida")</f>
        <v>Não Vencida</v>
      </c>
      <c r="P197" s="48" t="str">
        <f>IF(TbRegistroEntradas[[#This Row],[Data da Competência]]=TbRegistroEntradas[[#This Row],[Data do Caixa Previsto]],"Vista","Prazo")</f>
        <v>Prazo</v>
      </c>
      <c r="Q19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21.290307033435965</v>
      </c>
    </row>
    <row r="198" spans="2:17" x14ac:dyDescent="0.25">
      <c r="B198" s="14">
        <v>43563.221434488092</v>
      </c>
      <c r="C198" s="14">
        <v>43534</v>
      </c>
      <c r="D198" s="14">
        <v>43563.221434488092</v>
      </c>
      <c r="E198" t="s">
        <v>24</v>
      </c>
      <c r="F198" t="s">
        <v>32</v>
      </c>
      <c r="G198" t="s">
        <v>258</v>
      </c>
      <c r="H198" s="17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 s="48">
        <f>IF(TbRegistroEntradas[[#This Row],[Data do Caixa Previsto]]="",0,MONTH(TbRegistroEntradas[[#This Row],[Data do Caixa Previsto]]))</f>
        <v>4</v>
      </c>
      <c r="N198" s="48">
        <f>IF(TbRegistroEntradas[[#This Row],[Data do Caixa Previsto]]="",0,YEAR(TbRegistroEntradas[[#This Row],[Data do Caixa Previsto]]))</f>
        <v>2019</v>
      </c>
      <c r="O198" s="48" t="str">
        <f ca="1">IF(AND(TbRegistroEntradas[[#This Row],[Data do Caixa Previsto]]&lt;TODAY(),TbRegistroEntradas[[#This Row],[Data do Caixa Realizado]]=""),"Vencida","Não Vencida")</f>
        <v>Não Vencida</v>
      </c>
      <c r="P198" s="48" t="str">
        <f>IF(TbRegistroEntradas[[#This Row],[Data da Competência]]=TbRegistroEntradas[[#This Row],[Data do Caixa Previsto]],"Vista","Prazo")</f>
        <v>Prazo</v>
      </c>
      <c r="Q19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199" spans="2:17" x14ac:dyDescent="0.25">
      <c r="B199" s="14">
        <v>43578.576921560554</v>
      </c>
      <c r="C199" s="14">
        <v>43537</v>
      </c>
      <c r="D199" s="14">
        <v>43578.576921560554</v>
      </c>
      <c r="E199" t="s">
        <v>24</v>
      </c>
      <c r="F199" t="s">
        <v>35</v>
      </c>
      <c r="G199" t="s">
        <v>259</v>
      </c>
      <c r="H199" s="17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 s="48">
        <f>IF(TbRegistroEntradas[[#This Row],[Data do Caixa Previsto]]="",0,MONTH(TbRegistroEntradas[[#This Row],[Data do Caixa Previsto]]))</f>
        <v>4</v>
      </c>
      <c r="N199" s="48">
        <f>IF(TbRegistroEntradas[[#This Row],[Data do Caixa Previsto]]="",0,YEAR(TbRegistroEntradas[[#This Row],[Data do Caixa Previsto]]))</f>
        <v>2019</v>
      </c>
      <c r="O199" s="48" t="str">
        <f ca="1">IF(AND(TbRegistroEntradas[[#This Row],[Data do Caixa Previsto]]&lt;TODAY(),TbRegistroEntradas[[#This Row],[Data do Caixa Realizado]]=""),"Vencida","Não Vencida")</f>
        <v>Não Vencida</v>
      </c>
      <c r="P199" s="48" t="str">
        <f>IF(TbRegistroEntradas[[#This Row],[Data da Competência]]=TbRegistroEntradas[[#This Row],[Data do Caixa Previsto]],"Vista","Prazo")</f>
        <v>Prazo</v>
      </c>
      <c r="Q19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0" spans="2:17" x14ac:dyDescent="0.25">
      <c r="B200" s="14">
        <v>43555.68421267363</v>
      </c>
      <c r="C200" s="14">
        <v>43543</v>
      </c>
      <c r="D200" s="14">
        <v>43555.68421267363</v>
      </c>
      <c r="E200" t="s">
        <v>24</v>
      </c>
      <c r="F200" t="s">
        <v>33</v>
      </c>
      <c r="G200" t="s">
        <v>260</v>
      </c>
      <c r="H200" s="17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 s="48">
        <f>IF(TbRegistroEntradas[[#This Row],[Data do Caixa Previsto]]="",0,MONTH(TbRegistroEntradas[[#This Row],[Data do Caixa Previsto]]))</f>
        <v>3</v>
      </c>
      <c r="N200" s="48">
        <f>IF(TbRegistroEntradas[[#This Row],[Data do Caixa Previsto]]="",0,YEAR(TbRegistroEntradas[[#This Row],[Data do Caixa Previsto]]))</f>
        <v>2019</v>
      </c>
      <c r="O200" s="48" t="str">
        <f ca="1">IF(AND(TbRegistroEntradas[[#This Row],[Data do Caixa Previsto]]&lt;TODAY(),TbRegistroEntradas[[#This Row],[Data do Caixa Realizado]]=""),"Vencida","Não Vencida")</f>
        <v>Não Vencida</v>
      </c>
      <c r="P200" s="48" t="str">
        <f>IF(TbRegistroEntradas[[#This Row],[Data da Competência]]=TbRegistroEntradas[[#This Row],[Data do Caixa Previsto]],"Vista","Prazo")</f>
        <v>Prazo</v>
      </c>
      <c r="Q20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1" spans="2:17" x14ac:dyDescent="0.25">
      <c r="B201" s="14">
        <v>43614.347330751698</v>
      </c>
      <c r="C201" s="14">
        <v>43545</v>
      </c>
      <c r="D201" s="14">
        <v>43559.473956858106</v>
      </c>
      <c r="E201" t="s">
        <v>24</v>
      </c>
      <c r="F201" t="s">
        <v>33</v>
      </c>
      <c r="G201" t="s">
        <v>261</v>
      </c>
      <c r="H201" s="17">
        <v>3849</v>
      </c>
      <c r="I201">
        <f>IF(TbRegistroEntradas[[#This Row],[Data do Caixa Realizado]]="",0,MONTH(TbRegistroEntradas[[#This Row],[Data do Caixa Realizado]]))</f>
        <v>5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 s="48">
        <f>IF(TbRegistroEntradas[[#This Row],[Data do Caixa Previsto]]="",0,MONTH(TbRegistroEntradas[[#This Row],[Data do Caixa Previsto]]))</f>
        <v>4</v>
      </c>
      <c r="N201" s="48">
        <f>IF(TbRegistroEntradas[[#This Row],[Data do Caixa Previsto]]="",0,YEAR(TbRegistroEntradas[[#This Row],[Data do Caixa Previsto]]))</f>
        <v>2019</v>
      </c>
      <c r="O201" s="48" t="str">
        <f ca="1">IF(AND(TbRegistroEntradas[[#This Row],[Data do Caixa Previsto]]&lt;TODAY(),TbRegistroEntradas[[#This Row],[Data do Caixa Realizado]]=""),"Vencida","Não Vencida")</f>
        <v>Não Vencida</v>
      </c>
      <c r="P201" s="48" t="str">
        <f>IF(TbRegistroEntradas[[#This Row],[Data da Competência]]=TbRegistroEntradas[[#This Row],[Data do Caixa Previsto]],"Vista","Prazo")</f>
        <v>Prazo</v>
      </c>
      <c r="Q20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54.873373893591634</v>
      </c>
    </row>
    <row r="202" spans="2:17" x14ac:dyDescent="0.25">
      <c r="B202" s="14">
        <v>43622.661194715285</v>
      </c>
      <c r="C202" s="14">
        <v>43551</v>
      </c>
      <c r="D202" s="14">
        <v>43586.046958916726</v>
      </c>
      <c r="E202" t="s">
        <v>24</v>
      </c>
      <c r="F202" t="s">
        <v>35</v>
      </c>
      <c r="G202" t="s">
        <v>262</v>
      </c>
      <c r="H202" s="17">
        <v>4141</v>
      </c>
      <c r="I202">
        <f>IF(TbRegistroEntradas[[#This Row],[Data do Caixa Realizado]]="",0,MONTH(TbRegistroEntradas[[#This Row],[Data do Caixa Realizado]]))</f>
        <v>6</v>
      </c>
      <c r="J202">
        <f>IF(TbRegistroEntradas[[#This Row],[Data do Caixa Realizado]]="",0,YEAR(TbRegistroEntradas[[#This Row],[Data do Caixa Realizado]]))</f>
        <v>2019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 s="48">
        <f>IF(TbRegistroEntradas[[#This Row],[Data do Caixa Previsto]]="",0,MONTH(TbRegistroEntradas[[#This Row],[Data do Caixa Previsto]]))</f>
        <v>5</v>
      </c>
      <c r="N202" s="48">
        <f>IF(TbRegistroEntradas[[#This Row],[Data do Caixa Previsto]]="",0,YEAR(TbRegistroEntradas[[#This Row],[Data do Caixa Previsto]]))</f>
        <v>2019</v>
      </c>
      <c r="O202" s="48" t="str">
        <f ca="1">IF(AND(TbRegistroEntradas[[#This Row],[Data do Caixa Previsto]]&lt;TODAY(),TbRegistroEntradas[[#This Row],[Data do Caixa Realizado]]=""),"Vencida","Não Vencida")</f>
        <v>Não Vencida</v>
      </c>
      <c r="P202" s="48" t="str">
        <f>IF(TbRegistroEntradas[[#This Row],[Data da Competência]]=TbRegistroEntradas[[#This Row],[Data do Caixa Previsto]],"Vista","Prazo")</f>
        <v>Prazo</v>
      </c>
      <c r="Q20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36.614235798559093</v>
      </c>
    </row>
    <row r="203" spans="2:17" x14ac:dyDescent="0.25">
      <c r="B203" s="14" t="s">
        <v>74</v>
      </c>
      <c r="C203" s="14">
        <v>43552</v>
      </c>
      <c r="D203" s="14">
        <v>43586.891175257784</v>
      </c>
      <c r="E203" t="s">
        <v>24</v>
      </c>
      <c r="F203" t="s">
        <v>35</v>
      </c>
      <c r="G203" t="s">
        <v>263</v>
      </c>
      <c r="H203" s="17">
        <v>1348</v>
      </c>
      <c r="I203">
        <f>IF(TbRegistroEntradas[[#This Row],[Data do Caixa Realizado]]="",0,MONTH(TbRegistroEntradas[[#This Row],[Data do Caixa Realizado]]))</f>
        <v>0</v>
      </c>
      <c r="J203">
        <f>IF(TbRegistroEntradas[[#This Row],[Data do Caixa Realizado]]="",0,YEAR(TbRegistroEntradas[[#This Row],[Data do Caixa Realizado]]))</f>
        <v>0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 s="48">
        <f>IF(TbRegistroEntradas[[#This Row],[Data do Caixa Previsto]]="",0,MONTH(TbRegistroEntradas[[#This Row],[Data do Caixa Previsto]]))</f>
        <v>5</v>
      </c>
      <c r="N203" s="48">
        <f>IF(TbRegistroEntradas[[#This Row],[Data do Caixa Previsto]]="",0,YEAR(TbRegistroEntradas[[#This Row],[Data do Caixa Previsto]]))</f>
        <v>2019</v>
      </c>
      <c r="O203" s="48" t="str">
        <f ca="1">IF(AND(TbRegistroEntradas[[#This Row],[Data do Caixa Previsto]]&lt;TODAY(),TbRegistroEntradas[[#This Row],[Data do Caixa Realizado]]=""),"Vencida","Não Vencida")</f>
        <v>Vencida</v>
      </c>
      <c r="P203" s="48" t="str">
        <f>IF(TbRegistroEntradas[[#This Row],[Data da Competência]]=TbRegistroEntradas[[#This Row],[Data do Caixa Previsto]],"Vista","Prazo")</f>
        <v>Prazo</v>
      </c>
      <c r="Q20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2229.1088247422158</v>
      </c>
    </row>
    <row r="204" spans="2:17" x14ac:dyDescent="0.25">
      <c r="B204" s="14">
        <v>43579.560843489548</v>
      </c>
      <c r="C204" s="14">
        <v>43558</v>
      </c>
      <c r="D204" s="14">
        <v>43579.560843489548</v>
      </c>
      <c r="E204" t="s">
        <v>24</v>
      </c>
      <c r="F204" t="s">
        <v>34</v>
      </c>
      <c r="G204" t="s">
        <v>264</v>
      </c>
      <c r="H204" s="17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 s="48">
        <f>IF(TbRegistroEntradas[[#This Row],[Data do Caixa Previsto]]="",0,MONTH(TbRegistroEntradas[[#This Row],[Data do Caixa Previsto]]))</f>
        <v>4</v>
      </c>
      <c r="N204" s="48">
        <f>IF(TbRegistroEntradas[[#This Row],[Data do Caixa Previsto]]="",0,YEAR(TbRegistroEntradas[[#This Row],[Data do Caixa Previsto]]))</f>
        <v>2019</v>
      </c>
      <c r="O204" s="48" t="str">
        <f ca="1">IF(AND(TbRegistroEntradas[[#This Row],[Data do Caixa Previsto]]&lt;TODAY(),TbRegistroEntradas[[#This Row],[Data do Caixa Realizado]]=""),"Vencida","Não Vencida")</f>
        <v>Não Vencida</v>
      </c>
      <c r="P204" s="48" t="str">
        <f>IF(TbRegistroEntradas[[#This Row],[Data da Competência]]=TbRegistroEntradas[[#This Row],[Data do Caixa Previsto]],"Vista","Prazo")</f>
        <v>Prazo</v>
      </c>
      <c r="Q20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5" spans="2:17" x14ac:dyDescent="0.25">
      <c r="B205" s="14">
        <v>43616.927767605004</v>
      </c>
      <c r="C205" s="14">
        <v>43561</v>
      </c>
      <c r="D205" s="14">
        <v>43616.927767605004</v>
      </c>
      <c r="E205" t="s">
        <v>24</v>
      </c>
      <c r="F205" t="s">
        <v>34</v>
      </c>
      <c r="G205" t="s">
        <v>265</v>
      </c>
      <c r="H205" s="17">
        <v>732</v>
      </c>
      <c r="I205">
        <f>IF(TbRegistroEntradas[[#This Row],[Data do Caixa Realizado]]="",0,MONTH(TbRegistroEntradas[[#This Row],[Data do Caixa Realizado]]))</f>
        <v>5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 s="48">
        <f>IF(TbRegistroEntradas[[#This Row],[Data do Caixa Previsto]]="",0,MONTH(TbRegistroEntradas[[#This Row],[Data do Caixa Previsto]]))</f>
        <v>5</v>
      </c>
      <c r="N205" s="48">
        <f>IF(TbRegistroEntradas[[#This Row],[Data do Caixa Previsto]]="",0,YEAR(TbRegistroEntradas[[#This Row],[Data do Caixa Previsto]]))</f>
        <v>2019</v>
      </c>
      <c r="O205" s="48" t="str">
        <f ca="1">IF(AND(TbRegistroEntradas[[#This Row],[Data do Caixa Previsto]]&lt;TODAY(),TbRegistroEntradas[[#This Row],[Data do Caixa Realizado]]=""),"Vencida","Não Vencida")</f>
        <v>Não Vencida</v>
      </c>
      <c r="P205" s="48" t="str">
        <f>IF(TbRegistroEntradas[[#This Row],[Data da Competência]]=TbRegistroEntradas[[#This Row],[Data do Caixa Previsto]],"Vista","Prazo")</f>
        <v>Prazo</v>
      </c>
      <c r="Q20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6" spans="2:17" x14ac:dyDescent="0.25">
      <c r="B206" s="14">
        <v>43625.82552449884</v>
      </c>
      <c r="C206" s="14">
        <v>43562</v>
      </c>
      <c r="D206" s="14">
        <v>43586.693447907084</v>
      </c>
      <c r="E206" t="s">
        <v>24</v>
      </c>
      <c r="F206" t="s">
        <v>35</v>
      </c>
      <c r="G206" t="s">
        <v>266</v>
      </c>
      <c r="H206" s="17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 s="48">
        <f>IF(TbRegistroEntradas[[#This Row],[Data do Caixa Previsto]]="",0,MONTH(TbRegistroEntradas[[#This Row],[Data do Caixa Previsto]]))</f>
        <v>5</v>
      </c>
      <c r="N206" s="48">
        <f>IF(TbRegistroEntradas[[#This Row],[Data do Caixa Previsto]]="",0,YEAR(TbRegistroEntradas[[#This Row],[Data do Caixa Previsto]]))</f>
        <v>2019</v>
      </c>
      <c r="O206" s="48" t="str">
        <f ca="1">IF(AND(TbRegistroEntradas[[#This Row],[Data do Caixa Previsto]]&lt;TODAY(),TbRegistroEntradas[[#This Row],[Data do Caixa Realizado]]=""),"Vencida","Não Vencida")</f>
        <v>Não Vencida</v>
      </c>
      <c r="P206" s="48" t="str">
        <f>IF(TbRegistroEntradas[[#This Row],[Data da Competência]]=TbRegistroEntradas[[#This Row],[Data do Caixa Previsto]],"Vista","Prazo")</f>
        <v>Prazo</v>
      </c>
      <c r="Q20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39.132076591755322</v>
      </c>
    </row>
    <row r="207" spans="2:17" x14ac:dyDescent="0.25">
      <c r="B207" s="14">
        <v>43680.092544285042</v>
      </c>
      <c r="C207" s="14">
        <v>43564</v>
      </c>
      <c r="D207" s="14">
        <v>43609.201502582175</v>
      </c>
      <c r="E207" t="s">
        <v>24</v>
      </c>
      <c r="F207" t="s">
        <v>32</v>
      </c>
      <c r="G207" t="s">
        <v>267</v>
      </c>
      <c r="H207" s="17">
        <v>609</v>
      </c>
      <c r="I207">
        <f>IF(TbRegistroEntradas[[#This Row],[Data do Caixa Realizado]]="",0,MONTH(TbRegistroEntradas[[#This Row],[Data do Caixa Realizado]]))</f>
        <v>8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 s="48">
        <f>IF(TbRegistroEntradas[[#This Row],[Data do Caixa Previsto]]="",0,MONTH(TbRegistroEntradas[[#This Row],[Data do Caixa Previsto]]))</f>
        <v>5</v>
      </c>
      <c r="N207" s="48">
        <f>IF(TbRegistroEntradas[[#This Row],[Data do Caixa Previsto]]="",0,YEAR(TbRegistroEntradas[[#This Row],[Data do Caixa Previsto]]))</f>
        <v>2019</v>
      </c>
      <c r="O207" s="48" t="str">
        <f ca="1">IF(AND(TbRegistroEntradas[[#This Row],[Data do Caixa Previsto]]&lt;TODAY(),TbRegistroEntradas[[#This Row],[Data do Caixa Realizado]]=""),"Vencida","Não Vencida")</f>
        <v>Não Vencida</v>
      </c>
      <c r="P207" s="48" t="str">
        <f>IF(TbRegistroEntradas[[#This Row],[Data da Competência]]=TbRegistroEntradas[[#This Row],[Data do Caixa Previsto]],"Vista","Prazo")</f>
        <v>Prazo</v>
      </c>
      <c r="Q20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70.891041702867369</v>
      </c>
    </row>
    <row r="208" spans="2:17" x14ac:dyDescent="0.25">
      <c r="B208" s="14">
        <v>43615.075827004257</v>
      </c>
      <c r="C208" s="14">
        <v>43567</v>
      </c>
      <c r="D208" s="14">
        <v>43615.075827004257</v>
      </c>
      <c r="E208" t="s">
        <v>24</v>
      </c>
      <c r="F208" t="s">
        <v>34</v>
      </c>
      <c r="G208" t="s">
        <v>268</v>
      </c>
      <c r="H208" s="17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 s="48">
        <f>IF(TbRegistroEntradas[[#This Row],[Data do Caixa Previsto]]="",0,MONTH(TbRegistroEntradas[[#This Row],[Data do Caixa Previsto]]))</f>
        <v>5</v>
      </c>
      <c r="N208" s="48">
        <f>IF(TbRegistroEntradas[[#This Row],[Data do Caixa Previsto]]="",0,YEAR(TbRegistroEntradas[[#This Row],[Data do Caixa Previsto]]))</f>
        <v>2019</v>
      </c>
      <c r="O208" s="48" t="str">
        <f ca="1">IF(AND(TbRegistroEntradas[[#This Row],[Data do Caixa Previsto]]&lt;TODAY(),TbRegistroEntradas[[#This Row],[Data do Caixa Realizado]]=""),"Vencida","Não Vencida")</f>
        <v>Não Vencida</v>
      </c>
      <c r="P208" s="48" t="str">
        <f>IF(TbRegistroEntradas[[#This Row],[Data da Competência]]=TbRegistroEntradas[[#This Row],[Data do Caixa Previsto]],"Vista","Prazo")</f>
        <v>Prazo</v>
      </c>
      <c r="Q20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09" spans="2:17" x14ac:dyDescent="0.25">
      <c r="B209" s="14">
        <v>43570.769485626974</v>
      </c>
      <c r="C209" s="14">
        <v>43569</v>
      </c>
      <c r="D209" s="14">
        <v>43570.769485626974</v>
      </c>
      <c r="E209" t="s">
        <v>24</v>
      </c>
      <c r="F209" t="s">
        <v>32</v>
      </c>
      <c r="G209" t="s">
        <v>269</v>
      </c>
      <c r="H209" s="17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 s="48">
        <f>IF(TbRegistroEntradas[[#This Row],[Data do Caixa Previsto]]="",0,MONTH(TbRegistroEntradas[[#This Row],[Data do Caixa Previsto]]))</f>
        <v>4</v>
      </c>
      <c r="N209" s="48">
        <f>IF(TbRegistroEntradas[[#This Row],[Data do Caixa Previsto]]="",0,YEAR(TbRegistroEntradas[[#This Row],[Data do Caixa Previsto]]))</f>
        <v>2019</v>
      </c>
      <c r="O209" s="48" t="str">
        <f ca="1">IF(AND(TbRegistroEntradas[[#This Row],[Data do Caixa Previsto]]&lt;TODAY(),TbRegistroEntradas[[#This Row],[Data do Caixa Realizado]]=""),"Vencida","Não Vencida")</f>
        <v>Não Vencida</v>
      </c>
      <c r="P209" s="48" t="str">
        <f>IF(TbRegistroEntradas[[#This Row],[Data da Competência]]=TbRegistroEntradas[[#This Row],[Data do Caixa Previsto]],"Vista","Prazo")</f>
        <v>Prazo</v>
      </c>
      <c r="Q20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0" spans="2:17" x14ac:dyDescent="0.25">
      <c r="B210" s="14">
        <v>43579.931861207129</v>
      </c>
      <c r="C210" s="14">
        <v>43573</v>
      </c>
      <c r="D210" s="14">
        <v>43579.931861207129</v>
      </c>
      <c r="E210" t="s">
        <v>24</v>
      </c>
      <c r="F210" t="s">
        <v>32</v>
      </c>
      <c r="G210" t="s">
        <v>270</v>
      </c>
      <c r="H210" s="17">
        <v>4797</v>
      </c>
      <c r="I210">
        <f>IF(TbRegistroEntradas[[#This Row],[Data do Caixa Realizado]]="",0,MONTH(TbRegistroEntradas[[#This Row],[Data do Caixa Realizado]]))</f>
        <v>4</v>
      </c>
      <c r="J210">
        <f>IF(TbRegistroEntradas[[#This Row],[Data do Caixa Realizado]]="",0,YEAR(TbRegistroEntradas[[#This Row],[Data do Caixa Realizado]]))</f>
        <v>2019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 s="48">
        <f>IF(TbRegistroEntradas[[#This Row],[Data do Caixa Previsto]]="",0,MONTH(TbRegistroEntradas[[#This Row],[Data do Caixa Previsto]]))</f>
        <v>4</v>
      </c>
      <c r="N210" s="48">
        <f>IF(TbRegistroEntradas[[#This Row],[Data do Caixa Previsto]]="",0,YEAR(TbRegistroEntradas[[#This Row],[Data do Caixa Previsto]]))</f>
        <v>2019</v>
      </c>
      <c r="O210" s="48" t="str">
        <f ca="1">IF(AND(TbRegistroEntradas[[#This Row],[Data do Caixa Previsto]]&lt;TODAY(),TbRegistroEntradas[[#This Row],[Data do Caixa Realizado]]=""),"Vencida","Não Vencida")</f>
        <v>Não Vencida</v>
      </c>
      <c r="P210" s="48" t="str">
        <f>IF(TbRegistroEntradas[[#This Row],[Data da Competência]]=TbRegistroEntradas[[#This Row],[Data do Caixa Previsto]],"Vista","Prazo")</f>
        <v>Prazo</v>
      </c>
      <c r="Q21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1" spans="2:17" x14ac:dyDescent="0.25">
      <c r="B211" s="14">
        <v>43598.937055888804</v>
      </c>
      <c r="C211" s="14">
        <v>43575</v>
      </c>
      <c r="D211" s="14">
        <v>43598.937055888804</v>
      </c>
      <c r="E211" t="s">
        <v>24</v>
      </c>
      <c r="F211" t="s">
        <v>33</v>
      </c>
      <c r="G211" t="s">
        <v>271</v>
      </c>
      <c r="H211" s="17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 s="48">
        <f>IF(TbRegistroEntradas[[#This Row],[Data do Caixa Previsto]]="",0,MONTH(TbRegistroEntradas[[#This Row],[Data do Caixa Previsto]]))</f>
        <v>5</v>
      </c>
      <c r="N211" s="48">
        <f>IF(TbRegistroEntradas[[#This Row],[Data do Caixa Previsto]]="",0,YEAR(TbRegistroEntradas[[#This Row],[Data do Caixa Previsto]]))</f>
        <v>2019</v>
      </c>
      <c r="O211" s="48" t="str">
        <f ca="1">IF(AND(TbRegistroEntradas[[#This Row],[Data do Caixa Previsto]]&lt;TODAY(),TbRegistroEntradas[[#This Row],[Data do Caixa Realizado]]=""),"Vencida","Não Vencida")</f>
        <v>Não Vencida</v>
      </c>
      <c r="P211" s="48" t="str">
        <f>IF(TbRegistroEntradas[[#This Row],[Data da Competência]]=TbRegistroEntradas[[#This Row],[Data do Caixa Previsto]],"Vista","Prazo")</f>
        <v>Prazo</v>
      </c>
      <c r="Q21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2" spans="2:17" x14ac:dyDescent="0.25">
      <c r="B212" s="14">
        <v>43625.868579479997</v>
      </c>
      <c r="C212" s="14">
        <v>43582</v>
      </c>
      <c r="D212" s="14">
        <v>43625.868579479997</v>
      </c>
      <c r="E212" t="s">
        <v>24</v>
      </c>
      <c r="F212" t="s">
        <v>35</v>
      </c>
      <c r="G212" t="s">
        <v>272</v>
      </c>
      <c r="H212" s="17">
        <v>245</v>
      </c>
      <c r="I212">
        <f>IF(TbRegistroEntradas[[#This Row],[Data do Caixa Realizado]]="",0,MONTH(TbRegistroEntradas[[#This Row],[Data do Caixa Realizado]]))</f>
        <v>6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 s="48">
        <f>IF(TbRegistroEntradas[[#This Row],[Data do Caixa Previsto]]="",0,MONTH(TbRegistroEntradas[[#This Row],[Data do Caixa Previsto]]))</f>
        <v>6</v>
      </c>
      <c r="N212" s="48">
        <f>IF(TbRegistroEntradas[[#This Row],[Data do Caixa Previsto]]="",0,YEAR(TbRegistroEntradas[[#This Row],[Data do Caixa Previsto]]))</f>
        <v>2019</v>
      </c>
      <c r="O212" s="48" t="str">
        <f ca="1">IF(AND(TbRegistroEntradas[[#This Row],[Data do Caixa Previsto]]&lt;TODAY(),TbRegistroEntradas[[#This Row],[Data do Caixa Realizado]]=""),"Vencida","Não Vencida")</f>
        <v>Não Vencida</v>
      </c>
      <c r="P212" s="48" t="str">
        <f>IF(TbRegistroEntradas[[#This Row],[Data da Competência]]=TbRegistroEntradas[[#This Row],[Data do Caixa Previsto]],"Vista","Prazo")</f>
        <v>Prazo</v>
      </c>
      <c r="Q21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3" spans="2:17" x14ac:dyDescent="0.25">
      <c r="B213" s="14">
        <v>43595.986786318994</v>
      </c>
      <c r="C213" s="14">
        <v>43584</v>
      </c>
      <c r="D213" s="14">
        <v>43595.986786318994</v>
      </c>
      <c r="E213" t="s">
        <v>24</v>
      </c>
      <c r="F213" t="s">
        <v>34</v>
      </c>
      <c r="G213" t="s">
        <v>273</v>
      </c>
      <c r="H213" s="17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 s="48">
        <f>IF(TbRegistroEntradas[[#This Row],[Data do Caixa Previsto]]="",0,MONTH(TbRegistroEntradas[[#This Row],[Data do Caixa Previsto]]))</f>
        <v>5</v>
      </c>
      <c r="N213" s="48">
        <f>IF(TbRegistroEntradas[[#This Row],[Data do Caixa Previsto]]="",0,YEAR(TbRegistroEntradas[[#This Row],[Data do Caixa Previsto]]))</f>
        <v>2019</v>
      </c>
      <c r="O213" s="48" t="str">
        <f ca="1">IF(AND(TbRegistroEntradas[[#This Row],[Data do Caixa Previsto]]&lt;TODAY(),TbRegistroEntradas[[#This Row],[Data do Caixa Realizado]]=""),"Vencida","Não Vencida")</f>
        <v>Não Vencida</v>
      </c>
      <c r="P213" s="48" t="str">
        <f>IF(TbRegistroEntradas[[#This Row],[Data da Competência]]=TbRegistroEntradas[[#This Row],[Data do Caixa Previsto]],"Vista","Prazo")</f>
        <v>Prazo</v>
      </c>
      <c r="Q21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4" spans="2:17" x14ac:dyDescent="0.25">
      <c r="B214" s="14">
        <v>43594.434933470475</v>
      </c>
      <c r="C214" s="14">
        <v>43585</v>
      </c>
      <c r="D214" s="14">
        <v>43594.434933470475</v>
      </c>
      <c r="E214" t="s">
        <v>24</v>
      </c>
      <c r="F214" t="s">
        <v>34</v>
      </c>
      <c r="G214" t="s">
        <v>274</v>
      </c>
      <c r="H214" s="17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 s="48">
        <f>IF(TbRegistroEntradas[[#This Row],[Data do Caixa Previsto]]="",0,MONTH(TbRegistroEntradas[[#This Row],[Data do Caixa Previsto]]))</f>
        <v>5</v>
      </c>
      <c r="N214" s="48">
        <f>IF(TbRegistroEntradas[[#This Row],[Data do Caixa Previsto]]="",0,YEAR(TbRegistroEntradas[[#This Row],[Data do Caixa Previsto]]))</f>
        <v>2019</v>
      </c>
      <c r="O214" s="48" t="str">
        <f ca="1">IF(AND(TbRegistroEntradas[[#This Row],[Data do Caixa Previsto]]&lt;TODAY(),TbRegistroEntradas[[#This Row],[Data do Caixa Realizado]]=""),"Vencida","Não Vencida")</f>
        <v>Não Vencida</v>
      </c>
      <c r="P214" s="48" t="str">
        <f>IF(TbRegistroEntradas[[#This Row],[Data da Competência]]=TbRegistroEntradas[[#This Row],[Data do Caixa Previsto]],"Vista","Prazo")</f>
        <v>Prazo</v>
      </c>
      <c r="Q21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5" spans="2:17" x14ac:dyDescent="0.25">
      <c r="B215" s="14">
        <v>43604.067998386839</v>
      </c>
      <c r="C215" s="14">
        <v>43587</v>
      </c>
      <c r="D215" s="14">
        <v>43604.067998386839</v>
      </c>
      <c r="E215" t="s">
        <v>24</v>
      </c>
      <c r="F215" t="s">
        <v>35</v>
      </c>
      <c r="G215" t="s">
        <v>275</v>
      </c>
      <c r="H215" s="17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 s="48">
        <f>IF(TbRegistroEntradas[[#This Row],[Data do Caixa Previsto]]="",0,MONTH(TbRegistroEntradas[[#This Row],[Data do Caixa Previsto]]))</f>
        <v>5</v>
      </c>
      <c r="N215" s="48">
        <f>IF(TbRegistroEntradas[[#This Row],[Data do Caixa Previsto]]="",0,YEAR(TbRegistroEntradas[[#This Row],[Data do Caixa Previsto]]))</f>
        <v>2019</v>
      </c>
      <c r="O215" s="48" t="str">
        <f ca="1">IF(AND(TbRegistroEntradas[[#This Row],[Data do Caixa Previsto]]&lt;TODAY(),TbRegistroEntradas[[#This Row],[Data do Caixa Realizado]]=""),"Vencida","Não Vencida")</f>
        <v>Não Vencida</v>
      </c>
      <c r="P215" s="48" t="str">
        <f>IF(TbRegistroEntradas[[#This Row],[Data da Competência]]=TbRegistroEntradas[[#This Row],[Data do Caixa Previsto]],"Vista","Prazo")</f>
        <v>Prazo</v>
      </c>
      <c r="Q21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6" spans="2:17" x14ac:dyDescent="0.25">
      <c r="B216" s="14">
        <v>43626.576857263979</v>
      </c>
      <c r="C216" s="14">
        <v>43590</v>
      </c>
      <c r="D216" s="14">
        <v>43626.576857263979</v>
      </c>
      <c r="E216" t="s">
        <v>24</v>
      </c>
      <c r="F216" t="s">
        <v>34</v>
      </c>
      <c r="G216" t="s">
        <v>276</v>
      </c>
      <c r="H216" s="17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 s="48">
        <f>IF(TbRegistroEntradas[[#This Row],[Data do Caixa Previsto]]="",0,MONTH(TbRegistroEntradas[[#This Row],[Data do Caixa Previsto]]))</f>
        <v>6</v>
      </c>
      <c r="N216" s="48">
        <f>IF(TbRegistroEntradas[[#This Row],[Data do Caixa Previsto]]="",0,YEAR(TbRegistroEntradas[[#This Row],[Data do Caixa Previsto]]))</f>
        <v>2019</v>
      </c>
      <c r="O216" s="48" t="str">
        <f ca="1">IF(AND(TbRegistroEntradas[[#This Row],[Data do Caixa Previsto]]&lt;TODAY(),TbRegistroEntradas[[#This Row],[Data do Caixa Realizado]]=""),"Vencida","Não Vencida")</f>
        <v>Não Vencida</v>
      </c>
      <c r="P216" s="48" t="str">
        <f>IF(TbRegistroEntradas[[#This Row],[Data da Competência]]=TbRegistroEntradas[[#This Row],[Data do Caixa Previsto]],"Vista","Prazo")</f>
        <v>Prazo</v>
      </c>
      <c r="Q21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7" spans="2:17" x14ac:dyDescent="0.25">
      <c r="B217" s="14">
        <v>43624.539951944804</v>
      </c>
      <c r="C217" s="14">
        <v>43592</v>
      </c>
      <c r="D217" s="14">
        <v>43609.115059144882</v>
      </c>
      <c r="E217" t="s">
        <v>24</v>
      </c>
      <c r="F217" t="s">
        <v>34</v>
      </c>
      <c r="G217" t="s">
        <v>277</v>
      </c>
      <c r="H217" s="17">
        <v>343</v>
      </c>
      <c r="I217">
        <f>IF(TbRegistroEntradas[[#This Row],[Data do Caixa Realizado]]="",0,MONTH(TbRegistroEntradas[[#This Row],[Data do Caixa Realizado]]))</f>
        <v>6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 s="48">
        <f>IF(TbRegistroEntradas[[#This Row],[Data do Caixa Previsto]]="",0,MONTH(TbRegistroEntradas[[#This Row],[Data do Caixa Previsto]]))</f>
        <v>5</v>
      </c>
      <c r="N217" s="48">
        <f>IF(TbRegistroEntradas[[#This Row],[Data do Caixa Previsto]]="",0,YEAR(TbRegistroEntradas[[#This Row],[Data do Caixa Previsto]]))</f>
        <v>2019</v>
      </c>
      <c r="O217" s="48" t="str">
        <f ca="1">IF(AND(TbRegistroEntradas[[#This Row],[Data do Caixa Previsto]]&lt;TODAY(),TbRegistroEntradas[[#This Row],[Data do Caixa Realizado]]=""),"Vencida","Não Vencida")</f>
        <v>Não Vencida</v>
      </c>
      <c r="P217" s="48" t="str">
        <f>IF(TbRegistroEntradas[[#This Row],[Data da Competência]]=TbRegistroEntradas[[#This Row],[Data do Caixa Previsto]],"Vista","Prazo")</f>
        <v>Prazo</v>
      </c>
      <c r="Q21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15.424892799921508</v>
      </c>
    </row>
    <row r="218" spans="2:17" x14ac:dyDescent="0.25">
      <c r="B218" s="14">
        <v>43603.679990785502</v>
      </c>
      <c r="C218" s="14">
        <v>43593</v>
      </c>
      <c r="D218" s="14">
        <v>43603.679990785502</v>
      </c>
      <c r="E218" t="s">
        <v>24</v>
      </c>
      <c r="F218" t="s">
        <v>32</v>
      </c>
      <c r="G218" t="s">
        <v>278</v>
      </c>
      <c r="H218" s="17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 s="48">
        <f>IF(TbRegistroEntradas[[#This Row],[Data do Caixa Previsto]]="",0,MONTH(TbRegistroEntradas[[#This Row],[Data do Caixa Previsto]]))</f>
        <v>5</v>
      </c>
      <c r="N218" s="48">
        <f>IF(TbRegistroEntradas[[#This Row],[Data do Caixa Previsto]]="",0,YEAR(TbRegistroEntradas[[#This Row],[Data do Caixa Previsto]]))</f>
        <v>2019</v>
      </c>
      <c r="O218" s="48" t="str">
        <f ca="1">IF(AND(TbRegistroEntradas[[#This Row],[Data do Caixa Previsto]]&lt;TODAY(),TbRegistroEntradas[[#This Row],[Data do Caixa Realizado]]=""),"Vencida","Não Vencida")</f>
        <v>Não Vencida</v>
      </c>
      <c r="P218" s="48" t="str">
        <f>IF(TbRegistroEntradas[[#This Row],[Data da Competência]]=TbRegistroEntradas[[#This Row],[Data do Caixa Previsto]],"Vista","Prazo")</f>
        <v>Prazo</v>
      </c>
      <c r="Q21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19" spans="2:17" x14ac:dyDescent="0.25">
      <c r="B219" s="14" t="s">
        <v>74</v>
      </c>
      <c r="C219" s="14">
        <v>43597</v>
      </c>
      <c r="D219" s="14">
        <v>43605.396059977378</v>
      </c>
      <c r="E219" t="s">
        <v>24</v>
      </c>
      <c r="F219" t="s">
        <v>34</v>
      </c>
      <c r="G219" t="s">
        <v>279</v>
      </c>
      <c r="H219" s="17">
        <v>667</v>
      </c>
      <c r="I219">
        <f>IF(TbRegistroEntradas[[#This Row],[Data do Caixa Realizado]]="",0,MONTH(TbRegistroEntradas[[#This Row],[Data do Caixa Realizado]]))</f>
        <v>0</v>
      </c>
      <c r="J219">
        <f>IF(TbRegistroEntradas[[#This Row],[Data do Caixa Realizado]]="",0,YEAR(TbRegistroEntradas[[#This Row],[Data do Caixa Realizado]]))</f>
        <v>0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 s="48">
        <f>IF(TbRegistroEntradas[[#This Row],[Data do Caixa Previsto]]="",0,MONTH(TbRegistroEntradas[[#This Row],[Data do Caixa Previsto]]))</f>
        <v>5</v>
      </c>
      <c r="N219" s="48">
        <f>IF(TbRegistroEntradas[[#This Row],[Data do Caixa Previsto]]="",0,YEAR(TbRegistroEntradas[[#This Row],[Data do Caixa Previsto]]))</f>
        <v>2019</v>
      </c>
      <c r="O219" s="48" t="str">
        <f ca="1">IF(AND(TbRegistroEntradas[[#This Row],[Data do Caixa Previsto]]&lt;TODAY(),TbRegistroEntradas[[#This Row],[Data do Caixa Realizado]]=""),"Vencida","Não Vencida")</f>
        <v>Vencida</v>
      </c>
      <c r="P219" s="48" t="str">
        <f>IF(TbRegistroEntradas[[#This Row],[Data da Competência]]=TbRegistroEntradas[[#This Row],[Data do Caixa Previsto]],"Vista","Prazo")</f>
        <v>Prazo</v>
      </c>
      <c r="Q21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2210.6039400226218</v>
      </c>
    </row>
    <row r="220" spans="2:17" x14ac:dyDescent="0.25">
      <c r="B220" s="14">
        <v>43631.169319753048</v>
      </c>
      <c r="C220" s="14">
        <v>43600</v>
      </c>
      <c r="D220" s="14">
        <v>43631.169319753048</v>
      </c>
      <c r="E220" t="s">
        <v>24</v>
      </c>
      <c r="F220" t="s">
        <v>34</v>
      </c>
      <c r="G220" t="s">
        <v>280</v>
      </c>
      <c r="H220" s="17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 s="48">
        <f>IF(TbRegistroEntradas[[#This Row],[Data do Caixa Previsto]]="",0,MONTH(TbRegistroEntradas[[#This Row],[Data do Caixa Previsto]]))</f>
        <v>6</v>
      </c>
      <c r="N220" s="48">
        <f>IF(TbRegistroEntradas[[#This Row],[Data do Caixa Previsto]]="",0,YEAR(TbRegistroEntradas[[#This Row],[Data do Caixa Previsto]]))</f>
        <v>2019</v>
      </c>
      <c r="O220" s="48" t="str">
        <f ca="1">IF(AND(TbRegistroEntradas[[#This Row],[Data do Caixa Previsto]]&lt;TODAY(),TbRegistroEntradas[[#This Row],[Data do Caixa Realizado]]=""),"Vencida","Não Vencida")</f>
        <v>Não Vencida</v>
      </c>
      <c r="P220" s="48" t="str">
        <f>IF(TbRegistroEntradas[[#This Row],[Data da Competência]]=TbRegistroEntradas[[#This Row],[Data do Caixa Previsto]],"Vista","Prazo")</f>
        <v>Prazo</v>
      </c>
      <c r="Q22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1" spans="2:17" x14ac:dyDescent="0.25">
      <c r="B221" s="14">
        <v>43686.642670066765</v>
      </c>
      <c r="C221" s="14">
        <v>43604</v>
      </c>
      <c r="D221" s="14">
        <v>43635.878098777197</v>
      </c>
      <c r="E221" t="s">
        <v>24</v>
      </c>
      <c r="F221" t="s">
        <v>35</v>
      </c>
      <c r="G221" t="s">
        <v>281</v>
      </c>
      <c r="H221" s="17">
        <v>1071</v>
      </c>
      <c r="I221">
        <f>IF(TbRegistroEntradas[[#This Row],[Data do Caixa Realizado]]="",0,MONTH(TbRegistroEntradas[[#This Row],[Data do Caixa Realizado]]))</f>
        <v>8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 s="48">
        <f>IF(TbRegistroEntradas[[#This Row],[Data do Caixa Previsto]]="",0,MONTH(TbRegistroEntradas[[#This Row],[Data do Caixa Previsto]]))</f>
        <v>6</v>
      </c>
      <c r="N221" s="48">
        <f>IF(TbRegistroEntradas[[#This Row],[Data do Caixa Previsto]]="",0,YEAR(TbRegistroEntradas[[#This Row],[Data do Caixa Previsto]]))</f>
        <v>2019</v>
      </c>
      <c r="O221" s="48" t="str">
        <f ca="1">IF(AND(TbRegistroEntradas[[#This Row],[Data do Caixa Previsto]]&lt;TODAY(),TbRegistroEntradas[[#This Row],[Data do Caixa Realizado]]=""),"Vencida","Não Vencida")</f>
        <v>Não Vencida</v>
      </c>
      <c r="P221" s="48" t="str">
        <f>IF(TbRegistroEntradas[[#This Row],[Data da Competência]]=TbRegistroEntradas[[#This Row],[Data do Caixa Previsto]],"Vista","Prazo")</f>
        <v>Prazo</v>
      </c>
      <c r="Q22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50.764571289568266</v>
      </c>
    </row>
    <row r="222" spans="2:17" x14ac:dyDescent="0.25">
      <c r="B222" s="14">
        <v>43630.288414733965</v>
      </c>
      <c r="C222" s="14">
        <v>43609</v>
      </c>
      <c r="D222" s="14">
        <v>43630.288414733965</v>
      </c>
      <c r="E222" t="s">
        <v>24</v>
      </c>
      <c r="F222" t="s">
        <v>33</v>
      </c>
      <c r="G222" t="s">
        <v>282</v>
      </c>
      <c r="H222" s="17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 s="48">
        <f>IF(TbRegistroEntradas[[#This Row],[Data do Caixa Previsto]]="",0,MONTH(TbRegistroEntradas[[#This Row],[Data do Caixa Previsto]]))</f>
        <v>6</v>
      </c>
      <c r="N222" s="48">
        <f>IF(TbRegistroEntradas[[#This Row],[Data do Caixa Previsto]]="",0,YEAR(TbRegistroEntradas[[#This Row],[Data do Caixa Previsto]]))</f>
        <v>2019</v>
      </c>
      <c r="O222" s="48" t="str">
        <f ca="1">IF(AND(TbRegistroEntradas[[#This Row],[Data do Caixa Previsto]]&lt;TODAY(),TbRegistroEntradas[[#This Row],[Data do Caixa Realizado]]=""),"Vencida","Não Vencida")</f>
        <v>Não Vencida</v>
      </c>
      <c r="P222" s="48" t="str">
        <f>IF(TbRegistroEntradas[[#This Row],[Data da Competência]]=TbRegistroEntradas[[#This Row],[Data do Caixa Previsto]],"Vista","Prazo")</f>
        <v>Prazo</v>
      </c>
      <c r="Q22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3" spans="2:17" x14ac:dyDescent="0.25">
      <c r="B223" s="14">
        <v>43611.846709635254</v>
      </c>
      <c r="C223" s="14">
        <v>43611</v>
      </c>
      <c r="D223" s="14">
        <v>43611.846709635254</v>
      </c>
      <c r="E223" t="s">
        <v>24</v>
      </c>
      <c r="F223" t="s">
        <v>34</v>
      </c>
      <c r="G223" t="s">
        <v>283</v>
      </c>
      <c r="H223" s="17">
        <v>2531</v>
      </c>
      <c r="I223">
        <f>IF(TbRegistroEntradas[[#This Row],[Data do Caixa Realizado]]="",0,MONTH(TbRegistroEntradas[[#This Row],[Data do Caixa Realizado]]))</f>
        <v>5</v>
      </c>
      <c r="J223">
        <f>IF(TbRegistroEntradas[[#This Row],[Data do Caixa Realizado]]="",0,YEAR(TbRegistroEntradas[[#This Row],[Data do Caixa Realizado]]))</f>
        <v>2019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 s="48">
        <f>IF(TbRegistroEntradas[[#This Row],[Data do Caixa Previsto]]="",0,MONTH(TbRegistroEntradas[[#This Row],[Data do Caixa Previsto]]))</f>
        <v>5</v>
      </c>
      <c r="N223" s="48">
        <f>IF(TbRegistroEntradas[[#This Row],[Data do Caixa Previsto]]="",0,YEAR(TbRegistroEntradas[[#This Row],[Data do Caixa Previsto]]))</f>
        <v>2019</v>
      </c>
      <c r="O223" s="48" t="str">
        <f ca="1">IF(AND(TbRegistroEntradas[[#This Row],[Data do Caixa Previsto]]&lt;TODAY(),TbRegistroEntradas[[#This Row],[Data do Caixa Realizado]]=""),"Vencida","Não Vencida")</f>
        <v>Não Vencida</v>
      </c>
      <c r="P223" s="48" t="str">
        <f>IF(TbRegistroEntradas[[#This Row],[Data da Competência]]=TbRegistroEntradas[[#This Row],[Data do Caixa Previsto]],"Vista","Prazo")</f>
        <v>Prazo</v>
      </c>
      <c r="Q22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4" spans="2:17" x14ac:dyDescent="0.25">
      <c r="B224" s="14">
        <v>43708.684678024969</v>
      </c>
      <c r="C224" s="14">
        <v>43614</v>
      </c>
      <c r="D224" s="14">
        <v>43655.218374780801</v>
      </c>
      <c r="E224" t="s">
        <v>24</v>
      </c>
      <c r="F224" t="s">
        <v>32</v>
      </c>
      <c r="G224" t="s">
        <v>284</v>
      </c>
      <c r="H224" s="17">
        <v>657</v>
      </c>
      <c r="I224">
        <f>IF(TbRegistroEntradas[[#This Row],[Data do Caixa Realizado]]="",0,MONTH(TbRegistroEntradas[[#This Row],[Data do Caixa Realizado]]))</f>
        <v>8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 s="48">
        <f>IF(TbRegistroEntradas[[#This Row],[Data do Caixa Previsto]]="",0,MONTH(TbRegistroEntradas[[#This Row],[Data do Caixa Previsto]]))</f>
        <v>7</v>
      </c>
      <c r="N224" s="48">
        <f>IF(TbRegistroEntradas[[#This Row],[Data do Caixa Previsto]]="",0,YEAR(TbRegistroEntradas[[#This Row],[Data do Caixa Previsto]]))</f>
        <v>2019</v>
      </c>
      <c r="O224" s="48" t="str">
        <f ca="1">IF(AND(TbRegistroEntradas[[#This Row],[Data do Caixa Previsto]]&lt;TODAY(),TbRegistroEntradas[[#This Row],[Data do Caixa Realizado]]=""),"Vencida","Não Vencida")</f>
        <v>Não Vencida</v>
      </c>
      <c r="P224" s="48" t="str">
        <f>IF(TbRegistroEntradas[[#This Row],[Data da Competência]]=TbRegistroEntradas[[#This Row],[Data do Caixa Previsto]],"Vista","Prazo")</f>
        <v>Prazo</v>
      </c>
      <c r="Q22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53.466303244167648</v>
      </c>
    </row>
    <row r="225" spans="2:17" x14ac:dyDescent="0.25">
      <c r="B225" s="14">
        <v>43648.175451286195</v>
      </c>
      <c r="C225" s="14">
        <v>43615</v>
      </c>
      <c r="D225" s="14">
        <v>43648.175451286195</v>
      </c>
      <c r="E225" t="s">
        <v>24</v>
      </c>
      <c r="F225" t="s">
        <v>31</v>
      </c>
      <c r="G225" t="s">
        <v>285</v>
      </c>
      <c r="H225" s="17">
        <v>4535</v>
      </c>
      <c r="I225">
        <f>IF(TbRegistroEntradas[[#This Row],[Data do Caixa Realizado]]="",0,MONTH(TbRegistroEntradas[[#This Row],[Data do Caixa Realizado]]))</f>
        <v>7</v>
      </c>
      <c r="J225">
        <f>IF(TbRegistroEntradas[[#This Row],[Data do Caixa Realizado]]="",0,YEAR(TbRegistroEntradas[[#This Row],[Data do Caixa Realizado]]))</f>
        <v>2019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 s="48">
        <f>IF(TbRegistroEntradas[[#This Row],[Data do Caixa Previsto]]="",0,MONTH(TbRegistroEntradas[[#This Row],[Data do Caixa Previsto]]))</f>
        <v>7</v>
      </c>
      <c r="N225" s="48">
        <f>IF(TbRegistroEntradas[[#This Row],[Data do Caixa Previsto]]="",0,YEAR(TbRegistroEntradas[[#This Row],[Data do Caixa Previsto]]))</f>
        <v>2019</v>
      </c>
      <c r="O225" s="48" t="str">
        <f ca="1">IF(AND(TbRegistroEntradas[[#This Row],[Data do Caixa Previsto]]&lt;TODAY(),TbRegistroEntradas[[#This Row],[Data do Caixa Realizado]]=""),"Vencida","Não Vencida")</f>
        <v>Não Vencida</v>
      </c>
      <c r="P225" s="48" t="str">
        <f>IF(TbRegistroEntradas[[#This Row],[Data da Competência]]=TbRegistroEntradas[[#This Row],[Data do Caixa Previsto]],"Vista","Prazo")</f>
        <v>Prazo</v>
      </c>
      <c r="Q225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26" spans="2:17" x14ac:dyDescent="0.25">
      <c r="B226" s="14">
        <v>43667.504857748412</v>
      </c>
      <c r="C226" s="14">
        <v>43620</v>
      </c>
      <c r="D226" s="14">
        <v>43641.616865332398</v>
      </c>
      <c r="E226" t="s">
        <v>24</v>
      </c>
      <c r="F226" t="s">
        <v>34</v>
      </c>
      <c r="G226" t="s">
        <v>286</v>
      </c>
      <c r="H226" s="17">
        <v>1848</v>
      </c>
      <c r="I226">
        <f>IF(TbRegistroEntradas[[#This Row],[Data do Caixa Realizado]]="",0,MONTH(TbRegistroEntradas[[#This Row],[Data do Caixa Realizado]]))</f>
        <v>7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 s="48">
        <f>IF(TbRegistroEntradas[[#This Row],[Data do Caixa Previsto]]="",0,MONTH(TbRegistroEntradas[[#This Row],[Data do Caixa Previsto]]))</f>
        <v>6</v>
      </c>
      <c r="N226" s="48">
        <f>IF(TbRegistroEntradas[[#This Row],[Data do Caixa Previsto]]="",0,YEAR(TbRegistroEntradas[[#This Row],[Data do Caixa Previsto]]))</f>
        <v>2019</v>
      </c>
      <c r="O226" s="48" t="str">
        <f ca="1">IF(AND(TbRegistroEntradas[[#This Row],[Data do Caixa Previsto]]&lt;TODAY(),TbRegistroEntradas[[#This Row],[Data do Caixa Realizado]]=""),"Vencida","Não Vencida")</f>
        <v>Não Vencida</v>
      </c>
      <c r="P226" s="48" t="str">
        <f>IF(TbRegistroEntradas[[#This Row],[Data da Competência]]=TbRegistroEntradas[[#This Row],[Data do Caixa Previsto]],"Vista","Prazo")</f>
        <v>Prazo</v>
      </c>
      <c r="Q226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25.887992416013731</v>
      </c>
    </row>
    <row r="227" spans="2:17" x14ac:dyDescent="0.25">
      <c r="B227" s="14">
        <v>43633.202763509209</v>
      </c>
      <c r="C227" s="14">
        <v>43625</v>
      </c>
      <c r="D227" s="14">
        <v>43632.847420047961</v>
      </c>
      <c r="E227" t="s">
        <v>24</v>
      </c>
      <c r="F227" t="s">
        <v>34</v>
      </c>
      <c r="G227" t="s">
        <v>287</v>
      </c>
      <c r="H227" s="17">
        <v>191</v>
      </c>
      <c r="I227">
        <f>IF(TbRegistroEntradas[[#This Row],[Data do Caixa Realizado]]="",0,MONTH(TbRegistroEntradas[[#This Row],[Data do Caixa Realizado]]))</f>
        <v>6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 s="48">
        <f>IF(TbRegistroEntradas[[#This Row],[Data do Caixa Previsto]]="",0,MONTH(TbRegistroEntradas[[#This Row],[Data do Caixa Previsto]]))</f>
        <v>6</v>
      </c>
      <c r="N227" s="48">
        <f>IF(TbRegistroEntradas[[#This Row],[Data do Caixa Previsto]]="",0,YEAR(TbRegistroEntradas[[#This Row],[Data do Caixa Previsto]]))</f>
        <v>2019</v>
      </c>
      <c r="O227" s="48" t="str">
        <f ca="1">IF(AND(TbRegistroEntradas[[#This Row],[Data do Caixa Previsto]]&lt;TODAY(),TbRegistroEntradas[[#This Row],[Data do Caixa Realizado]]=""),"Vencida","Não Vencida")</f>
        <v>Não Vencida</v>
      </c>
      <c r="P227" s="48" t="str">
        <f>IF(TbRegistroEntradas[[#This Row],[Data da Competência]]=TbRegistroEntradas[[#This Row],[Data do Caixa Previsto]],"Vista","Prazo")</f>
        <v>Prazo</v>
      </c>
      <c r="Q227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0.3553434612476849</v>
      </c>
    </row>
    <row r="228" spans="2:17" x14ac:dyDescent="0.25">
      <c r="B228" s="14" t="s">
        <v>74</v>
      </c>
      <c r="C228" s="14">
        <v>43629</v>
      </c>
      <c r="D228" s="14">
        <v>43668.924870501287</v>
      </c>
      <c r="E228" t="s">
        <v>24</v>
      </c>
      <c r="F228" t="s">
        <v>31</v>
      </c>
      <c r="G228" t="s">
        <v>288</v>
      </c>
      <c r="H228" s="17">
        <v>508</v>
      </c>
      <c r="I228">
        <f>IF(TbRegistroEntradas[[#This Row],[Data do Caixa Realizado]]="",0,MONTH(TbRegistroEntradas[[#This Row],[Data do Caixa Realizado]]))</f>
        <v>0</v>
      </c>
      <c r="J228">
        <f>IF(TbRegistroEntradas[[#This Row],[Data do Caixa Realizado]]="",0,YEAR(TbRegistroEntradas[[#This Row],[Data do Caixa Realizado]]))</f>
        <v>0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 s="48">
        <f>IF(TbRegistroEntradas[[#This Row],[Data do Caixa Previsto]]="",0,MONTH(TbRegistroEntradas[[#This Row],[Data do Caixa Previsto]]))</f>
        <v>7</v>
      </c>
      <c r="N228" s="48">
        <f>IF(TbRegistroEntradas[[#This Row],[Data do Caixa Previsto]]="",0,YEAR(TbRegistroEntradas[[#This Row],[Data do Caixa Previsto]]))</f>
        <v>2019</v>
      </c>
      <c r="O228" s="48" t="str">
        <f ca="1">IF(AND(TbRegistroEntradas[[#This Row],[Data do Caixa Previsto]]&lt;TODAY(),TbRegistroEntradas[[#This Row],[Data do Caixa Realizado]]=""),"Vencida","Não Vencida")</f>
        <v>Vencida</v>
      </c>
      <c r="P228" s="48" t="str">
        <f>IF(TbRegistroEntradas[[#This Row],[Data da Competência]]=TbRegistroEntradas[[#This Row],[Data do Caixa Previsto]],"Vista","Prazo")</f>
        <v>Prazo</v>
      </c>
      <c r="Q228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2147.0751294987131</v>
      </c>
    </row>
    <row r="229" spans="2:17" x14ac:dyDescent="0.25">
      <c r="B229" s="14">
        <v>43663.604642253973</v>
      </c>
      <c r="C229" s="14">
        <v>43631</v>
      </c>
      <c r="D229" s="14">
        <v>43663.604642253973</v>
      </c>
      <c r="E229" t="s">
        <v>24</v>
      </c>
      <c r="F229" t="s">
        <v>33</v>
      </c>
      <c r="G229" t="s">
        <v>289</v>
      </c>
      <c r="H229" s="17">
        <v>1482</v>
      </c>
      <c r="I229">
        <f>IF(TbRegistroEntradas[[#This Row],[Data do Caixa Realizado]]="",0,MONTH(TbRegistroEntradas[[#This Row],[Data do Caixa Realizado]]))</f>
        <v>7</v>
      </c>
      <c r="J229">
        <f>IF(TbRegistroEntradas[[#This Row],[Data do Caixa Realizado]]="",0,YEAR(TbRegistroEntradas[[#This Row],[Data do Caixa Realizado]]))</f>
        <v>2019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 s="48">
        <f>IF(TbRegistroEntradas[[#This Row],[Data do Caixa Previsto]]="",0,MONTH(TbRegistroEntradas[[#This Row],[Data do Caixa Previsto]]))</f>
        <v>7</v>
      </c>
      <c r="N229" s="48">
        <f>IF(TbRegistroEntradas[[#This Row],[Data do Caixa Previsto]]="",0,YEAR(TbRegistroEntradas[[#This Row],[Data do Caixa Previsto]]))</f>
        <v>2019</v>
      </c>
      <c r="O229" s="48" t="str">
        <f ca="1">IF(AND(TbRegistroEntradas[[#This Row],[Data do Caixa Previsto]]&lt;TODAY(),TbRegistroEntradas[[#This Row],[Data do Caixa Realizado]]=""),"Vencida","Não Vencida")</f>
        <v>Não Vencida</v>
      </c>
      <c r="P229" s="48" t="str">
        <f>IF(TbRegistroEntradas[[#This Row],[Data da Competência]]=TbRegistroEntradas[[#This Row],[Data do Caixa Previsto]],"Vista","Prazo")</f>
        <v>Prazo</v>
      </c>
      <c r="Q229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30" spans="2:17" x14ac:dyDescent="0.25">
      <c r="B230" s="14">
        <v>43647.603244851816</v>
      </c>
      <c r="C230" s="14">
        <v>43632</v>
      </c>
      <c r="D230" s="14">
        <v>43647.603244851816</v>
      </c>
      <c r="E230" t="s">
        <v>24</v>
      </c>
      <c r="F230" t="s">
        <v>35</v>
      </c>
      <c r="G230" t="s">
        <v>290</v>
      </c>
      <c r="H230" s="17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 s="48">
        <f>IF(TbRegistroEntradas[[#This Row],[Data do Caixa Previsto]]="",0,MONTH(TbRegistroEntradas[[#This Row],[Data do Caixa Previsto]]))</f>
        <v>7</v>
      </c>
      <c r="N230" s="48">
        <f>IF(TbRegistroEntradas[[#This Row],[Data do Caixa Previsto]]="",0,YEAR(TbRegistroEntradas[[#This Row],[Data do Caixa Previsto]]))</f>
        <v>2019</v>
      </c>
      <c r="O230" s="48" t="str">
        <f ca="1">IF(AND(TbRegistroEntradas[[#This Row],[Data do Caixa Previsto]]&lt;TODAY(),TbRegistroEntradas[[#This Row],[Data do Caixa Realizado]]=""),"Vencida","Não Vencida")</f>
        <v>Não Vencida</v>
      </c>
      <c r="P230" s="48" t="str">
        <f>IF(TbRegistroEntradas[[#This Row],[Data da Competência]]=TbRegistroEntradas[[#This Row],[Data do Caixa Previsto]],"Vista","Prazo")</f>
        <v>Prazo</v>
      </c>
      <c r="Q230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31" spans="2:17" x14ac:dyDescent="0.25">
      <c r="B231" s="14">
        <v>43741.143740040614</v>
      </c>
      <c r="C231" s="14">
        <v>43636</v>
      </c>
      <c r="D231" s="14">
        <v>43687.570970311433</v>
      </c>
      <c r="E231" t="s">
        <v>24</v>
      </c>
      <c r="F231" t="s">
        <v>31</v>
      </c>
      <c r="G231" t="s">
        <v>291</v>
      </c>
      <c r="H231" s="17">
        <v>1906</v>
      </c>
      <c r="I231">
        <f>IF(TbRegistroEntradas[[#This Row],[Data do Caixa Realizado]]="",0,MONTH(TbRegistroEntradas[[#This Row],[Data do Caixa Realizado]]))</f>
        <v>10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 s="48">
        <f>IF(TbRegistroEntradas[[#This Row],[Data do Caixa Previsto]]="",0,MONTH(TbRegistroEntradas[[#This Row],[Data do Caixa Previsto]]))</f>
        <v>8</v>
      </c>
      <c r="N231" s="48">
        <f>IF(TbRegistroEntradas[[#This Row],[Data do Caixa Previsto]]="",0,YEAR(TbRegistroEntradas[[#This Row],[Data do Caixa Previsto]]))</f>
        <v>2019</v>
      </c>
      <c r="O231" s="48" t="str">
        <f ca="1">IF(AND(TbRegistroEntradas[[#This Row],[Data do Caixa Previsto]]&lt;TODAY(),TbRegistroEntradas[[#This Row],[Data do Caixa Realizado]]=""),"Vencida","Não Vencida")</f>
        <v>Não Vencida</v>
      </c>
      <c r="P231" s="48" t="str">
        <f>IF(TbRegistroEntradas[[#This Row],[Data da Competência]]=TbRegistroEntradas[[#This Row],[Data do Caixa Previsto]],"Vista","Prazo")</f>
        <v>Prazo</v>
      </c>
      <c r="Q231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53.572769729180436</v>
      </c>
    </row>
    <row r="232" spans="2:17" x14ac:dyDescent="0.25">
      <c r="B232" s="14">
        <v>43645.269692137255</v>
      </c>
      <c r="C232" s="14">
        <v>43641</v>
      </c>
      <c r="D232" s="14">
        <v>43645.269692137255</v>
      </c>
      <c r="E232" t="s">
        <v>24</v>
      </c>
      <c r="F232" t="s">
        <v>31</v>
      </c>
      <c r="G232" t="s">
        <v>292</v>
      </c>
      <c r="H232" s="17">
        <v>450</v>
      </c>
      <c r="I232">
        <f>IF(TbRegistroEntradas[[#This Row],[Data do Caixa Realizado]]="",0,MONTH(TbRegistroEntradas[[#This Row],[Data do Caixa Realizado]]))</f>
        <v>6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 s="48">
        <f>IF(TbRegistroEntradas[[#This Row],[Data do Caixa Previsto]]="",0,MONTH(TbRegistroEntradas[[#This Row],[Data do Caixa Previsto]]))</f>
        <v>6</v>
      </c>
      <c r="N232" s="48">
        <f>IF(TbRegistroEntradas[[#This Row],[Data do Caixa Previsto]]="",0,YEAR(TbRegistroEntradas[[#This Row],[Data do Caixa Previsto]]))</f>
        <v>2019</v>
      </c>
      <c r="O232" s="48" t="str">
        <f ca="1">IF(AND(TbRegistroEntradas[[#This Row],[Data do Caixa Previsto]]&lt;TODAY(),TbRegistroEntradas[[#This Row],[Data do Caixa Realizado]]=""),"Vencida","Não Vencida")</f>
        <v>Não Vencida</v>
      </c>
      <c r="P232" s="48" t="str">
        <f>IF(TbRegistroEntradas[[#This Row],[Data da Competência]]=TbRegistroEntradas[[#This Row],[Data do Caixa Previsto]],"Vista","Prazo")</f>
        <v>Prazo</v>
      </c>
      <c r="Q232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0</v>
      </c>
    </row>
    <row r="233" spans="2:17" x14ac:dyDescent="0.25">
      <c r="B233" s="14" t="s">
        <v>74</v>
      </c>
      <c r="C233" s="14">
        <v>43644</v>
      </c>
      <c r="D233" s="14">
        <v>43662.268601302756</v>
      </c>
      <c r="E233" t="s">
        <v>24</v>
      </c>
      <c r="F233" t="s">
        <v>34</v>
      </c>
      <c r="G233" t="s">
        <v>293</v>
      </c>
      <c r="H233" s="17">
        <v>1479</v>
      </c>
      <c r="I233">
        <f>IF(TbRegistroEntradas[[#This Row],[Data do Caixa Realizado]]="",0,MONTH(TbRegistroEntradas[[#This Row],[Data do Caixa Realizado]]))</f>
        <v>0</v>
      </c>
      <c r="J233">
        <f>IF(TbRegistroEntradas[[#This Row],[Data do Caixa Realizado]]="",0,YEAR(TbRegistroEntradas[[#This Row],[Data do Caixa Realizado]]))</f>
        <v>0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 s="48">
        <f>IF(TbRegistroEntradas[[#This Row],[Data do Caixa Previsto]]="",0,MONTH(TbRegistroEntradas[[#This Row],[Data do Caixa Previsto]]))</f>
        <v>7</v>
      </c>
      <c r="N233" s="48">
        <f>IF(TbRegistroEntradas[[#This Row],[Data do Caixa Previsto]]="",0,YEAR(TbRegistroEntradas[[#This Row],[Data do Caixa Previsto]]))</f>
        <v>2019</v>
      </c>
      <c r="O233" s="48" t="str">
        <f ca="1">IF(AND(TbRegistroEntradas[[#This Row],[Data do Caixa Previsto]]&lt;TODAY(),TbRegistroEntradas[[#This Row],[Data do Caixa Realizado]]=""),"Vencida","Não Vencida")</f>
        <v>Vencida</v>
      </c>
      <c r="P233" s="48" t="str">
        <f>IF(TbRegistroEntradas[[#This Row],[Data da Competência]]=TbRegistroEntradas[[#This Row],[Data do Caixa Previsto]],"Vista","Prazo")</f>
        <v>Prazo</v>
      </c>
      <c r="Q233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2153.731398697244</v>
      </c>
    </row>
    <row r="234" spans="2:17" x14ac:dyDescent="0.25">
      <c r="B234" s="14">
        <v>43727.35674683658</v>
      </c>
      <c r="C234" s="14">
        <v>43645</v>
      </c>
      <c r="D234" s="14">
        <v>43647.81451187309</v>
      </c>
      <c r="E234" t="s">
        <v>24</v>
      </c>
      <c r="F234" t="s">
        <v>34</v>
      </c>
      <c r="G234" t="s">
        <v>294</v>
      </c>
      <c r="H234" s="17">
        <v>3446</v>
      </c>
      <c r="I234">
        <f>IF(TbRegistroEntradas[[#This Row],[Data do Caixa Realizado]]="",0,MONTH(TbRegistroEntradas[[#This Row],[Data do Caixa Realizado]]))</f>
        <v>9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 s="48">
        <f>IF(TbRegistroEntradas[[#This Row],[Data do Caixa Previsto]]="",0,MONTH(TbRegistroEntradas[[#This Row],[Data do Caixa Previsto]]))</f>
        <v>7</v>
      </c>
      <c r="N234" s="48">
        <f>IF(TbRegistroEntradas[[#This Row],[Data do Caixa Previsto]]="",0,YEAR(TbRegistroEntradas[[#This Row],[Data do Caixa Previsto]]))</f>
        <v>2019</v>
      </c>
      <c r="O234" s="48" t="str">
        <f ca="1">IF(AND(TbRegistroEntradas[[#This Row],[Data do Caixa Previsto]]&lt;TODAY(),TbRegistroEntradas[[#This Row],[Data do Caixa Realizado]]=""),"Vencida","Não Vencida")</f>
        <v>Não Vencida</v>
      </c>
      <c r="P234" s="48" t="str">
        <f>IF(TbRegistroEntradas[[#This Row],[Data da Competência]]=TbRegistroEntradas[[#This Row],[Data do Caixa Previsto]],"Vista","Prazo")</f>
        <v>Prazo</v>
      </c>
      <c r="Q234" s="132">
        <f ca="1">IF(TbRegistroEntradas[[#This Row],[Data do Caixa Realizado]]&lt;&gt;"",
IF(TbRegistroEntradas[[#This Row],[Data do Caixa Realizado]]&gt;TbRegistroEntradas[[#This Row],[Data do Caixa Previsto]],
TbRegistroEntradas[[#This Row],[Data do Caixa Realizado]]-TbRegistroEntradas[[#This Row],[Data do Caixa Previsto]],
0
),
IF(TODAY()&gt;TbRegistroEntradas[[#This Row],[Data do Caixa Previsto]],
TODAY()-TbRegistroEntradas[[#This Row],[Data do Caixa Previsto]],
0
)
)</f>
        <v>79.542234963490046</v>
      </c>
    </row>
  </sheetData>
  <dataValidations count="2">
    <dataValidation type="list" allowBlank="1" showInputMessage="1" showErrorMessage="1" sqref="E4:E234" xr:uid="{7EFAC831-568B-421B-B4FF-440C375F3A9A}">
      <formula1>PCEntradasN1_Nível_1</formula1>
    </dataValidation>
    <dataValidation type="list" allowBlank="1" showInputMessage="1" showErrorMessage="1" sqref="F4:F234" xr:uid="{A2337702-94D2-421C-B90D-1C2B909A9F3A}">
      <formula1>OFFSET(PCEntradasN2_Nível_2,MATCH(E4, PCEntradasN2_Nível_1,0)-1,0,COUNTIF( PCEntradasN2_Nível_1,E4))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F783-38BF-4F85-A703-6D24BA6B98DE}">
  <dimension ref="B1:XFC232"/>
  <sheetViews>
    <sheetView showGridLines="0" topLeftCell="D1" zoomScale="138" zoomScaleNormal="138" workbookViewId="0">
      <pane ySplit="3" topLeftCell="A42" activePane="bottomLeft" state="frozen"/>
      <selection pane="bottomLeft" activeCell="F76" sqref="F76"/>
    </sheetView>
  </sheetViews>
  <sheetFormatPr defaultColWidth="9.140625" defaultRowHeight="15" x14ac:dyDescent="0.25"/>
  <cols>
    <col min="1" max="1" width="4" customWidth="1"/>
    <col min="2" max="2" width="19.85546875" customWidth="1"/>
    <col min="3" max="3" width="17.42578125" customWidth="1"/>
    <col min="4" max="4" width="19.140625" customWidth="1"/>
    <col min="5" max="5" width="29.140625" customWidth="1"/>
    <col min="6" max="6" width="41.85546875" customWidth="1"/>
    <col min="7" max="7" width="33.5703125" customWidth="1"/>
    <col min="8" max="8" width="14.85546875" style="17" customWidth="1"/>
    <col min="9" max="9" width="16.140625" customWidth="1"/>
    <col min="10" max="10" width="13.7109375" customWidth="1"/>
    <col min="11" max="11" width="14.28515625" customWidth="1"/>
    <col min="12" max="12" width="16.28515625" customWidth="1"/>
    <col min="13" max="13" width="11.85546875" customWidth="1"/>
    <col min="14" max="14" width="11" customWidth="1"/>
    <col min="15" max="15" width="13" customWidth="1"/>
    <col min="16384" max="16384" width="9.140625" hidden="1" customWidth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5" t="s">
        <v>11</v>
      </c>
    </row>
    <row r="2" spans="2:15" ht="39.950000000000003" customHeight="1" x14ac:dyDescent="0.25">
      <c r="B2" s="5"/>
      <c r="C2" s="5"/>
      <c r="D2" s="5"/>
      <c r="E2" s="5"/>
      <c r="F2" s="5"/>
      <c r="G2" s="5"/>
      <c r="H2" s="16"/>
    </row>
    <row r="3" spans="2:15" ht="36" customHeight="1" thickBot="1" x14ac:dyDescent="0.3">
      <c r="B3" s="22" t="s">
        <v>51</v>
      </c>
      <c r="C3" s="22" t="s">
        <v>52</v>
      </c>
      <c r="D3" s="22" t="s">
        <v>53</v>
      </c>
      <c r="E3" s="23" t="s">
        <v>54</v>
      </c>
      <c r="F3" s="23" t="s">
        <v>55</v>
      </c>
      <c r="G3" s="23" t="s">
        <v>56</v>
      </c>
      <c r="H3" s="24" t="s">
        <v>57</v>
      </c>
      <c r="I3" s="23" t="s">
        <v>543</v>
      </c>
      <c r="J3" s="23" t="s">
        <v>544</v>
      </c>
      <c r="K3" s="23" t="s">
        <v>545</v>
      </c>
      <c r="L3" s="23" t="s">
        <v>546</v>
      </c>
      <c r="M3" s="23" t="s">
        <v>553</v>
      </c>
      <c r="N3" s="23" t="s">
        <v>552</v>
      </c>
      <c r="O3" s="23" t="s">
        <v>613</v>
      </c>
    </row>
    <row r="4" spans="2:15" ht="20.100000000000001" customHeight="1" x14ac:dyDescent="0.25">
      <c r="B4" s="14">
        <v>43015.689099944895</v>
      </c>
      <c r="C4" s="14">
        <v>42957</v>
      </c>
      <c r="D4" s="14">
        <v>43015.689099944895</v>
      </c>
      <c r="E4" t="s">
        <v>37</v>
      </c>
      <c r="F4" t="s">
        <v>33</v>
      </c>
      <c r="G4" t="s">
        <v>295</v>
      </c>
      <c r="H4" s="17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48">
        <f>IF(TbRegistroSaídas[[#This Row],[Data do Caixa Previsto]]="",0,MONTH(TbRegistroSaídas[[#This Row],[Data do Caixa Previsto]]))</f>
        <v>10</v>
      </c>
      <c r="N4" s="48">
        <f>IF(TbRegistroSaídas[[#This Row],[Data do Caixa Previsto]]="",0,YEAR(TbRegistroSaídas[[#This Row],[Data do Caixa Previsto]]))</f>
        <v>2017</v>
      </c>
      <c r="O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" spans="2:15" ht="20.100000000000001" customHeight="1" x14ac:dyDescent="0.25">
      <c r="B5" s="14">
        <v>42995.83151981284</v>
      </c>
      <c r="C5" s="14">
        <v>42960</v>
      </c>
      <c r="D5" s="14">
        <v>42995.83151981284</v>
      </c>
      <c r="E5" t="s">
        <v>37</v>
      </c>
      <c r="F5" t="s">
        <v>44</v>
      </c>
      <c r="G5" t="s">
        <v>297</v>
      </c>
      <c r="H5" s="17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48">
        <f>IF(TbRegistroSaídas[[#This Row],[Data do Caixa Previsto]]="",0,MONTH(TbRegistroSaídas[[#This Row],[Data do Caixa Previsto]]))</f>
        <v>9</v>
      </c>
      <c r="N5" s="48">
        <f>IF(TbRegistroSaídas[[#This Row],[Data do Caixa Previsto]]="",0,YEAR(TbRegistroSaídas[[#This Row],[Data do Caixa Previsto]]))</f>
        <v>2017</v>
      </c>
      <c r="O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" spans="2:15" ht="20.100000000000001" customHeight="1" x14ac:dyDescent="0.25">
      <c r="B6" s="14">
        <v>42983.821864178215</v>
      </c>
      <c r="C6" s="14">
        <v>42965</v>
      </c>
      <c r="D6" s="14">
        <v>42983.821864178215</v>
      </c>
      <c r="E6" t="s">
        <v>37</v>
      </c>
      <c r="F6" t="s">
        <v>35</v>
      </c>
      <c r="G6" t="s">
        <v>298</v>
      </c>
      <c r="H6" s="17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48">
        <f>IF(TbRegistroSaídas[[#This Row],[Data do Caixa Previsto]]="",0,MONTH(TbRegistroSaídas[[#This Row],[Data do Caixa Previsto]]))</f>
        <v>9</v>
      </c>
      <c r="N6" s="48">
        <f>IF(TbRegistroSaídas[[#This Row],[Data do Caixa Previsto]]="",0,YEAR(TbRegistroSaídas[[#This Row],[Data do Caixa Previsto]]))</f>
        <v>2017</v>
      </c>
      <c r="O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" spans="2:15" ht="20.100000000000001" customHeight="1" x14ac:dyDescent="0.25">
      <c r="B7" s="14">
        <v>43004.400385589004</v>
      </c>
      <c r="C7" s="14">
        <v>42970</v>
      </c>
      <c r="D7" s="14">
        <v>43004.400385589004</v>
      </c>
      <c r="E7" t="s">
        <v>37</v>
      </c>
      <c r="F7" t="s">
        <v>35</v>
      </c>
      <c r="G7" t="s">
        <v>299</v>
      </c>
      <c r="H7" s="17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48">
        <f>IF(TbRegistroSaídas[[#This Row],[Data do Caixa Previsto]]="",0,MONTH(TbRegistroSaídas[[#This Row],[Data do Caixa Previsto]]))</f>
        <v>9</v>
      </c>
      <c r="N7" s="48">
        <f>IF(TbRegistroSaídas[[#This Row],[Data do Caixa Previsto]]="",0,YEAR(TbRegistroSaídas[[#This Row],[Data do Caixa Previsto]]))</f>
        <v>2017</v>
      </c>
      <c r="O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" spans="2:15" ht="20.100000000000001" customHeight="1" x14ac:dyDescent="0.25">
      <c r="B8" s="14">
        <v>43002.058153394239</v>
      </c>
      <c r="C8" s="14">
        <v>42971</v>
      </c>
      <c r="D8" s="14">
        <v>43002.058153394239</v>
      </c>
      <c r="E8" t="s">
        <v>37</v>
      </c>
      <c r="F8" t="s">
        <v>44</v>
      </c>
      <c r="G8" t="s">
        <v>300</v>
      </c>
      <c r="H8" s="17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48">
        <f>IF(TbRegistroSaídas[[#This Row],[Data do Caixa Previsto]]="",0,MONTH(TbRegistroSaídas[[#This Row],[Data do Caixa Previsto]]))</f>
        <v>9</v>
      </c>
      <c r="N8" s="48">
        <f>IF(TbRegistroSaídas[[#This Row],[Data do Caixa Previsto]]="",0,YEAR(TbRegistroSaídas[[#This Row],[Data do Caixa Previsto]]))</f>
        <v>2017</v>
      </c>
      <c r="O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" spans="2:15" ht="20.100000000000001" customHeight="1" x14ac:dyDescent="0.25">
      <c r="B9" s="14">
        <v>42980.358785052202</v>
      </c>
      <c r="C9" s="14">
        <v>42972</v>
      </c>
      <c r="D9" s="14">
        <v>42980.358785052202</v>
      </c>
      <c r="E9" t="s">
        <v>37</v>
      </c>
      <c r="F9" t="s">
        <v>32</v>
      </c>
      <c r="G9" t="s">
        <v>301</v>
      </c>
      <c r="H9" s="17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48">
        <f>IF(TbRegistroSaídas[[#This Row],[Data do Caixa Previsto]]="",0,MONTH(TbRegistroSaídas[[#This Row],[Data do Caixa Previsto]]))</f>
        <v>9</v>
      </c>
      <c r="N9" s="48">
        <f>IF(TbRegistroSaídas[[#This Row],[Data do Caixa Previsto]]="",0,YEAR(TbRegistroSaídas[[#This Row],[Data do Caixa Previsto]]))</f>
        <v>2017</v>
      </c>
      <c r="O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" spans="2:15" ht="20.100000000000001" customHeight="1" x14ac:dyDescent="0.25">
      <c r="B10" s="14">
        <v>43014.597468673528</v>
      </c>
      <c r="C10" s="14">
        <v>42976</v>
      </c>
      <c r="D10" s="14">
        <v>43014.597468673528</v>
      </c>
      <c r="E10" t="s">
        <v>37</v>
      </c>
      <c r="F10" t="s">
        <v>44</v>
      </c>
      <c r="G10" t="s">
        <v>302</v>
      </c>
      <c r="H10" s="17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48">
        <f>IF(TbRegistroSaídas[[#This Row],[Data do Caixa Previsto]]="",0,MONTH(TbRegistroSaídas[[#This Row],[Data do Caixa Previsto]]))</f>
        <v>10</v>
      </c>
      <c r="N10" s="48">
        <f>IF(TbRegistroSaídas[[#This Row],[Data do Caixa Previsto]]="",0,YEAR(TbRegistroSaídas[[#This Row],[Data do Caixa Previsto]]))</f>
        <v>2017</v>
      </c>
      <c r="O1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" spans="2:15" ht="20.100000000000001" customHeight="1" x14ac:dyDescent="0.25">
      <c r="B11" s="14">
        <v>42990.1117348099</v>
      </c>
      <c r="C11" s="14">
        <v>42979</v>
      </c>
      <c r="D11" s="14">
        <v>42980.556611132772</v>
      </c>
      <c r="E11" t="s">
        <v>37</v>
      </c>
      <c r="F11" t="s">
        <v>44</v>
      </c>
      <c r="G11" t="s">
        <v>121</v>
      </c>
      <c r="H11" s="17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48">
        <f>IF(TbRegistroSaídas[[#This Row],[Data do Caixa Previsto]]="",0,MONTH(TbRegistroSaídas[[#This Row],[Data do Caixa Previsto]]))</f>
        <v>9</v>
      </c>
      <c r="N11" s="48">
        <f>IF(TbRegistroSaídas[[#This Row],[Data do Caixa Previsto]]="",0,YEAR(TbRegistroSaídas[[#This Row],[Data do Caixa Previsto]]))</f>
        <v>2017</v>
      </c>
      <c r="O1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9.5551236771279946</v>
      </c>
    </row>
    <row r="12" spans="2:15" ht="20.100000000000001" customHeight="1" x14ac:dyDescent="0.25">
      <c r="B12" s="14">
        <v>42987.417576127409</v>
      </c>
      <c r="C12" s="14">
        <v>42982</v>
      </c>
      <c r="D12" s="14">
        <v>42987.417576127409</v>
      </c>
      <c r="E12" t="s">
        <v>37</v>
      </c>
      <c r="F12" t="s">
        <v>35</v>
      </c>
      <c r="G12" t="s">
        <v>303</v>
      </c>
      <c r="H12" s="17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48">
        <f>IF(TbRegistroSaídas[[#This Row],[Data do Caixa Previsto]]="",0,MONTH(TbRegistroSaídas[[#This Row],[Data do Caixa Previsto]]))</f>
        <v>9</v>
      </c>
      <c r="N12" s="48">
        <f>IF(TbRegistroSaídas[[#This Row],[Data do Caixa Previsto]]="",0,YEAR(TbRegistroSaídas[[#This Row],[Data do Caixa Previsto]]))</f>
        <v>2017</v>
      </c>
      <c r="O1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" spans="2:15" ht="20.100000000000001" customHeight="1" x14ac:dyDescent="0.25">
      <c r="B13" s="14" t="s">
        <v>74</v>
      </c>
      <c r="C13" s="14">
        <v>42984</v>
      </c>
      <c r="D13" s="14">
        <v>42984.703005901203</v>
      </c>
      <c r="E13" t="s">
        <v>37</v>
      </c>
      <c r="F13" t="s">
        <v>32</v>
      </c>
      <c r="G13" t="s">
        <v>304</v>
      </c>
      <c r="H13" s="17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48">
        <f>IF(TbRegistroSaídas[[#This Row],[Data do Caixa Previsto]]="",0,MONTH(TbRegistroSaídas[[#This Row],[Data do Caixa Previsto]]))</f>
        <v>9</v>
      </c>
      <c r="N13" s="48">
        <f>IF(TbRegistroSaídas[[#This Row],[Data do Caixa Previsto]]="",0,YEAR(TbRegistroSaídas[[#This Row],[Data do Caixa Previsto]]))</f>
        <v>2017</v>
      </c>
      <c r="O1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2831.2969940987969</v>
      </c>
    </row>
    <row r="14" spans="2:15" ht="20.100000000000001" customHeight="1" x14ac:dyDescent="0.25">
      <c r="B14" s="14" t="s">
        <v>74</v>
      </c>
      <c r="C14" s="14">
        <v>42990</v>
      </c>
      <c r="D14" s="14">
        <v>43020.233591992961</v>
      </c>
      <c r="E14" t="s">
        <v>37</v>
      </c>
      <c r="F14" t="s">
        <v>33</v>
      </c>
      <c r="G14" t="s">
        <v>305</v>
      </c>
      <c r="H14" s="17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48">
        <f>IF(TbRegistroSaídas[[#This Row],[Data do Caixa Previsto]]="",0,MONTH(TbRegistroSaídas[[#This Row],[Data do Caixa Previsto]]))</f>
        <v>10</v>
      </c>
      <c r="N14" s="48">
        <f>IF(TbRegistroSaídas[[#This Row],[Data do Caixa Previsto]]="",0,YEAR(TbRegistroSaídas[[#This Row],[Data do Caixa Previsto]]))</f>
        <v>2017</v>
      </c>
      <c r="O1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2795.766408007039</v>
      </c>
    </row>
    <row r="15" spans="2:15" ht="20.100000000000001" customHeight="1" x14ac:dyDescent="0.25">
      <c r="B15" s="14">
        <v>43025.32782899923</v>
      </c>
      <c r="C15" s="14">
        <v>42991</v>
      </c>
      <c r="D15" s="14">
        <v>43025.32782899923</v>
      </c>
      <c r="E15" t="s">
        <v>37</v>
      </c>
      <c r="F15" t="s">
        <v>33</v>
      </c>
      <c r="G15" t="s">
        <v>306</v>
      </c>
      <c r="H15" s="17">
        <v>4739</v>
      </c>
      <c r="I15">
        <f>IF(TbRegistroSaídas[[#This Row],[Data do Caixa Realizado]]="",0,MONTH(TbRegistroSaídas[[#This Row],[Data do Caixa Realizado]]))</f>
        <v>10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48">
        <f>IF(TbRegistroSaídas[[#This Row],[Data do Caixa Previsto]]="",0,MONTH(TbRegistroSaídas[[#This Row],[Data do Caixa Previsto]]))</f>
        <v>10</v>
      </c>
      <c r="N15" s="48">
        <f>IF(TbRegistroSaídas[[#This Row],[Data do Caixa Previsto]]="",0,YEAR(TbRegistroSaídas[[#This Row],[Data do Caixa Previsto]]))</f>
        <v>2017</v>
      </c>
      <c r="O1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" spans="2:15" ht="20.100000000000001" customHeight="1" x14ac:dyDescent="0.25">
      <c r="B16" s="14">
        <v>43008.599150206064</v>
      </c>
      <c r="C16" s="14">
        <v>42992</v>
      </c>
      <c r="D16" s="14">
        <v>43008.599150206064</v>
      </c>
      <c r="E16" t="s">
        <v>37</v>
      </c>
      <c r="F16" t="s">
        <v>35</v>
      </c>
      <c r="G16" t="s">
        <v>307</v>
      </c>
      <c r="H16" s="17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48">
        <f>IF(TbRegistroSaídas[[#This Row],[Data do Caixa Previsto]]="",0,MONTH(TbRegistroSaídas[[#This Row],[Data do Caixa Previsto]]))</f>
        <v>9</v>
      </c>
      <c r="N16" s="48">
        <f>IF(TbRegistroSaídas[[#This Row],[Data do Caixa Previsto]]="",0,YEAR(TbRegistroSaídas[[#This Row],[Data do Caixa Previsto]]))</f>
        <v>2017</v>
      </c>
      <c r="O1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" spans="2:15" ht="20.100000000000001" customHeight="1" x14ac:dyDescent="0.25">
      <c r="B17" s="14">
        <v>43004.132052173023</v>
      </c>
      <c r="C17" s="14">
        <v>42997</v>
      </c>
      <c r="D17" s="14">
        <v>43004.132052173023</v>
      </c>
      <c r="E17" t="s">
        <v>37</v>
      </c>
      <c r="F17" t="s">
        <v>44</v>
      </c>
      <c r="G17" t="s">
        <v>308</v>
      </c>
      <c r="H17" s="17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48">
        <f>IF(TbRegistroSaídas[[#This Row],[Data do Caixa Previsto]]="",0,MONTH(TbRegistroSaídas[[#This Row],[Data do Caixa Previsto]]))</f>
        <v>9</v>
      </c>
      <c r="N17" s="48">
        <f>IF(TbRegistroSaídas[[#This Row],[Data do Caixa Previsto]]="",0,YEAR(TbRegistroSaídas[[#This Row],[Data do Caixa Previsto]]))</f>
        <v>2017</v>
      </c>
      <c r="O1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" spans="2:15" x14ac:dyDescent="0.25">
      <c r="B18" s="14">
        <v>43043.977578613987</v>
      </c>
      <c r="C18" s="14">
        <v>43002</v>
      </c>
      <c r="D18" s="14">
        <v>43043.977578613987</v>
      </c>
      <c r="E18" t="s">
        <v>37</v>
      </c>
      <c r="F18" t="s">
        <v>33</v>
      </c>
      <c r="G18" t="s">
        <v>309</v>
      </c>
      <c r="H18" s="17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48">
        <f>IF(TbRegistroSaídas[[#This Row],[Data do Caixa Previsto]]="",0,MONTH(TbRegistroSaídas[[#This Row],[Data do Caixa Previsto]]))</f>
        <v>11</v>
      </c>
      <c r="N18" s="48">
        <f>IF(TbRegistroSaídas[[#This Row],[Data do Caixa Previsto]]="",0,YEAR(TbRegistroSaídas[[#This Row],[Data do Caixa Previsto]]))</f>
        <v>2017</v>
      </c>
      <c r="O1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" spans="2:15" x14ac:dyDescent="0.25">
      <c r="B19" s="14">
        <v>43015.898045269183</v>
      </c>
      <c r="C19" s="14">
        <v>43003</v>
      </c>
      <c r="D19" s="14">
        <v>43015.898045269183</v>
      </c>
      <c r="E19" t="s">
        <v>37</v>
      </c>
      <c r="F19" t="s">
        <v>44</v>
      </c>
      <c r="G19" t="s">
        <v>310</v>
      </c>
      <c r="H19" s="17">
        <v>2784</v>
      </c>
      <c r="I19">
        <f>IF(TbRegistroSaídas[[#This Row],[Data do Caixa Realizado]]="",0,MONTH(TbRegistroSaídas[[#This Row],[Data do Caixa Realizado]]))</f>
        <v>10</v>
      </c>
      <c r="J19">
        <f>IF(TbRegistroSaídas[[#This Row],[Data do Caixa Realizado]]="",0,YEAR(TbRegistroSaídas[[#This Row],[Data do Caixa Realizado]]))</f>
        <v>2017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48">
        <f>IF(TbRegistroSaídas[[#This Row],[Data do Caixa Previsto]]="",0,MONTH(TbRegistroSaídas[[#This Row],[Data do Caixa Previsto]]))</f>
        <v>10</v>
      </c>
      <c r="N19" s="48">
        <f>IF(TbRegistroSaídas[[#This Row],[Data do Caixa Previsto]]="",0,YEAR(TbRegistroSaídas[[#This Row],[Data do Caixa Previsto]]))</f>
        <v>2017</v>
      </c>
      <c r="O1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" spans="2:15" x14ac:dyDescent="0.25">
      <c r="B20" s="14">
        <v>43010.944524159138</v>
      </c>
      <c r="C20" s="14">
        <v>43003</v>
      </c>
      <c r="D20" s="14">
        <v>43010.944524159138</v>
      </c>
      <c r="E20" t="s">
        <v>37</v>
      </c>
      <c r="F20" t="s">
        <v>32</v>
      </c>
      <c r="G20" t="s">
        <v>311</v>
      </c>
      <c r="H20" s="17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48">
        <f>IF(TbRegistroSaídas[[#This Row],[Data do Caixa Previsto]]="",0,MONTH(TbRegistroSaídas[[#This Row],[Data do Caixa Previsto]]))</f>
        <v>10</v>
      </c>
      <c r="N20" s="48">
        <f>IF(TbRegistroSaídas[[#This Row],[Data do Caixa Previsto]]="",0,YEAR(TbRegistroSaídas[[#This Row],[Data do Caixa Previsto]]))</f>
        <v>2017</v>
      </c>
      <c r="O2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" spans="2:15" x14ac:dyDescent="0.25">
      <c r="B21" s="14">
        <v>43118.867552272008</v>
      </c>
      <c r="C21" s="14">
        <v>43006</v>
      </c>
      <c r="D21" s="14">
        <v>43042.600768911587</v>
      </c>
      <c r="E21" t="s">
        <v>37</v>
      </c>
      <c r="F21" t="s">
        <v>32</v>
      </c>
      <c r="G21" t="s">
        <v>312</v>
      </c>
      <c r="H21" s="17">
        <v>229</v>
      </c>
      <c r="I21">
        <f>IF(TbRegistroSaídas[[#This Row],[Data do Caixa Realizado]]="",0,MONTH(TbRegistroSaídas[[#This Row],[Data do Caixa Realizado]]))</f>
        <v>1</v>
      </c>
      <c r="J21">
        <f>IF(TbRegistroSaídas[[#This Row],[Data do Caixa Realizado]]="",0,YEAR(TbRegistroSaídas[[#This Row],[Data do Caixa Realizado]]))</f>
        <v>2018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48">
        <f>IF(TbRegistroSaídas[[#This Row],[Data do Caixa Previsto]]="",0,MONTH(TbRegistroSaídas[[#This Row],[Data do Caixa Previsto]]))</f>
        <v>11</v>
      </c>
      <c r="N21" s="48">
        <f>IF(TbRegistroSaídas[[#This Row],[Data do Caixa Previsto]]="",0,YEAR(TbRegistroSaídas[[#This Row],[Data do Caixa Previsto]]))</f>
        <v>2017</v>
      </c>
      <c r="O2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76.266783360420959</v>
      </c>
    </row>
    <row r="22" spans="2:15" x14ac:dyDescent="0.25">
      <c r="B22" s="14">
        <v>43059.310583292005</v>
      </c>
      <c r="C22" s="14">
        <v>43009</v>
      </c>
      <c r="D22" s="14">
        <v>43059.310583292005</v>
      </c>
      <c r="E22" t="s">
        <v>37</v>
      </c>
      <c r="F22" t="s">
        <v>44</v>
      </c>
      <c r="G22" t="s">
        <v>313</v>
      </c>
      <c r="H22" s="17">
        <v>2894</v>
      </c>
      <c r="I22">
        <f>IF(TbRegistroSaídas[[#This Row],[Data do Caixa Realizado]]="",0,MONTH(TbRegistroSaídas[[#This Row],[Data do Caixa Realizado]]))</f>
        <v>11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48">
        <f>IF(TbRegistroSaídas[[#This Row],[Data do Caixa Previsto]]="",0,MONTH(TbRegistroSaídas[[#This Row],[Data do Caixa Previsto]]))</f>
        <v>11</v>
      </c>
      <c r="N22" s="48">
        <f>IF(TbRegistroSaídas[[#This Row],[Data do Caixa Previsto]]="",0,YEAR(TbRegistroSaídas[[#This Row],[Data do Caixa Previsto]]))</f>
        <v>2017</v>
      </c>
      <c r="O2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3" spans="2:15" x14ac:dyDescent="0.25">
      <c r="B23" s="14" t="s">
        <v>74</v>
      </c>
      <c r="C23" s="14">
        <v>43012</v>
      </c>
      <c r="D23" s="14">
        <v>43030.293823546323</v>
      </c>
      <c r="E23" t="s">
        <v>37</v>
      </c>
      <c r="F23" t="s">
        <v>33</v>
      </c>
      <c r="G23" t="s">
        <v>314</v>
      </c>
      <c r="H23" s="17">
        <v>4516</v>
      </c>
      <c r="I23">
        <f>IF(TbRegistroSaídas[[#This Row],[Data do Caixa Realizado]]="",0,MONTH(TbRegistroSaídas[[#This Row],[Data do Caixa Realizado]]))</f>
        <v>0</v>
      </c>
      <c r="J23">
        <f>IF(TbRegistroSaídas[[#This Row],[Data do Caixa Realizado]]="",0,YEAR(TbRegistroSaídas[[#This Row],[Data do Caixa Realizado]]))</f>
        <v>0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48">
        <f>IF(TbRegistroSaídas[[#This Row],[Data do Caixa Previsto]]="",0,MONTH(TbRegistroSaídas[[#This Row],[Data do Caixa Previsto]]))</f>
        <v>10</v>
      </c>
      <c r="N23" s="48">
        <f>IF(TbRegistroSaídas[[#This Row],[Data do Caixa Previsto]]="",0,YEAR(TbRegistroSaídas[[#This Row],[Data do Caixa Previsto]]))</f>
        <v>2017</v>
      </c>
      <c r="O2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2785.7061764536775</v>
      </c>
    </row>
    <row r="24" spans="2:15" x14ac:dyDescent="0.25">
      <c r="B24" s="14">
        <v>43031.057901657718</v>
      </c>
      <c r="C24" s="14">
        <v>43014</v>
      </c>
      <c r="D24" s="14">
        <v>43031.057901657718</v>
      </c>
      <c r="E24" t="s">
        <v>37</v>
      </c>
      <c r="F24" t="s">
        <v>33</v>
      </c>
      <c r="G24" t="s">
        <v>315</v>
      </c>
      <c r="H24" s="17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48">
        <f>IF(TbRegistroSaídas[[#This Row],[Data do Caixa Previsto]]="",0,MONTH(TbRegistroSaídas[[#This Row],[Data do Caixa Previsto]]))</f>
        <v>10</v>
      </c>
      <c r="N24" s="48">
        <f>IF(TbRegistroSaídas[[#This Row],[Data do Caixa Previsto]]="",0,YEAR(TbRegistroSaídas[[#This Row],[Data do Caixa Previsto]]))</f>
        <v>2017</v>
      </c>
      <c r="O2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5" spans="2:15" x14ac:dyDescent="0.25">
      <c r="B25" s="14">
        <v>43051.580861965143</v>
      </c>
      <c r="C25" s="14">
        <v>43017</v>
      </c>
      <c r="D25" s="14">
        <v>43046.987199176881</v>
      </c>
      <c r="E25" t="s">
        <v>37</v>
      </c>
      <c r="F25" t="s">
        <v>31</v>
      </c>
      <c r="G25" t="s">
        <v>316</v>
      </c>
      <c r="H25" s="17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48">
        <f>IF(TbRegistroSaídas[[#This Row],[Data do Caixa Previsto]]="",0,MONTH(TbRegistroSaídas[[#This Row],[Data do Caixa Previsto]]))</f>
        <v>11</v>
      </c>
      <c r="N25" s="48">
        <f>IF(TbRegistroSaídas[[#This Row],[Data do Caixa Previsto]]="",0,YEAR(TbRegistroSaídas[[#This Row],[Data do Caixa Previsto]]))</f>
        <v>2017</v>
      </c>
      <c r="O2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4.5936627882620087</v>
      </c>
    </row>
    <row r="26" spans="2:15" x14ac:dyDescent="0.25">
      <c r="B26" s="14">
        <v>43134.239961092644</v>
      </c>
      <c r="C26" s="14">
        <v>43022</v>
      </c>
      <c r="D26" s="14">
        <v>43045.041972262814</v>
      </c>
      <c r="E26" t="s">
        <v>37</v>
      </c>
      <c r="F26" t="s">
        <v>44</v>
      </c>
      <c r="G26" t="s">
        <v>317</v>
      </c>
      <c r="H26" s="17">
        <v>145</v>
      </c>
      <c r="I26">
        <f>IF(TbRegistroSaídas[[#This Row],[Data do Caixa Realizado]]="",0,MONTH(TbRegistroSaídas[[#This Row],[Data do Caixa Realizado]]))</f>
        <v>2</v>
      </c>
      <c r="J26">
        <f>IF(TbRegistroSaídas[[#This Row],[Data do Caixa Realizado]]="",0,YEAR(TbRegistroSaídas[[#This Row],[Data do Caixa Realizado]]))</f>
        <v>2018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48">
        <f>IF(TbRegistroSaídas[[#This Row],[Data do Caixa Previsto]]="",0,MONTH(TbRegistroSaídas[[#This Row],[Data do Caixa Previsto]]))</f>
        <v>11</v>
      </c>
      <c r="N26" s="48">
        <f>IF(TbRegistroSaídas[[#This Row],[Data do Caixa Previsto]]="",0,YEAR(TbRegistroSaídas[[#This Row],[Data do Caixa Previsto]]))</f>
        <v>2017</v>
      </c>
      <c r="O2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89.197988829830138</v>
      </c>
    </row>
    <row r="27" spans="2:15" x14ac:dyDescent="0.25">
      <c r="B27" s="14">
        <v>43051.301144712357</v>
      </c>
      <c r="C27" s="14">
        <v>43024</v>
      </c>
      <c r="D27" s="14">
        <v>43031.245493844843</v>
      </c>
      <c r="E27" t="s">
        <v>37</v>
      </c>
      <c r="F27" t="s">
        <v>44</v>
      </c>
      <c r="G27" t="s">
        <v>318</v>
      </c>
      <c r="H27" s="17">
        <v>1311</v>
      </c>
      <c r="I27">
        <f>IF(TbRegistroSaídas[[#This Row],[Data do Caixa Realizado]]="",0,MONTH(TbRegistroSaídas[[#This Row],[Data do Caixa Realizado]]))</f>
        <v>11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48">
        <f>IF(TbRegistroSaídas[[#This Row],[Data do Caixa Previsto]]="",0,MONTH(TbRegistroSaídas[[#This Row],[Data do Caixa Previsto]]))</f>
        <v>10</v>
      </c>
      <c r="N27" s="48">
        <f>IF(TbRegistroSaídas[[#This Row],[Data do Caixa Previsto]]="",0,YEAR(TbRegistroSaídas[[#This Row],[Data do Caixa Previsto]]))</f>
        <v>2017</v>
      </c>
      <c r="O2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20.055650867514487</v>
      </c>
    </row>
    <row r="28" spans="2:15" x14ac:dyDescent="0.25">
      <c r="B28" s="14">
        <v>43059.361635124777</v>
      </c>
      <c r="C28" s="14">
        <v>43026</v>
      </c>
      <c r="D28" s="14">
        <v>43059.361635124777</v>
      </c>
      <c r="E28" t="s">
        <v>37</v>
      </c>
      <c r="F28" t="s">
        <v>44</v>
      </c>
      <c r="G28" t="s">
        <v>319</v>
      </c>
      <c r="H28" s="17">
        <v>4182</v>
      </c>
      <c r="I28">
        <f>IF(TbRegistroSaídas[[#This Row],[Data do Caixa Realizado]]="",0,MONTH(TbRegistroSaídas[[#This Row],[Data do Caixa Realizado]]))</f>
        <v>11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48">
        <f>IF(TbRegistroSaídas[[#This Row],[Data do Caixa Previsto]]="",0,MONTH(TbRegistroSaídas[[#This Row],[Data do Caixa Previsto]]))</f>
        <v>11</v>
      </c>
      <c r="N28" s="48">
        <f>IF(TbRegistroSaídas[[#This Row],[Data do Caixa Previsto]]="",0,YEAR(TbRegistroSaídas[[#This Row],[Data do Caixa Previsto]]))</f>
        <v>2017</v>
      </c>
      <c r="O2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9" spans="2:15" x14ac:dyDescent="0.25">
      <c r="B29" s="14">
        <v>43037.396901300337</v>
      </c>
      <c r="C29" s="14">
        <v>43032</v>
      </c>
      <c r="D29" s="14">
        <v>43037.396901300337</v>
      </c>
      <c r="E29" t="s">
        <v>37</v>
      </c>
      <c r="F29" t="s">
        <v>32</v>
      </c>
      <c r="G29" t="s">
        <v>320</v>
      </c>
      <c r="H29" s="17">
        <v>339</v>
      </c>
      <c r="I29">
        <f>IF(TbRegistroSaídas[[#This Row],[Data do Caixa Realizado]]="",0,MONTH(TbRegistroSaídas[[#This Row],[Data do Caixa Realizado]]))</f>
        <v>10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48">
        <f>IF(TbRegistroSaídas[[#This Row],[Data do Caixa Previsto]]="",0,MONTH(TbRegistroSaídas[[#This Row],[Data do Caixa Previsto]]))</f>
        <v>10</v>
      </c>
      <c r="N29" s="48">
        <f>IF(TbRegistroSaídas[[#This Row],[Data do Caixa Previsto]]="",0,YEAR(TbRegistroSaídas[[#This Row],[Data do Caixa Previsto]]))</f>
        <v>2017</v>
      </c>
      <c r="O2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0" spans="2:15" x14ac:dyDescent="0.25">
      <c r="B30" s="14">
        <v>43130.980668733508</v>
      </c>
      <c r="C30" s="14">
        <v>43037</v>
      </c>
      <c r="D30" s="14">
        <v>43068.17516674153</v>
      </c>
      <c r="E30" t="s">
        <v>37</v>
      </c>
      <c r="F30" t="s">
        <v>31</v>
      </c>
      <c r="G30" t="s">
        <v>321</v>
      </c>
      <c r="H30" s="17">
        <v>1788</v>
      </c>
      <c r="I30">
        <f>IF(TbRegistroSaídas[[#This Row],[Data do Caixa Realizado]]="",0,MONTH(TbRegistroSaídas[[#This Row],[Data do Caixa Realizado]]))</f>
        <v>1</v>
      </c>
      <c r="J30">
        <f>IF(TbRegistroSaídas[[#This Row],[Data do Caixa Realizado]]="",0,YEAR(TbRegistroSaídas[[#This Row],[Data do Caixa Realizado]]))</f>
        <v>2018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48">
        <f>IF(TbRegistroSaídas[[#This Row],[Data do Caixa Previsto]]="",0,MONTH(TbRegistroSaídas[[#This Row],[Data do Caixa Previsto]]))</f>
        <v>11</v>
      </c>
      <c r="N30" s="48">
        <f>IF(TbRegistroSaídas[[#This Row],[Data do Caixa Previsto]]="",0,YEAR(TbRegistroSaídas[[#This Row],[Data do Caixa Previsto]]))</f>
        <v>2017</v>
      </c>
      <c r="O3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62.805501991977508</v>
      </c>
    </row>
    <row r="31" spans="2:15" x14ac:dyDescent="0.25">
      <c r="B31" s="14">
        <v>43089.045976990965</v>
      </c>
      <c r="C31" s="14">
        <v>43042</v>
      </c>
      <c r="D31" s="14">
        <v>43089.045976990965</v>
      </c>
      <c r="E31" t="s">
        <v>37</v>
      </c>
      <c r="F31" t="s">
        <v>33</v>
      </c>
      <c r="G31" t="s">
        <v>322</v>
      </c>
      <c r="H31" s="17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48">
        <f>IF(TbRegistroSaídas[[#This Row],[Data do Caixa Previsto]]="",0,MONTH(TbRegistroSaídas[[#This Row],[Data do Caixa Previsto]]))</f>
        <v>12</v>
      </c>
      <c r="N31" s="48">
        <f>IF(TbRegistroSaídas[[#This Row],[Data do Caixa Previsto]]="",0,YEAR(TbRegistroSaídas[[#This Row],[Data do Caixa Previsto]]))</f>
        <v>2017</v>
      </c>
      <c r="O3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2" spans="2:15" x14ac:dyDescent="0.25">
      <c r="B32" s="14">
        <v>43053.799831016353</v>
      </c>
      <c r="C32" s="14">
        <v>43044</v>
      </c>
      <c r="D32" s="14">
        <v>43053.799831016353</v>
      </c>
      <c r="E32" t="s">
        <v>37</v>
      </c>
      <c r="F32" t="s">
        <v>44</v>
      </c>
      <c r="G32" t="s">
        <v>323</v>
      </c>
      <c r="H32" s="17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48">
        <f>IF(TbRegistroSaídas[[#This Row],[Data do Caixa Previsto]]="",0,MONTH(TbRegistroSaídas[[#This Row],[Data do Caixa Previsto]]))</f>
        <v>11</v>
      </c>
      <c r="N32" s="48">
        <f>IF(TbRegistroSaídas[[#This Row],[Data do Caixa Previsto]]="",0,YEAR(TbRegistroSaídas[[#This Row],[Data do Caixa Previsto]]))</f>
        <v>2017</v>
      </c>
      <c r="O3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3" spans="2:15" x14ac:dyDescent="0.25">
      <c r="B33" s="14">
        <v>43080.068251063065</v>
      </c>
      <c r="C33" s="14">
        <v>43047</v>
      </c>
      <c r="D33" s="14">
        <v>43080.068251063065</v>
      </c>
      <c r="E33" t="s">
        <v>37</v>
      </c>
      <c r="F33" t="s">
        <v>35</v>
      </c>
      <c r="G33" t="s">
        <v>324</v>
      </c>
      <c r="H33" s="17">
        <v>4919</v>
      </c>
      <c r="I33">
        <f>IF(TbRegistroSaídas[[#This Row],[Data do Caixa Realizado]]="",0,MONTH(TbRegistroSaídas[[#This Row],[Data do Caixa Realizado]]))</f>
        <v>12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48">
        <f>IF(TbRegistroSaídas[[#This Row],[Data do Caixa Previsto]]="",0,MONTH(TbRegistroSaídas[[#This Row],[Data do Caixa Previsto]]))</f>
        <v>12</v>
      </c>
      <c r="N33" s="48">
        <f>IF(TbRegistroSaídas[[#This Row],[Data do Caixa Previsto]]="",0,YEAR(TbRegistroSaídas[[#This Row],[Data do Caixa Previsto]]))</f>
        <v>2017</v>
      </c>
      <c r="O3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4" spans="2:15" x14ac:dyDescent="0.25">
      <c r="B34" s="14">
        <v>43097.450419750799</v>
      </c>
      <c r="C34" s="14">
        <v>43051</v>
      </c>
      <c r="D34" s="14">
        <v>43087.512329668702</v>
      </c>
      <c r="E34" t="s">
        <v>37</v>
      </c>
      <c r="F34" t="s">
        <v>44</v>
      </c>
      <c r="G34" t="s">
        <v>325</v>
      </c>
      <c r="H34" s="17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48">
        <f>IF(TbRegistroSaídas[[#This Row],[Data do Caixa Previsto]]="",0,MONTH(TbRegistroSaídas[[#This Row],[Data do Caixa Previsto]]))</f>
        <v>12</v>
      </c>
      <c r="N34" s="48">
        <f>IF(TbRegistroSaídas[[#This Row],[Data do Caixa Previsto]]="",0,YEAR(TbRegistroSaídas[[#This Row],[Data do Caixa Previsto]]))</f>
        <v>2017</v>
      </c>
      <c r="O3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9.938090082097915</v>
      </c>
    </row>
    <row r="35" spans="2:15" x14ac:dyDescent="0.25">
      <c r="B35" s="14">
        <v>43095.145797073659</v>
      </c>
      <c r="C35" s="14">
        <v>43054</v>
      </c>
      <c r="D35" s="14">
        <v>43095.145797073659</v>
      </c>
      <c r="E35" t="s">
        <v>37</v>
      </c>
      <c r="F35" t="s">
        <v>33</v>
      </c>
      <c r="G35" t="s">
        <v>326</v>
      </c>
      <c r="H35" s="17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48">
        <f>IF(TbRegistroSaídas[[#This Row],[Data do Caixa Previsto]]="",0,MONTH(TbRegistroSaídas[[#This Row],[Data do Caixa Previsto]]))</f>
        <v>12</v>
      </c>
      <c r="N35" s="48">
        <f>IF(TbRegistroSaídas[[#This Row],[Data do Caixa Previsto]]="",0,YEAR(TbRegistroSaídas[[#This Row],[Data do Caixa Previsto]]))</f>
        <v>2017</v>
      </c>
      <c r="O3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6" spans="2:15" x14ac:dyDescent="0.25">
      <c r="B36" s="14">
        <v>43085.287677276574</v>
      </c>
      <c r="C36" s="14">
        <v>43056</v>
      </c>
      <c r="D36" s="14">
        <v>43085.287677276574</v>
      </c>
      <c r="E36" t="s">
        <v>37</v>
      </c>
      <c r="F36" t="s">
        <v>33</v>
      </c>
      <c r="G36" t="s">
        <v>327</v>
      </c>
      <c r="H36" s="17">
        <v>312</v>
      </c>
      <c r="I36">
        <f>IF(TbRegistroSaídas[[#This Row],[Data do Caixa Realizado]]="",0,MONTH(TbRegistroSaídas[[#This Row],[Data do Caixa Realizado]]))</f>
        <v>12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48">
        <f>IF(TbRegistroSaídas[[#This Row],[Data do Caixa Previsto]]="",0,MONTH(TbRegistroSaídas[[#This Row],[Data do Caixa Previsto]]))</f>
        <v>12</v>
      </c>
      <c r="N36" s="48">
        <f>IF(TbRegistroSaídas[[#This Row],[Data do Caixa Previsto]]="",0,YEAR(TbRegistroSaídas[[#This Row],[Data do Caixa Previsto]]))</f>
        <v>2017</v>
      </c>
      <c r="O3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7" spans="2:15" x14ac:dyDescent="0.25">
      <c r="B37" s="14">
        <v>43112.669025156058</v>
      </c>
      <c r="C37" s="14">
        <v>43057</v>
      </c>
      <c r="D37" s="14">
        <v>43112.669025156058</v>
      </c>
      <c r="E37" t="s">
        <v>37</v>
      </c>
      <c r="F37" t="s">
        <v>44</v>
      </c>
      <c r="G37" t="s">
        <v>328</v>
      </c>
      <c r="H37" s="17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48">
        <f>IF(TbRegistroSaídas[[#This Row],[Data do Caixa Previsto]]="",0,MONTH(TbRegistroSaídas[[#This Row],[Data do Caixa Previsto]]))</f>
        <v>1</v>
      </c>
      <c r="N37" s="48">
        <f>IF(TbRegistroSaídas[[#This Row],[Data do Caixa Previsto]]="",0,YEAR(TbRegistroSaídas[[#This Row],[Data do Caixa Previsto]]))</f>
        <v>2018</v>
      </c>
      <c r="O3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8" spans="2:15" x14ac:dyDescent="0.25">
      <c r="B38" s="14">
        <v>43076.636591836308</v>
      </c>
      <c r="C38" s="14">
        <v>43058</v>
      </c>
      <c r="D38" s="14">
        <v>43076.636591836308</v>
      </c>
      <c r="E38" t="s">
        <v>37</v>
      </c>
      <c r="F38" t="s">
        <v>35</v>
      </c>
      <c r="G38" t="s">
        <v>329</v>
      </c>
      <c r="H38" s="17">
        <v>228</v>
      </c>
      <c r="I38">
        <f>IF(TbRegistroSaídas[[#This Row],[Data do Caixa Realizado]]="",0,MONTH(TbRegistroSaídas[[#This Row],[Data do Caixa Realizado]]))</f>
        <v>12</v>
      </c>
      <c r="J38">
        <f>IF(TbRegistroSaídas[[#This Row],[Data do Caixa Realizado]]="",0,YEAR(TbRegistroSaídas[[#This Row],[Data do Caixa Realizado]]))</f>
        <v>2017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48">
        <f>IF(TbRegistroSaídas[[#This Row],[Data do Caixa Previsto]]="",0,MONTH(TbRegistroSaídas[[#This Row],[Data do Caixa Previsto]]))</f>
        <v>12</v>
      </c>
      <c r="N38" s="48">
        <f>IF(TbRegistroSaídas[[#This Row],[Data do Caixa Previsto]]="",0,YEAR(TbRegistroSaídas[[#This Row],[Data do Caixa Previsto]]))</f>
        <v>2017</v>
      </c>
      <c r="O3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39" spans="2:15" x14ac:dyDescent="0.25">
      <c r="B39" s="14">
        <v>43097.776800296095</v>
      </c>
      <c r="C39" s="14">
        <v>43061</v>
      </c>
      <c r="D39" s="14">
        <v>43097.776800296095</v>
      </c>
      <c r="E39" t="s">
        <v>37</v>
      </c>
      <c r="F39" t="s">
        <v>44</v>
      </c>
      <c r="G39" t="s">
        <v>330</v>
      </c>
      <c r="H39" s="17">
        <v>450</v>
      </c>
      <c r="I39">
        <f>IF(TbRegistroSaídas[[#This Row],[Data do Caixa Realizado]]="",0,MONTH(TbRegistroSaídas[[#This Row],[Data do Caixa Realizado]]))</f>
        <v>12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48">
        <f>IF(TbRegistroSaídas[[#This Row],[Data do Caixa Previsto]]="",0,MONTH(TbRegistroSaídas[[#This Row],[Data do Caixa Previsto]]))</f>
        <v>12</v>
      </c>
      <c r="N39" s="48">
        <f>IF(TbRegistroSaídas[[#This Row],[Data do Caixa Previsto]]="",0,YEAR(TbRegistroSaídas[[#This Row],[Data do Caixa Previsto]]))</f>
        <v>2017</v>
      </c>
      <c r="O3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0" spans="2:15" x14ac:dyDescent="0.25">
      <c r="B40" s="14" t="s">
        <v>74</v>
      </c>
      <c r="C40" s="14">
        <v>43062</v>
      </c>
      <c r="D40" s="14">
        <v>43103.4086174822</v>
      </c>
      <c r="E40" t="s">
        <v>37</v>
      </c>
      <c r="F40" t="s">
        <v>44</v>
      </c>
      <c r="G40" t="s">
        <v>331</v>
      </c>
      <c r="H40" s="17">
        <v>1155</v>
      </c>
      <c r="I40">
        <f>IF(TbRegistroSaídas[[#This Row],[Data do Caixa Realizado]]="",0,MONTH(TbRegistroSaídas[[#This Row],[Data do Caixa Realizado]]))</f>
        <v>0</v>
      </c>
      <c r="J40">
        <f>IF(TbRegistroSaídas[[#This Row],[Data do Caixa Realizado]]="",0,YEAR(TbRegistroSaídas[[#This Row],[Data do Caixa Realizado]]))</f>
        <v>0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48">
        <f>IF(TbRegistroSaídas[[#This Row],[Data do Caixa Previsto]]="",0,MONTH(TbRegistroSaídas[[#This Row],[Data do Caixa Previsto]]))</f>
        <v>1</v>
      </c>
      <c r="N40" s="48">
        <f>IF(TbRegistroSaídas[[#This Row],[Data do Caixa Previsto]]="",0,YEAR(TbRegistroSaídas[[#This Row],[Data do Caixa Previsto]]))</f>
        <v>2018</v>
      </c>
      <c r="O4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2712.5913825177995</v>
      </c>
    </row>
    <row r="41" spans="2:15" x14ac:dyDescent="0.25">
      <c r="B41" s="14" t="s">
        <v>74</v>
      </c>
      <c r="C41" s="14">
        <v>43069</v>
      </c>
      <c r="D41" s="14">
        <v>43070.024697534791</v>
      </c>
      <c r="E41" t="s">
        <v>37</v>
      </c>
      <c r="F41" t="s">
        <v>44</v>
      </c>
      <c r="G41" t="s">
        <v>300</v>
      </c>
      <c r="H41" s="17">
        <v>1967</v>
      </c>
      <c r="I41">
        <f>IF(TbRegistroSaídas[[#This Row],[Data do Caixa Realizado]]="",0,MONTH(TbRegistroSaídas[[#This Row],[Data do Caixa Realizado]]))</f>
        <v>0</v>
      </c>
      <c r="J41">
        <f>IF(TbRegistroSaídas[[#This Row],[Data do Caixa Realizado]]="",0,YEAR(TbRegistroSaídas[[#This Row],[Data do Caixa Realizado]]))</f>
        <v>0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48">
        <f>IF(TbRegistroSaídas[[#This Row],[Data do Caixa Previsto]]="",0,MONTH(TbRegistroSaídas[[#This Row],[Data do Caixa Previsto]]))</f>
        <v>12</v>
      </c>
      <c r="N41" s="48">
        <f>IF(TbRegistroSaídas[[#This Row],[Data do Caixa Previsto]]="",0,YEAR(TbRegistroSaídas[[#This Row],[Data do Caixa Previsto]]))</f>
        <v>2017</v>
      </c>
      <c r="O4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2745.9753024652091</v>
      </c>
    </row>
    <row r="42" spans="2:15" x14ac:dyDescent="0.25">
      <c r="B42" s="14">
        <v>43159.922520357031</v>
      </c>
      <c r="C42" s="14">
        <v>43070</v>
      </c>
      <c r="D42" s="14">
        <v>43096.096100611438</v>
      </c>
      <c r="E42" t="s">
        <v>37</v>
      </c>
      <c r="F42" t="s">
        <v>44</v>
      </c>
      <c r="G42" t="s">
        <v>332</v>
      </c>
      <c r="H42" s="17">
        <v>2741</v>
      </c>
      <c r="I42">
        <f>IF(TbRegistroSaídas[[#This Row],[Data do Caixa Realizado]]="",0,MONTH(TbRegistroSaídas[[#This Row],[Data do Caixa Realizado]]))</f>
        <v>2</v>
      </c>
      <c r="J42">
        <f>IF(TbRegistroSaídas[[#This Row],[Data do Caixa Realizado]]="",0,YEAR(TbRegistroSaídas[[#This Row],[Data do Caixa Realizado]]))</f>
        <v>2018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48">
        <f>IF(TbRegistroSaídas[[#This Row],[Data do Caixa Previsto]]="",0,MONTH(TbRegistroSaídas[[#This Row],[Data do Caixa Previsto]]))</f>
        <v>12</v>
      </c>
      <c r="N42" s="48">
        <f>IF(TbRegistroSaídas[[#This Row],[Data do Caixa Previsto]]="",0,YEAR(TbRegistroSaídas[[#This Row],[Data do Caixa Previsto]]))</f>
        <v>2017</v>
      </c>
      <c r="O4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63.826419745593739</v>
      </c>
    </row>
    <row r="43" spans="2:15" x14ac:dyDescent="0.25">
      <c r="B43" s="14">
        <v>43125.34551811625</v>
      </c>
      <c r="C43" s="14">
        <v>43071</v>
      </c>
      <c r="D43" s="14">
        <v>43125.34551811625</v>
      </c>
      <c r="E43" t="s">
        <v>37</v>
      </c>
      <c r="F43" t="s">
        <v>32</v>
      </c>
      <c r="G43" t="s">
        <v>333</v>
      </c>
      <c r="H43" s="17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48">
        <f>IF(TbRegistroSaídas[[#This Row],[Data do Caixa Previsto]]="",0,MONTH(TbRegistroSaídas[[#This Row],[Data do Caixa Previsto]]))</f>
        <v>1</v>
      </c>
      <c r="N43" s="48">
        <f>IF(TbRegistroSaídas[[#This Row],[Data do Caixa Previsto]]="",0,YEAR(TbRegistroSaídas[[#This Row],[Data do Caixa Previsto]]))</f>
        <v>2018</v>
      </c>
      <c r="O4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4" spans="2:15" x14ac:dyDescent="0.25">
      <c r="B44" s="14">
        <v>43118.533892290689</v>
      </c>
      <c r="C44" s="14">
        <v>43075</v>
      </c>
      <c r="D44" s="14">
        <v>43118.533892290689</v>
      </c>
      <c r="E44" t="s">
        <v>37</v>
      </c>
      <c r="F44" t="s">
        <v>32</v>
      </c>
      <c r="G44" t="s">
        <v>334</v>
      </c>
      <c r="H44" s="17">
        <v>4835</v>
      </c>
      <c r="I44">
        <f>IF(TbRegistroSaídas[[#This Row],[Data do Caixa Realizado]]="",0,MONTH(TbRegistroSaídas[[#This Row],[Data do Caixa Realizado]]))</f>
        <v>1</v>
      </c>
      <c r="J44">
        <f>IF(TbRegistroSaídas[[#This Row],[Data do Caixa Realizado]]="",0,YEAR(TbRegistroSaídas[[#This Row],[Data do Caixa Realizado]]))</f>
        <v>2018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48">
        <f>IF(TbRegistroSaídas[[#This Row],[Data do Caixa Previsto]]="",0,MONTH(TbRegistroSaídas[[#This Row],[Data do Caixa Previsto]]))</f>
        <v>1</v>
      </c>
      <c r="N44" s="48">
        <f>IF(TbRegistroSaídas[[#This Row],[Data do Caixa Previsto]]="",0,YEAR(TbRegistroSaídas[[#This Row],[Data do Caixa Previsto]]))</f>
        <v>2018</v>
      </c>
      <c r="O4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5" spans="2:15" x14ac:dyDescent="0.25">
      <c r="B45" s="14">
        <v>43129.076273391656</v>
      </c>
      <c r="C45" s="14">
        <v>43077</v>
      </c>
      <c r="D45" s="14">
        <v>43129.076273391656</v>
      </c>
      <c r="E45" t="s">
        <v>37</v>
      </c>
      <c r="F45" t="s">
        <v>32</v>
      </c>
      <c r="G45" t="s">
        <v>295</v>
      </c>
      <c r="H45" s="17">
        <v>1411</v>
      </c>
      <c r="I45">
        <f>IF(TbRegistroSaídas[[#This Row],[Data do Caixa Realizado]]="",0,MONTH(TbRegistroSaídas[[#This Row],[Data do Caixa Realizado]]))</f>
        <v>1</v>
      </c>
      <c r="J45">
        <f>IF(TbRegistroSaídas[[#This Row],[Data do Caixa Realizado]]="",0,YEAR(TbRegistroSaídas[[#This Row],[Data do Caixa Realizado]]))</f>
        <v>2018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48">
        <f>IF(TbRegistroSaídas[[#This Row],[Data do Caixa Previsto]]="",0,MONTH(TbRegistroSaídas[[#This Row],[Data do Caixa Previsto]]))</f>
        <v>1</v>
      </c>
      <c r="N45" s="48">
        <f>IF(TbRegistroSaídas[[#This Row],[Data do Caixa Previsto]]="",0,YEAR(TbRegistroSaídas[[#This Row],[Data do Caixa Previsto]]))</f>
        <v>2018</v>
      </c>
      <c r="O4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6" spans="2:15" x14ac:dyDescent="0.25">
      <c r="B46" s="14">
        <v>43099.632017726879</v>
      </c>
      <c r="C46" s="14">
        <v>43079</v>
      </c>
      <c r="D46" s="14">
        <v>43099.632017726879</v>
      </c>
      <c r="E46" t="s">
        <v>37</v>
      </c>
      <c r="F46" t="s">
        <v>32</v>
      </c>
      <c r="G46" t="s">
        <v>335</v>
      </c>
      <c r="H46" s="17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48">
        <f>IF(TbRegistroSaídas[[#This Row],[Data do Caixa Previsto]]="",0,MONTH(TbRegistroSaídas[[#This Row],[Data do Caixa Previsto]]))</f>
        <v>12</v>
      </c>
      <c r="N46" s="48">
        <f>IF(TbRegistroSaídas[[#This Row],[Data do Caixa Previsto]]="",0,YEAR(TbRegistroSaídas[[#This Row],[Data do Caixa Previsto]]))</f>
        <v>2017</v>
      </c>
      <c r="O4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7" spans="2:15" x14ac:dyDescent="0.25">
      <c r="B47" s="14">
        <v>43142.610706080763</v>
      </c>
      <c r="C47" s="14">
        <v>43084</v>
      </c>
      <c r="D47" s="14">
        <v>43142.610706080763</v>
      </c>
      <c r="E47" t="s">
        <v>37</v>
      </c>
      <c r="F47" t="s">
        <v>32</v>
      </c>
      <c r="G47" t="s">
        <v>336</v>
      </c>
      <c r="H47" s="17">
        <v>2623</v>
      </c>
      <c r="I47">
        <f>IF(TbRegistroSaídas[[#This Row],[Data do Caixa Realizado]]="",0,MONTH(TbRegistroSaídas[[#This Row],[Data do Caixa Realizado]]))</f>
        <v>2</v>
      </c>
      <c r="J47">
        <f>IF(TbRegistroSaídas[[#This Row],[Data do Caixa Realizado]]="",0,YEAR(TbRegistroSaídas[[#This Row],[Data do Caixa Realizado]]))</f>
        <v>2018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48">
        <f>IF(TbRegistroSaídas[[#This Row],[Data do Caixa Previsto]]="",0,MONTH(TbRegistroSaídas[[#This Row],[Data do Caixa Previsto]]))</f>
        <v>2</v>
      </c>
      <c r="N47" s="48">
        <f>IF(TbRegistroSaídas[[#This Row],[Data do Caixa Previsto]]="",0,YEAR(TbRegistroSaídas[[#This Row],[Data do Caixa Previsto]]))</f>
        <v>2018</v>
      </c>
      <c r="O4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8" spans="2:15" x14ac:dyDescent="0.25">
      <c r="B48" s="14">
        <v>43098.200846805485</v>
      </c>
      <c r="C48" s="14">
        <v>43086</v>
      </c>
      <c r="D48" s="14">
        <v>43098.200846805485</v>
      </c>
      <c r="E48" t="s">
        <v>37</v>
      </c>
      <c r="F48" t="s">
        <v>33</v>
      </c>
      <c r="G48" t="s">
        <v>337</v>
      </c>
      <c r="H48" s="17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48">
        <f>IF(TbRegistroSaídas[[#This Row],[Data do Caixa Previsto]]="",0,MONTH(TbRegistroSaídas[[#This Row],[Data do Caixa Previsto]]))</f>
        <v>12</v>
      </c>
      <c r="N48" s="48">
        <f>IF(TbRegistroSaídas[[#This Row],[Data do Caixa Previsto]]="",0,YEAR(TbRegistroSaídas[[#This Row],[Data do Caixa Previsto]]))</f>
        <v>2017</v>
      </c>
      <c r="O4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49" spans="2:15" x14ac:dyDescent="0.25">
      <c r="B49" s="14">
        <v>43111.046742717648</v>
      </c>
      <c r="C49" s="14">
        <v>43089</v>
      </c>
      <c r="D49" s="14">
        <v>43111.046742717648</v>
      </c>
      <c r="E49" t="s">
        <v>37</v>
      </c>
      <c r="F49" t="s">
        <v>33</v>
      </c>
      <c r="G49" t="s">
        <v>338</v>
      </c>
      <c r="H49" s="17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48">
        <f>IF(TbRegistroSaídas[[#This Row],[Data do Caixa Previsto]]="",0,MONTH(TbRegistroSaídas[[#This Row],[Data do Caixa Previsto]]))</f>
        <v>1</v>
      </c>
      <c r="N49" s="48">
        <f>IF(TbRegistroSaídas[[#This Row],[Data do Caixa Previsto]]="",0,YEAR(TbRegistroSaídas[[#This Row],[Data do Caixa Previsto]]))</f>
        <v>2018</v>
      </c>
      <c r="O4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0" spans="2:15" x14ac:dyDescent="0.25">
      <c r="B50" s="14">
        <v>43148.048932403181</v>
      </c>
      <c r="C50" s="14">
        <v>43090</v>
      </c>
      <c r="D50" s="14">
        <v>43148.048932403181</v>
      </c>
      <c r="E50" t="s">
        <v>37</v>
      </c>
      <c r="F50" t="s">
        <v>35</v>
      </c>
      <c r="G50" t="s">
        <v>339</v>
      </c>
      <c r="H50" s="17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48">
        <f>IF(TbRegistroSaídas[[#This Row],[Data do Caixa Previsto]]="",0,MONTH(TbRegistroSaídas[[#This Row],[Data do Caixa Previsto]]))</f>
        <v>2</v>
      </c>
      <c r="N50" s="48">
        <f>IF(TbRegistroSaídas[[#This Row],[Data do Caixa Previsto]]="",0,YEAR(TbRegistroSaídas[[#This Row],[Data do Caixa Previsto]]))</f>
        <v>2018</v>
      </c>
      <c r="O5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1" spans="2:15" x14ac:dyDescent="0.25">
      <c r="B51" s="14">
        <v>43135.265910262075</v>
      </c>
      <c r="C51" s="14">
        <v>43094</v>
      </c>
      <c r="D51" s="14">
        <v>43135.265910262075</v>
      </c>
      <c r="E51" t="s">
        <v>37</v>
      </c>
      <c r="F51" t="s">
        <v>33</v>
      </c>
      <c r="G51" t="s">
        <v>340</v>
      </c>
      <c r="H51" s="17">
        <v>4494</v>
      </c>
      <c r="I51">
        <f>IF(TbRegistroSaídas[[#This Row],[Data do Caixa Realizado]]="",0,MONTH(TbRegistroSaídas[[#This Row],[Data do Caixa Realizado]]))</f>
        <v>2</v>
      </c>
      <c r="J51">
        <f>IF(TbRegistroSaídas[[#This Row],[Data do Caixa Realizado]]="",0,YEAR(TbRegistroSaídas[[#This Row],[Data do Caixa Realizado]]))</f>
        <v>2018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48">
        <f>IF(TbRegistroSaídas[[#This Row],[Data do Caixa Previsto]]="",0,MONTH(TbRegistroSaídas[[#This Row],[Data do Caixa Previsto]]))</f>
        <v>2</v>
      </c>
      <c r="N51" s="48">
        <f>IF(TbRegistroSaídas[[#This Row],[Data do Caixa Previsto]]="",0,YEAR(TbRegistroSaídas[[#This Row],[Data do Caixa Previsto]]))</f>
        <v>2018</v>
      </c>
      <c r="O5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2" spans="2:15" x14ac:dyDescent="0.25">
      <c r="B52" s="14">
        <v>43124.925483598126</v>
      </c>
      <c r="C52" s="14">
        <v>43096</v>
      </c>
      <c r="D52" s="14">
        <v>43124.925483598126</v>
      </c>
      <c r="E52" t="s">
        <v>37</v>
      </c>
      <c r="F52" t="s">
        <v>35</v>
      </c>
      <c r="G52" t="s">
        <v>341</v>
      </c>
      <c r="H52" s="17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48">
        <f>IF(TbRegistroSaídas[[#This Row],[Data do Caixa Previsto]]="",0,MONTH(TbRegistroSaídas[[#This Row],[Data do Caixa Previsto]]))</f>
        <v>1</v>
      </c>
      <c r="N52" s="48">
        <f>IF(TbRegistroSaídas[[#This Row],[Data do Caixa Previsto]]="",0,YEAR(TbRegistroSaídas[[#This Row],[Data do Caixa Previsto]]))</f>
        <v>2018</v>
      </c>
      <c r="O5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3" spans="2:15" x14ac:dyDescent="0.25">
      <c r="B53" s="14">
        <v>43143.989919163403</v>
      </c>
      <c r="C53" s="14">
        <v>43098</v>
      </c>
      <c r="D53" s="14">
        <v>43143.989919163403</v>
      </c>
      <c r="E53" t="s">
        <v>37</v>
      </c>
      <c r="F53" t="s">
        <v>44</v>
      </c>
      <c r="G53" t="s">
        <v>342</v>
      </c>
      <c r="H53" s="17">
        <v>2015</v>
      </c>
      <c r="I53">
        <f>IF(TbRegistroSaídas[[#This Row],[Data do Caixa Realizado]]="",0,MONTH(TbRegistroSaídas[[#This Row],[Data do Caixa Realizado]]))</f>
        <v>2</v>
      </c>
      <c r="J53">
        <f>IF(TbRegistroSaídas[[#This Row],[Data do Caixa Realizado]]="",0,YEAR(TbRegistroSaídas[[#This Row],[Data do Caixa Realizado]]))</f>
        <v>2018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48">
        <f>IF(TbRegistroSaídas[[#This Row],[Data do Caixa Previsto]]="",0,MONTH(TbRegistroSaídas[[#This Row],[Data do Caixa Previsto]]))</f>
        <v>2</v>
      </c>
      <c r="N53" s="48">
        <f>IF(TbRegistroSaídas[[#This Row],[Data do Caixa Previsto]]="",0,YEAR(TbRegistroSaídas[[#This Row],[Data do Caixa Previsto]]))</f>
        <v>2018</v>
      </c>
      <c r="O5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4" spans="2:15" x14ac:dyDescent="0.25">
      <c r="B54" s="14">
        <v>43180.312256585908</v>
      </c>
      <c r="C54" s="14">
        <v>43100</v>
      </c>
      <c r="D54" s="14">
        <v>43151.353970851676</v>
      </c>
      <c r="E54" t="s">
        <v>37</v>
      </c>
      <c r="F54" t="s">
        <v>33</v>
      </c>
      <c r="G54" t="s">
        <v>343</v>
      </c>
      <c r="H54" s="17">
        <v>3413</v>
      </c>
      <c r="I54">
        <f>IF(TbRegistroSaídas[[#This Row],[Data do Caixa Realizado]]="",0,MONTH(TbRegistroSaídas[[#This Row],[Data do Caixa Realizado]]))</f>
        <v>3</v>
      </c>
      <c r="J54">
        <f>IF(TbRegistroSaídas[[#This Row],[Data do Caixa Realizado]]="",0,YEAR(TbRegistroSaídas[[#This Row],[Data do Caixa Realizado]]))</f>
        <v>2018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48">
        <f>IF(TbRegistroSaídas[[#This Row],[Data do Caixa Previsto]]="",0,MONTH(TbRegistroSaídas[[#This Row],[Data do Caixa Previsto]]))</f>
        <v>2</v>
      </c>
      <c r="N54" s="48">
        <f>IF(TbRegistroSaídas[[#This Row],[Data do Caixa Previsto]]="",0,YEAR(TbRegistroSaídas[[#This Row],[Data do Caixa Previsto]]))</f>
        <v>2018</v>
      </c>
      <c r="O5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28.958285734232049</v>
      </c>
    </row>
    <row r="55" spans="2:15" x14ac:dyDescent="0.25">
      <c r="B55" s="14">
        <v>43144.795115927831</v>
      </c>
      <c r="C55" s="14">
        <v>43103</v>
      </c>
      <c r="D55" s="14">
        <v>43108.84859147996</v>
      </c>
      <c r="E55" t="s">
        <v>37</v>
      </c>
      <c r="F55" t="s">
        <v>35</v>
      </c>
      <c r="G55" t="s">
        <v>344</v>
      </c>
      <c r="H55" s="17">
        <v>4087</v>
      </c>
      <c r="I55">
        <f>IF(TbRegistroSaídas[[#This Row],[Data do Caixa Realizado]]="",0,MONTH(TbRegistroSaídas[[#This Row],[Data do Caixa Realizado]]))</f>
        <v>2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48">
        <f>IF(TbRegistroSaídas[[#This Row],[Data do Caixa Previsto]]="",0,MONTH(TbRegistroSaídas[[#This Row],[Data do Caixa Previsto]]))</f>
        <v>1</v>
      </c>
      <c r="N55" s="48">
        <f>IF(TbRegistroSaídas[[#This Row],[Data do Caixa Previsto]]="",0,YEAR(TbRegistroSaídas[[#This Row],[Data do Caixa Previsto]]))</f>
        <v>2018</v>
      </c>
      <c r="O5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35.946524447870615</v>
      </c>
    </row>
    <row r="56" spans="2:15" x14ac:dyDescent="0.25">
      <c r="B56" s="14">
        <v>43117.371907988454</v>
      </c>
      <c r="C56" s="14">
        <v>43106</v>
      </c>
      <c r="D56" s="14">
        <v>43117.371907988454</v>
      </c>
      <c r="E56" t="s">
        <v>37</v>
      </c>
      <c r="F56" t="s">
        <v>33</v>
      </c>
      <c r="G56" t="s">
        <v>345</v>
      </c>
      <c r="H56" s="17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48">
        <f>IF(TbRegistroSaídas[[#This Row],[Data do Caixa Previsto]]="",0,MONTH(TbRegistroSaídas[[#This Row],[Data do Caixa Previsto]]))</f>
        <v>1</v>
      </c>
      <c r="N56" s="48">
        <f>IF(TbRegistroSaídas[[#This Row],[Data do Caixa Previsto]]="",0,YEAR(TbRegistroSaídas[[#This Row],[Data do Caixa Previsto]]))</f>
        <v>2018</v>
      </c>
      <c r="O5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7" spans="2:15" x14ac:dyDescent="0.25">
      <c r="B57" s="14">
        <v>43127.72575701114</v>
      </c>
      <c r="C57" s="14">
        <v>43109</v>
      </c>
      <c r="D57" s="14">
        <v>43127.72575701114</v>
      </c>
      <c r="E57" t="s">
        <v>37</v>
      </c>
      <c r="F57" t="s">
        <v>33</v>
      </c>
      <c r="G57" t="s">
        <v>346</v>
      </c>
      <c r="H57" s="17">
        <v>3598</v>
      </c>
      <c r="I57">
        <f>IF(TbRegistroSaídas[[#This Row],[Data do Caixa Realizado]]="",0,MONTH(TbRegistroSaídas[[#This Row],[Data do Caixa Realizado]]))</f>
        <v>1</v>
      </c>
      <c r="J57">
        <f>IF(TbRegistroSaídas[[#This Row],[Data do Caixa Realizado]]="",0,YEAR(TbRegistroSaídas[[#This Row],[Data do Caixa Realizado]]))</f>
        <v>2018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48">
        <f>IF(TbRegistroSaídas[[#This Row],[Data do Caixa Previsto]]="",0,MONTH(TbRegistroSaídas[[#This Row],[Data do Caixa Previsto]]))</f>
        <v>1</v>
      </c>
      <c r="N57" s="48">
        <f>IF(TbRegistroSaídas[[#This Row],[Data do Caixa Previsto]]="",0,YEAR(TbRegistroSaídas[[#This Row],[Data do Caixa Previsto]]))</f>
        <v>2018</v>
      </c>
      <c r="O5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8" spans="2:15" x14ac:dyDescent="0.25">
      <c r="B58" s="14">
        <v>43118.823326450649</v>
      </c>
      <c r="C58" s="14">
        <v>43110</v>
      </c>
      <c r="D58" s="14">
        <v>43118.823326450649</v>
      </c>
      <c r="E58" t="s">
        <v>37</v>
      </c>
      <c r="F58" t="s">
        <v>33</v>
      </c>
      <c r="G58" t="s">
        <v>347</v>
      </c>
      <c r="H58" s="17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48">
        <f>IF(TbRegistroSaídas[[#This Row],[Data do Caixa Previsto]]="",0,MONTH(TbRegistroSaídas[[#This Row],[Data do Caixa Previsto]]))</f>
        <v>1</v>
      </c>
      <c r="N58" s="48">
        <f>IF(TbRegistroSaídas[[#This Row],[Data do Caixa Previsto]]="",0,YEAR(TbRegistroSaídas[[#This Row],[Data do Caixa Previsto]]))</f>
        <v>2018</v>
      </c>
      <c r="O5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59" spans="2:15" x14ac:dyDescent="0.25">
      <c r="B59" s="14">
        <v>43167.544338803593</v>
      </c>
      <c r="C59" s="14">
        <v>43112</v>
      </c>
      <c r="D59" s="14">
        <v>43167.544338803593</v>
      </c>
      <c r="E59" t="s">
        <v>37</v>
      </c>
      <c r="F59" t="s">
        <v>33</v>
      </c>
      <c r="G59" t="s">
        <v>348</v>
      </c>
      <c r="H59" s="17">
        <v>971</v>
      </c>
      <c r="I59">
        <f>IF(TbRegistroSaídas[[#This Row],[Data do Caixa Realizado]]="",0,MONTH(TbRegistroSaídas[[#This Row],[Data do Caixa Realizado]]))</f>
        <v>3</v>
      </c>
      <c r="J59">
        <f>IF(TbRegistroSaídas[[#This Row],[Data do Caixa Realizado]]="",0,YEAR(TbRegistroSaídas[[#This Row],[Data do Caixa Realizado]]))</f>
        <v>2018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48">
        <f>IF(TbRegistroSaídas[[#This Row],[Data do Caixa Previsto]]="",0,MONTH(TbRegistroSaídas[[#This Row],[Data do Caixa Previsto]]))</f>
        <v>3</v>
      </c>
      <c r="N59" s="48">
        <f>IF(TbRegistroSaídas[[#This Row],[Data do Caixa Previsto]]="",0,YEAR(TbRegistroSaídas[[#This Row],[Data do Caixa Previsto]]))</f>
        <v>2018</v>
      </c>
      <c r="O5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0" spans="2:15" x14ac:dyDescent="0.25">
      <c r="B60" s="14">
        <v>43137.043955849207</v>
      </c>
      <c r="C60" s="14">
        <v>43113</v>
      </c>
      <c r="D60" s="14">
        <v>43137.043955849207</v>
      </c>
      <c r="E60" t="s">
        <v>37</v>
      </c>
      <c r="F60" t="s">
        <v>33</v>
      </c>
      <c r="G60" t="s">
        <v>349</v>
      </c>
      <c r="H60" s="17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48">
        <f>IF(TbRegistroSaídas[[#This Row],[Data do Caixa Previsto]]="",0,MONTH(TbRegistroSaídas[[#This Row],[Data do Caixa Previsto]]))</f>
        <v>2</v>
      </c>
      <c r="N60" s="48">
        <f>IF(TbRegistroSaídas[[#This Row],[Data do Caixa Previsto]]="",0,YEAR(TbRegistroSaídas[[#This Row],[Data do Caixa Previsto]]))</f>
        <v>2018</v>
      </c>
      <c r="O6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1" spans="2:15" x14ac:dyDescent="0.25">
      <c r="B61" s="14">
        <v>43144.881827671154</v>
      </c>
      <c r="C61" s="14">
        <v>43114</v>
      </c>
      <c r="D61" s="14">
        <v>43144.881827671154</v>
      </c>
      <c r="E61" t="s">
        <v>37</v>
      </c>
      <c r="F61" t="s">
        <v>33</v>
      </c>
      <c r="G61" t="s">
        <v>350</v>
      </c>
      <c r="H61" s="17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48">
        <f>IF(TbRegistroSaídas[[#This Row],[Data do Caixa Previsto]]="",0,MONTH(TbRegistroSaídas[[#This Row],[Data do Caixa Previsto]]))</f>
        <v>2</v>
      </c>
      <c r="N61" s="48">
        <f>IF(TbRegistroSaídas[[#This Row],[Data do Caixa Previsto]]="",0,YEAR(TbRegistroSaídas[[#This Row],[Data do Caixa Previsto]]))</f>
        <v>2018</v>
      </c>
      <c r="O6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2" spans="2:15" x14ac:dyDescent="0.25">
      <c r="B62" s="14">
        <v>43127.357625825418</v>
      </c>
      <c r="C62" s="14">
        <v>43116</v>
      </c>
      <c r="D62" s="14">
        <v>43127.357625825418</v>
      </c>
      <c r="E62" t="s">
        <v>37</v>
      </c>
      <c r="F62" t="s">
        <v>33</v>
      </c>
      <c r="G62" t="s">
        <v>303</v>
      </c>
      <c r="H62" s="17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48">
        <f>IF(TbRegistroSaídas[[#This Row],[Data do Caixa Previsto]]="",0,MONTH(TbRegistroSaídas[[#This Row],[Data do Caixa Previsto]]))</f>
        <v>1</v>
      </c>
      <c r="N62" s="48">
        <f>IF(TbRegistroSaídas[[#This Row],[Data do Caixa Previsto]]="",0,YEAR(TbRegistroSaídas[[#This Row],[Data do Caixa Previsto]]))</f>
        <v>2018</v>
      </c>
      <c r="O6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3" spans="2:15" x14ac:dyDescent="0.25">
      <c r="B63" s="14">
        <v>43164.408101095891</v>
      </c>
      <c r="C63" s="14">
        <v>43120</v>
      </c>
      <c r="D63" s="14">
        <v>43164.408101095891</v>
      </c>
      <c r="E63" t="s">
        <v>37</v>
      </c>
      <c r="F63" t="s">
        <v>33</v>
      </c>
      <c r="G63" t="s">
        <v>351</v>
      </c>
      <c r="H63" s="17">
        <v>2535</v>
      </c>
      <c r="I63">
        <f>IF(TbRegistroSaídas[[#This Row],[Data do Caixa Realizado]]="",0,MONTH(TbRegistroSaídas[[#This Row],[Data do Caixa Realizado]]))</f>
        <v>3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48">
        <f>IF(TbRegistroSaídas[[#This Row],[Data do Caixa Previsto]]="",0,MONTH(TbRegistroSaídas[[#This Row],[Data do Caixa Previsto]]))</f>
        <v>3</v>
      </c>
      <c r="N63" s="48">
        <f>IF(TbRegistroSaídas[[#This Row],[Data do Caixa Previsto]]="",0,YEAR(TbRegistroSaídas[[#This Row],[Data do Caixa Previsto]]))</f>
        <v>2018</v>
      </c>
      <c r="O6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4" spans="2:15" x14ac:dyDescent="0.25">
      <c r="B64" s="14">
        <v>43141.579590343346</v>
      </c>
      <c r="C64" s="14">
        <v>43121</v>
      </c>
      <c r="D64" s="14">
        <v>43141.579590343346</v>
      </c>
      <c r="E64" t="s">
        <v>37</v>
      </c>
      <c r="F64" t="s">
        <v>33</v>
      </c>
      <c r="G64" t="s">
        <v>352</v>
      </c>
      <c r="H64" s="17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48">
        <f>IF(TbRegistroSaídas[[#This Row],[Data do Caixa Previsto]]="",0,MONTH(TbRegistroSaídas[[#This Row],[Data do Caixa Previsto]]))</f>
        <v>2</v>
      </c>
      <c r="N64" s="48">
        <f>IF(TbRegistroSaídas[[#This Row],[Data do Caixa Previsto]]="",0,YEAR(TbRegistroSaídas[[#This Row],[Data do Caixa Previsto]]))</f>
        <v>2018</v>
      </c>
      <c r="O6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5" spans="2:15" x14ac:dyDescent="0.25">
      <c r="B65" s="14">
        <v>43140.52607681365</v>
      </c>
      <c r="C65" s="14">
        <v>43123</v>
      </c>
      <c r="D65" s="14">
        <v>43140.52607681365</v>
      </c>
      <c r="E65" t="s">
        <v>37</v>
      </c>
      <c r="F65" t="s">
        <v>35</v>
      </c>
      <c r="G65" t="s">
        <v>353</v>
      </c>
      <c r="H65" s="17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48">
        <f>IF(TbRegistroSaídas[[#This Row],[Data do Caixa Previsto]]="",0,MONTH(TbRegistroSaídas[[#This Row],[Data do Caixa Previsto]]))</f>
        <v>2</v>
      </c>
      <c r="N65" s="48">
        <f>IF(TbRegistroSaídas[[#This Row],[Data do Caixa Previsto]]="",0,YEAR(TbRegistroSaídas[[#This Row],[Data do Caixa Previsto]]))</f>
        <v>2018</v>
      </c>
      <c r="O6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6" spans="2:15" x14ac:dyDescent="0.25">
      <c r="B66" s="14">
        <v>43167.136566438901</v>
      </c>
      <c r="C66" s="14">
        <v>43125</v>
      </c>
      <c r="D66" s="14">
        <v>43167.136566438901</v>
      </c>
      <c r="E66" t="s">
        <v>37</v>
      </c>
      <c r="F66" t="s">
        <v>33</v>
      </c>
      <c r="G66" t="s">
        <v>354</v>
      </c>
      <c r="H66" s="17">
        <v>2247</v>
      </c>
      <c r="I66">
        <f>IF(TbRegistroSaídas[[#This Row],[Data do Caixa Realizado]]="",0,MONTH(TbRegistroSaídas[[#This Row],[Data do Caixa Realizado]]))</f>
        <v>3</v>
      </c>
      <c r="J66">
        <f>IF(TbRegistroSaídas[[#This Row],[Data do Caixa Realizado]]="",0,YEAR(TbRegistroSaídas[[#This Row],[Data do Caixa Realizado]]))</f>
        <v>2018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48">
        <f>IF(TbRegistroSaídas[[#This Row],[Data do Caixa Previsto]]="",0,MONTH(TbRegistroSaídas[[#This Row],[Data do Caixa Previsto]]))</f>
        <v>3</v>
      </c>
      <c r="N66" s="48">
        <f>IF(TbRegistroSaídas[[#This Row],[Data do Caixa Previsto]]="",0,YEAR(TbRegistroSaídas[[#This Row],[Data do Caixa Previsto]]))</f>
        <v>2018</v>
      </c>
      <c r="O6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7" spans="2:15" x14ac:dyDescent="0.25">
      <c r="B67" s="14">
        <v>43180.080222393961</v>
      </c>
      <c r="C67" s="14">
        <v>43127</v>
      </c>
      <c r="D67" s="14">
        <v>43180.080222393961</v>
      </c>
      <c r="E67" t="s">
        <v>37</v>
      </c>
      <c r="F67" t="s">
        <v>35</v>
      </c>
      <c r="G67" t="s">
        <v>355</v>
      </c>
      <c r="H67" s="17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48">
        <f>IF(TbRegistroSaídas[[#This Row],[Data do Caixa Previsto]]="",0,MONTH(TbRegistroSaídas[[#This Row],[Data do Caixa Previsto]]))</f>
        <v>3</v>
      </c>
      <c r="N67" s="48">
        <f>IF(TbRegistroSaídas[[#This Row],[Data do Caixa Previsto]]="",0,YEAR(TbRegistroSaídas[[#This Row],[Data do Caixa Previsto]]))</f>
        <v>2018</v>
      </c>
      <c r="O6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68" spans="2:15" x14ac:dyDescent="0.25">
      <c r="B68" s="14">
        <v>43153.557863903276</v>
      </c>
      <c r="C68" s="14">
        <v>43129</v>
      </c>
      <c r="D68" s="14">
        <v>43142.593518246249</v>
      </c>
      <c r="E68" t="s">
        <v>37</v>
      </c>
      <c r="F68" t="s">
        <v>35</v>
      </c>
      <c r="G68" t="s">
        <v>356</v>
      </c>
      <c r="H68" s="17">
        <v>3801</v>
      </c>
      <c r="I68">
        <f>IF(TbRegistroSaídas[[#This Row],[Data do Caixa Realizado]]="",0,MONTH(TbRegistroSaídas[[#This Row],[Data do Caixa Realizado]]))</f>
        <v>2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48">
        <f>IF(TbRegistroSaídas[[#This Row],[Data do Caixa Previsto]]="",0,MONTH(TbRegistroSaídas[[#This Row],[Data do Caixa Previsto]]))</f>
        <v>2</v>
      </c>
      <c r="N68" s="48">
        <f>IF(TbRegistroSaídas[[#This Row],[Data do Caixa Previsto]]="",0,YEAR(TbRegistroSaídas[[#This Row],[Data do Caixa Previsto]]))</f>
        <v>2018</v>
      </c>
      <c r="O6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10.96434565702657</v>
      </c>
    </row>
    <row r="69" spans="2:15" x14ac:dyDescent="0.25">
      <c r="B69" s="14">
        <v>43144.375909015784</v>
      </c>
      <c r="C69" s="14">
        <v>43131</v>
      </c>
      <c r="D69" s="14">
        <v>43144.375909015784</v>
      </c>
      <c r="E69" t="s">
        <v>37</v>
      </c>
      <c r="F69" t="s">
        <v>35</v>
      </c>
      <c r="G69" t="s">
        <v>357</v>
      </c>
      <c r="H69" s="17">
        <v>3049</v>
      </c>
      <c r="I69">
        <f>IF(TbRegistroSaídas[[#This Row],[Data do Caixa Realizado]]="",0,MONTH(TbRegistroSaídas[[#This Row],[Data do Caixa Realizado]]))</f>
        <v>2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48">
        <f>IF(TbRegistroSaídas[[#This Row],[Data do Caixa Previsto]]="",0,MONTH(TbRegistroSaídas[[#This Row],[Data do Caixa Previsto]]))</f>
        <v>2</v>
      </c>
      <c r="N69" s="48">
        <f>IF(TbRegistroSaídas[[#This Row],[Data do Caixa Previsto]]="",0,YEAR(TbRegistroSaídas[[#This Row],[Data do Caixa Previsto]]))</f>
        <v>2018</v>
      </c>
      <c r="O6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0" spans="2:15" x14ac:dyDescent="0.25">
      <c r="B70" s="14">
        <v>43188.99516604135</v>
      </c>
      <c r="C70" s="14">
        <v>43135</v>
      </c>
      <c r="D70" s="14">
        <v>43170.130869357701</v>
      </c>
      <c r="E70" t="s">
        <v>37</v>
      </c>
      <c r="F70" t="s">
        <v>35</v>
      </c>
      <c r="G70" t="s">
        <v>358</v>
      </c>
      <c r="H70" s="17">
        <v>3255</v>
      </c>
      <c r="I70">
        <f>IF(TbRegistroSaídas[[#This Row],[Data do Caixa Realizado]]="",0,MONTH(TbRegistroSaídas[[#This Row],[Data do Caixa Realizado]]))</f>
        <v>3</v>
      </c>
      <c r="J70">
        <f>IF(TbRegistroSaídas[[#This Row],[Data do Caixa Realizado]]="",0,YEAR(TbRegistroSaídas[[#This Row],[Data do Caixa Realizado]]))</f>
        <v>2018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48">
        <f>IF(TbRegistroSaídas[[#This Row],[Data do Caixa Previsto]]="",0,MONTH(TbRegistroSaídas[[#This Row],[Data do Caixa Previsto]]))</f>
        <v>3</v>
      </c>
      <c r="N70" s="48">
        <f>IF(TbRegistroSaídas[[#This Row],[Data do Caixa Previsto]]="",0,YEAR(TbRegistroSaídas[[#This Row],[Data do Caixa Previsto]]))</f>
        <v>2018</v>
      </c>
      <c r="O7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18.864296683648718</v>
      </c>
    </row>
    <row r="71" spans="2:15" x14ac:dyDescent="0.25">
      <c r="B71" s="14">
        <v>43179.613666487414</v>
      </c>
      <c r="C71" s="14">
        <v>43136</v>
      </c>
      <c r="D71" s="14">
        <v>43176.20769813798</v>
      </c>
      <c r="E71" t="s">
        <v>37</v>
      </c>
      <c r="F71" t="s">
        <v>35</v>
      </c>
      <c r="G71" t="s">
        <v>359</v>
      </c>
      <c r="H71" s="17">
        <v>2074</v>
      </c>
      <c r="I71">
        <f>IF(TbRegistroSaídas[[#This Row],[Data do Caixa Realizado]]="",0,MONTH(TbRegistroSaídas[[#This Row],[Data do Caixa Realizado]]))</f>
        <v>3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48">
        <f>IF(TbRegistroSaídas[[#This Row],[Data do Caixa Previsto]]="",0,MONTH(TbRegistroSaídas[[#This Row],[Data do Caixa Previsto]]))</f>
        <v>3</v>
      </c>
      <c r="N71" s="48">
        <f>IF(TbRegistroSaídas[[#This Row],[Data do Caixa Previsto]]="",0,YEAR(TbRegistroSaídas[[#This Row],[Data do Caixa Previsto]]))</f>
        <v>2018</v>
      </c>
      <c r="O7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3.4059683494342607</v>
      </c>
    </row>
    <row r="72" spans="2:15" x14ac:dyDescent="0.25">
      <c r="B72" s="14">
        <v>43175.293624405407</v>
      </c>
      <c r="C72" s="14">
        <v>43137</v>
      </c>
      <c r="D72" s="14">
        <v>43175.293624405407</v>
      </c>
      <c r="E72" t="s">
        <v>37</v>
      </c>
      <c r="F72" t="s">
        <v>35</v>
      </c>
      <c r="G72" t="s">
        <v>360</v>
      </c>
      <c r="H72" s="17">
        <v>3606</v>
      </c>
      <c r="I72">
        <f>IF(TbRegistroSaídas[[#This Row],[Data do Caixa Realizado]]="",0,MONTH(TbRegistroSaídas[[#This Row],[Data do Caixa Realizado]]))</f>
        <v>3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48">
        <f>IF(TbRegistroSaídas[[#This Row],[Data do Caixa Previsto]]="",0,MONTH(TbRegistroSaídas[[#This Row],[Data do Caixa Previsto]]))</f>
        <v>3</v>
      </c>
      <c r="N72" s="48">
        <f>IF(TbRegistroSaídas[[#This Row],[Data do Caixa Previsto]]="",0,YEAR(TbRegistroSaídas[[#This Row],[Data do Caixa Previsto]]))</f>
        <v>2018</v>
      </c>
      <c r="O7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3" spans="2:15" x14ac:dyDescent="0.25">
      <c r="B73" s="14">
        <v>43177.329774401594</v>
      </c>
      <c r="C73" s="14">
        <v>43138</v>
      </c>
      <c r="D73" s="14">
        <v>43177.329774401594</v>
      </c>
      <c r="E73" t="s">
        <v>37</v>
      </c>
      <c r="F73" t="s">
        <v>35</v>
      </c>
      <c r="G73" t="s">
        <v>361</v>
      </c>
      <c r="H73" s="17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48">
        <f>IF(TbRegistroSaídas[[#This Row],[Data do Caixa Previsto]]="",0,MONTH(TbRegistroSaídas[[#This Row],[Data do Caixa Previsto]]))</f>
        <v>3</v>
      </c>
      <c r="N73" s="48">
        <f>IF(TbRegistroSaídas[[#This Row],[Data do Caixa Previsto]]="",0,YEAR(TbRegistroSaídas[[#This Row],[Data do Caixa Previsto]]))</f>
        <v>2018</v>
      </c>
      <c r="O7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4" spans="2:15" x14ac:dyDescent="0.25">
      <c r="B74" s="14">
        <v>43175.004800342591</v>
      </c>
      <c r="C74" s="14">
        <v>43140</v>
      </c>
      <c r="D74" s="14">
        <v>43175.004800342591</v>
      </c>
      <c r="E74" t="s">
        <v>37</v>
      </c>
      <c r="F74" t="s">
        <v>35</v>
      </c>
      <c r="G74" t="s">
        <v>362</v>
      </c>
      <c r="H74" s="17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48">
        <f>IF(TbRegistroSaídas[[#This Row],[Data do Caixa Previsto]]="",0,MONTH(TbRegistroSaídas[[#This Row],[Data do Caixa Previsto]]))</f>
        <v>3</v>
      </c>
      <c r="N74" s="48">
        <f>IF(TbRegistroSaídas[[#This Row],[Data do Caixa Previsto]]="",0,YEAR(TbRegistroSaídas[[#This Row],[Data do Caixa Previsto]]))</f>
        <v>2018</v>
      </c>
      <c r="O7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5" spans="2:15" x14ac:dyDescent="0.25">
      <c r="B75" s="14">
        <v>43238.007350836197</v>
      </c>
      <c r="C75" s="14">
        <v>43145</v>
      </c>
      <c r="D75" s="14">
        <v>43150.456480487795</v>
      </c>
      <c r="E75" t="s">
        <v>37</v>
      </c>
      <c r="F75" t="s">
        <v>35</v>
      </c>
      <c r="G75" t="s">
        <v>363</v>
      </c>
      <c r="H75" s="17">
        <v>2801</v>
      </c>
      <c r="I75">
        <f>IF(TbRegistroSaídas[[#This Row],[Data do Caixa Realizado]]="",0,MONTH(TbRegistroSaídas[[#This Row],[Data do Caixa Realizado]]))</f>
        <v>5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48">
        <f>IF(TbRegistroSaídas[[#This Row],[Data do Caixa Previsto]]="",0,MONTH(TbRegistroSaídas[[#This Row],[Data do Caixa Previsto]]))</f>
        <v>2</v>
      </c>
      <c r="N75" s="48">
        <f>IF(TbRegistroSaídas[[#This Row],[Data do Caixa Previsto]]="",0,YEAR(TbRegistroSaídas[[#This Row],[Data do Caixa Previsto]]))</f>
        <v>2018</v>
      </c>
      <c r="O7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87.550870348401077</v>
      </c>
    </row>
    <row r="76" spans="2:15" x14ac:dyDescent="0.25">
      <c r="B76" s="14" t="s">
        <v>74</v>
      </c>
      <c r="C76" s="14">
        <v>43146</v>
      </c>
      <c r="D76" s="14">
        <v>43169.778347522966</v>
      </c>
      <c r="E76" t="s">
        <v>37</v>
      </c>
      <c r="F76" t="s">
        <v>33</v>
      </c>
      <c r="G76" t="s">
        <v>364</v>
      </c>
      <c r="H76" s="17">
        <v>4438</v>
      </c>
      <c r="I76">
        <f>IF(TbRegistroSaídas[[#This Row],[Data do Caixa Realizado]]="",0,MONTH(TbRegistroSaídas[[#This Row],[Data do Caixa Realizado]]))</f>
        <v>0</v>
      </c>
      <c r="J76">
        <f>IF(TbRegistroSaídas[[#This Row],[Data do Caixa Realizado]]="",0,YEAR(TbRegistroSaídas[[#This Row],[Data do Caixa Realizado]]))</f>
        <v>0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48">
        <f>IF(TbRegistroSaídas[[#This Row],[Data do Caixa Previsto]]="",0,MONTH(TbRegistroSaídas[[#This Row],[Data do Caixa Previsto]]))</f>
        <v>3</v>
      </c>
      <c r="N76" s="48">
        <f>IF(TbRegistroSaídas[[#This Row],[Data do Caixa Previsto]]="",0,YEAR(TbRegistroSaídas[[#This Row],[Data do Caixa Previsto]]))</f>
        <v>2018</v>
      </c>
      <c r="O7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2646.2216524770338</v>
      </c>
    </row>
    <row r="77" spans="2:15" x14ac:dyDescent="0.25">
      <c r="B77" s="14">
        <v>43198.215136039675</v>
      </c>
      <c r="C77" s="14">
        <v>43151</v>
      </c>
      <c r="D77" s="14">
        <v>43198.215136039675</v>
      </c>
      <c r="E77" t="s">
        <v>37</v>
      </c>
      <c r="F77" t="s">
        <v>35</v>
      </c>
      <c r="G77" t="s">
        <v>365</v>
      </c>
      <c r="H77" s="17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48">
        <f>IF(TbRegistroSaídas[[#This Row],[Data do Caixa Previsto]]="",0,MONTH(TbRegistroSaídas[[#This Row],[Data do Caixa Previsto]]))</f>
        <v>4</v>
      </c>
      <c r="N77" s="48">
        <f>IF(TbRegistroSaídas[[#This Row],[Data do Caixa Previsto]]="",0,YEAR(TbRegistroSaídas[[#This Row],[Data do Caixa Previsto]]))</f>
        <v>2018</v>
      </c>
      <c r="O7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8" spans="2:15" x14ac:dyDescent="0.25">
      <c r="B78" s="14">
        <v>43199.384372741159</v>
      </c>
      <c r="C78" s="14">
        <v>43160</v>
      </c>
      <c r="D78" s="14">
        <v>43199.384372741159</v>
      </c>
      <c r="E78" t="s">
        <v>37</v>
      </c>
      <c r="F78" t="s">
        <v>35</v>
      </c>
      <c r="G78" t="s">
        <v>366</v>
      </c>
      <c r="H78" s="17">
        <v>3893</v>
      </c>
      <c r="I78">
        <f>IF(TbRegistroSaídas[[#This Row],[Data do Caixa Realizado]]="",0,MONTH(TbRegistroSaídas[[#This Row],[Data do Caixa Realizado]]))</f>
        <v>4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48">
        <f>IF(TbRegistroSaídas[[#This Row],[Data do Caixa Previsto]]="",0,MONTH(TbRegistroSaídas[[#This Row],[Data do Caixa Previsto]]))</f>
        <v>4</v>
      </c>
      <c r="N78" s="48">
        <f>IF(TbRegistroSaídas[[#This Row],[Data do Caixa Previsto]]="",0,YEAR(TbRegistroSaídas[[#This Row],[Data do Caixa Previsto]]))</f>
        <v>2018</v>
      </c>
      <c r="O7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79" spans="2:15" x14ac:dyDescent="0.25">
      <c r="B79" s="14">
        <v>43184.353160705636</v>
      </c>
      <c r="C79" s="14">
        <v>43163</v>
      </c>
      <c r="D79" s="14">
        <v>43184.353160705636</v>
      </c>
      <c r="E79" t="s">
        <v>37</v>
      </c>
      <c r="F79" t="s">
        <v>35</v>
      </c>
      <c r="G79" t="s">
        <v>229</v>
      </c>
      <c r="H79" s="17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48">
        <f>IF(TbRegistroSaídas[[#This Row],[Data do Caixa Previsto]]="",0,MONTH(TbRegistroSaídas[[#This Row],[Data do Caixa Previsto]]))</f>
        <v>3</v>
      </c>
      <c r="N79" s="48">
        <f>IF(TbRegistroSaídas[[#This Row],[Data do Caixa Previsto]]="",0,YEAR(TbRegistroSaídas[[#This Row],[Data do Caixa Previsto]]))</f>
        <v>2018</v>
      </c>
      <c r="O7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0" spans="2:15" x14ac:dyDescent="0.25">
      <c r="B80" s="14">
        <v>43219.347145801272</v>
      </c>
      <c r="C80" s="14">
        <v>43164</v>
      </c>
      <c r="D80" s="14">
        <v>43219.347145801272</v>
      </c>
      <c r="E80" t="s">
        <v>37</v>
      </c>
      <c r="F80" t="s">
        <v>35</v>
      </c>
      <c r="G80" t="s">
        <v>367</v>
      </c>
      <c r="H80" s="17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48">
        <f>IF(TbRegistroSaídas[[#This Row],[Data do Caixa Previsto]]="",0,MONTH(TbRegistroSaídas[[#This Row],[Data do Caixa Previsto]]))</f>
        <v>4</v>
      </c>
      <c r="N80" s="48">
        <f>IF(TbRegistroSaídas[[#This Row],[Data do Caixa Previsto]]="",0,YEAR(TbRegistroSaídas[[#This Row],[Data do Caixa Previsto]]))</f>
        <v>2018</v>
      </c>
      <c r="O8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1" spans="2:15" x14ac:dyDescent="0.25">
      <c r="B81" s="14">
        <v>43188.959993905235</v>
      </c>
      <c r="C81" s="14">
        <v>43166</v>
      </c>
      <c r="D81" s="14">
        <v>43188.959993905235</v>
      </c>
      <c r="E81" t="s">
        <v>37</v>
      </c>
      <c r="F81" t="s">
        <v>35</v>
      </c>
      <c r="G81" t="s">
        <v>368</v>
      </c>
      <c r="H81" s="17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48">
        <f>IF(TbRegistroSaídas[[#This Row],[Data do Caixa Previsto]]="",0,MONTH(TbRegistroSaídas[[#This Row],[Data do Caixa Previsto]]))</f>
        <v>3</v>
      </c>
      <c r="N81" s="48">
        <f>IF(TbRegistroSaídas[[#This Row],[Data do Caixa Previsto]]="",0,YEAR(TbRegistroSaídas[[#This Row],[Data do Caixa Previsto]]))</f>
        <v>2018</v>
      </c>
      <c r="O8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2" spans="2:15" x14ac:dyDescent="0.25">
      <c r="B82" s="14">
        <v>43197.842717434411</v>
      </c>
      <c r="C82" s="14">
        <v>43168</v>
      </c>
      <c r="D82" s="14">
        <v>43197.842717434411</v>
      </c>
      <c r="E82" t="s">
        <v>37</v>
      </c>
      <c r="F82" t="s">
        <v>35</v>
      </c>
      <c r="G82" t="s">
        <v>369</v>
      </c>
      <c r="H82" s="17">
        <v>3164</v>
      </c>
      <c r="I82">
        <f>IF(TbRegistroSaídas[[#This Row],[Data do Caixa Realizado]]="",0,MONTH(TbRegistroSaídas[[#This Row],[Data do Caixa Realizado]]))</f>
        <v>4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48">
        <f>IF(TbRegistroSaídas[[#This Row],[Data do Caixa Previsto]]="",0,MONTH(TbRegistroSaídas[[#This Row],[Data do Caixa Previsto]]))</f>
        <v>4</v>
      </c>
      <c r="N82" s="48">
        <f>IF(TbRegistroSaídas[[#This Row],[Data do Caixa Previsto]]="",0,YEAR(TbRegistroSaídas[[#This Row],[Data do Caixa Previsto]]))</f>
        <v>2018</v>
      </c>
      <c r="O8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3" spans="2:15" x14ac:dyDescent="0.25">
      <c r="B83" s="14">
        <v>43228.717380772498</v>
      </c>
      <c r="C83" s="14">
        <v>43173</v>
      </c>
      <c r="D83" s="14">
        <v>43228.717380772498</v>
      </c>
      <c r="E83" t="s">
        <v>37</v>
      </c>
      <c r="F83" t="s">
        <v>35</v>
      </c>
      <c r="G83" t="s">
        <v>370</v>
      </c>
      <c r="H83" s="17">
        <v>3113</v>
      </c>
      <c r="I83">
        <f>IF(TbRegistroSaídas[[#This Row],[Data do Caixa Realizado]]="",0,MONTH(TbRegistroSaídas[[#This Row],[Data do Caixa Realizado]]))</f>
        <v>5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48">
        <f>IF(TbRegistroSaídas[[#This Row],[Data do Caixa Previsto]]="",0,MONTH(TbRegistroSaídas[[#This Row],[Data do Caixa Previsto]]))</f>
        <v>5</v>
      </c>
      <c r="N83" s="48">
        <f>IF(TbRegistroSaídas[[#This Row],[Data do Caixa Previsto]]="",0,YEAR(TbRegistroSaídas[[#This Row],[Data do Caixa Previsto]]))</f>
        <v>2018</v>
      </c>
      <c r="O8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4" spans="2:15" x14ac:dyDescent="0.25">
      <c r="B84" s="14">
        <v>43288.26904093464</v>
      </c>
      <c r="C84" s="14">
        <v>43176</v>
      </c>
      <c r="D84" s="14">
        <v>43201.571307437043</v>
      </c>
      <c r="E84" t="s">
        <v>37</v>
      </c>
      <c r="F84" t="s">
        <v>35</v>
      </c>
      <c r="G84" t="s">
        <v>371</v>
      </c>
      <c r="H84" s="17">
        <v>789</v>
      </c>
      <c r="I84">
        <f>IF(TbRegistroSaídas[[#This Row],[Data do Caixa Realizado]]="",0,MONTH(TbRegistroSaídas[[#This Row],[Data do Caixa Realizado]]))</f>
        <v>7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48">
        <f>IF(TbRegistroSaídas[[#This Row],[Data do Caixa Previsto]]="",0,MONTH(TbRegistroSaídas[[#This Row],[Data do Caixa Previsto]]))</f>
        <v>4</v>
      </c>
      <c r="N84" s="48">
        <f>IF(TbRegistroSaídas[[#This Row],[Data do Caixa Previsto]]="",0,YEAR(TbRegistroSaídas[[#This Row],[Data do Caixa Previsto]]))</f>
        <v>2018</v>
      </c>
      <c r="O8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86.697733497596346</v>
      </c>
    </row>
    <row r="85" spans="2:15" x14ac:dyDescent="0.25">
      <c r="B85" s="14">
        <v>43191.559855343337</v>
      </c>
      <c r="C85" s="14">
        <v>43180</v>
      </c>
      <c r="D85" s="14">
        <v>43191.559855343337</v>
      </c>
      <c r="E85" t="s">
        <v>37</v>
      </c>
      <c r="F85" t="s">
        <v>35</v>
      </c>
      <c r="G85" t="s">
        <v>372</v>
      </c>
      <c r="H85" s="17">
        <v>3521</v>
      </c>
      <c r="I85">
        <f>IF(TbRegistroSaídas[[#This Row],[Data do Caixa Realizado]]="",0,MONTH(TbRegistroSaídas[[#This Row],[Data do Caixa Realizado]]))</f>
        <v>4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48">
        <f>IF(TbRegistroSaídas[[#This Row],[Data do Caixa Previsto]]="",0,MONTH(TbRegistroSaídas[[#This Row],[Data do Caixa Previsto]]))</f>
        <v>4</v>
      </c>
      <c r="N85" s="48">
        <f>IF(TbRegistroSaídas[[#This Row],[Data do Caixa Previsto]]="",0,YEAR(TbRegistroSaídas[[#This Row],[Data do Caixa Previsto]]))</f>
        <v>2018</v>
      </c>
      <c r="O8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6" spans="2:15" x14ac:dyDescent="0.25">
      <c r="B86" s="14">
        <v>43187.734676954671</v>
      </c>
      <c r="C86" s="14">
        <v>43183</v>
      </c>
      <c r="D86" s="14">
        <v>43187.734676954671</v>
      </c>
      <c r="E86" t="s">
        <v>37</v>
      </c>
      <c r="F86" t="s">
        <v>32</v>
      </c>
      <c r="G86" t="s">
        <v>373</v>
      </c>
      <c r="H86" s="17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48">
        <f>IF(TbRegistroSaídas[[#This Row],[Data do Caixa Previsto]]="",0,MONTH(TbRegistroSaídas[[#This Row],[Data do Caixa Previsto]]))</f>
        <v>3</v>
      </c>
      <c r="N86" s="48">
        <f>IF(TbRegistroSaídas[[#This Row],[Data do Caixa Previsto]]="",0,YEAR(TbRegistroSaídas[[#This Row],[Data do Caixa Previsto]]))</f>
        <v>2018</v>
      </c>
      <c r="O8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7" spans="2:15" x14ac:dyDescent="0.25">
      <c r="B87" s="14">
        <v>43223.623035835837</v>
      </c>
      <c r="C87" s="14">
        <v>43184</v>
      </c>
      <c r="D87" s="14">
        <v>43223.623035835837</v>
      </c>
      <c r="E87" t="s">
        <v>37</v>
      </c>
      <c r="F87" t="s">
        <v>32</v>
      </c>
      <c r="G87" t="s">
        <v>374</v>
      </c>
      <c r="H87" s="17">
        <v>1527</v>
      </c>
      <c r="I87">
        <f>IF(TbRegistroSaídas[[#This Row],[Data do Caixa Realizado]]="",0,MONTH(TbRegistroSaídas[[#This Row],[Data do Caixa Realizado]]))</f>
        <v>5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48">
        <f>IF(TbRegistroSaídas[[#This Row],[Data do Caixa Previsto]]="",0,MONTH(TbRegistroSaídas[[#This Row],[Data do Caixa Previsto]]))</f>
        <v>5</v>
      </c>
      <c r="N87" s="48">
        <f>IF(TbRegistroSaídas[[#This Row],[Data do Caixa Previsto]]="",0,YEAR(TbRegistroSaídas[[#This Row],[Data do Caixa Previsto]]))</f>
        <v>2018</v>
      </c>
      <c r="O8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8" spans="2:15" x14ac:dyDescent="0.25">
      <c r="B88" s="14">
        <v>43234.522556233635</v>
      </c>
      <c r="C88" s="14">
        <v>43191</v>
      </c>
      <c r="D88" s="14">
        <v>43234.522556233635</v>
      </c>
      <c r="E88" t="s">
        <v>37</v>
      </c>
      <c r="F88" t="s">
        <v>31</v>
      </c>
      <c r="G88" t="s">
        <v>375</v>
      </c>
      <c r="H88" s="17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48">
        <f>IF(TbRegistroSaídas[[#This Row],[Data do Caixa Previsto]]="",0,MONTH(TbRegistroSaídas[[#This Row],[Data do Caixa Previsto]]))</f>
        <v>5</v>
      </c>
      <c r="N88" s="48">
        <f>IF(TbRegistroSaídas[[#This Row],[Data do Caixa Previsto]]="",0,YEAR(TbRegistroSaídas[[#This Row],[Data do Caixa Previsto]]))</f>
        <v>2018</v>
      </c>
      <c r="O8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89" spans="2:15" x14ac:dyDescent="0.25">
      <c r="B89" s="14">
        <v>43202.116934975762</v>
      </c>
      <c r="C89" s="14">
        <v>43193</v>
      </c>
      <c r="D89" s="14">
        <v>43202.116934975762</v>
      </c>
      <c r="E89" t="s">
        <v>37</v>
      </c>
      <c r="F89" t="s">
        <v>31</v>
      </c>
      <c r="G89" t="s">
        <v>376</v>
      </c>
      <c r="H89" s="17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48">
        <f>IF(TbRegistroSaídas[[#This Row],[Data do Caixa Previsto]]="",0,MONTH(TbRegistroSaídas[[#This Row],[Data do Caixa Previsto]]))</f>
        <v>4</v>
      </c>
      <c r="N89" s="48">
        <f>IF(TbRegistroSaídas[[#This Row],[Data do Caixa Previsto]]="",0,YEAR(TbRegistroSaídas[[#This Row],[Data do Caixa Previsto]]))</f>
        <v>2018</v>
      </c>
      <c r="O8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0" spans="2:15" x14ac:dyDescent="0.25">
      <c r="B90" s="14">
        <v>43220.080853168562</v>
      </c>
      <c r="C90" s="14">
        <v>43195</v>
      </c>
      <c r="D90" s="14">
        <v>43215.697364070438</v>
      </c>
      <c r="E90" t="s">
        <v>37</v>
      </c>
      <c r="F90" t="s">
        <v>31</v>
      </c>
      <c r="G90" t="s">
        <v>377</v>
      </c>
      <c r="H90" s="17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48">
        <f>IF(TbRegistroSaídas[[#This Row],[Data do Caixa Previsto]]="",0,MONTH(TbRegistroSaídas[[#This Row],[Data do Caixa Previsto]]))</f>
        <v>4</v>
      </c>
      <c r="N90" s="48">
        <f>IF(TbRegistroSaídas[[#This Row],[Data do Caixa Previsto]]="",0,YEAR(TbRegistroSaídas[[#This Row],[Data do Caixa Previsto]]))</f>
        <v>2018</v>
      </c>
      <c r="O9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4.3834890981233912</v>
      </c>
    </row>
    <row r="91" spans="2:15" x14ac:dyDescent="0.25">
      <c r="B91" s="14">
        <v>43221.571171062293</v>
      </c>
      <c r="C91" s="14">
        <v>43196</v>
      </c>
      <c r="D91" s="14">
        <v>43221.571171062293</v>
      </c>
      <c r="E91" t="s">
        <v>37</v>
      </c>
      <c r="F91" t="s">
        <v>31</v>
      </c>
      <c r="G91" t="s">
        <v>378</v>
      </c>
      <c r="H91" s="17">
        <v>1144</v>
      </c>
      <c r="I91">
        <f>IF(TbRegistroSaídas[[#This Row],[Data do Caixa Realizado]]="",0,MONTH(TbRegistroSaídas[[#This Row],[Data do Caixa Realizado]]))</f>
        <v>5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48">
        <f>IF(TbRegistroSaídas[[#This Row],[Data do Caixa Previsto]]="",0,MONTH(TbRegistroSaídas[[#This Row],[Data do Caixa Previsto]]))</f>
        <v>5</v>
      </c>
      <c r="N91" s="48">
        <f>IF(TbRegistroSaídas[[#This Row],[Data do Caixa Previsto]]="",0,YEAR(TbRegistroSaídas[[#This Row],[Data do Caixa Previsto]]))</f>
        <v>2018</v>
      </c>
      <c r="O9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2" spans="2:15" x14ac:dyDescent="0.25">
      <c r="B92" s="14">
        <v>43240.686796046153</v>
      </c>
      <c r="C92" s="14">
        <v>43200</v>
      </c>
      <c r="D92" s="14">
        <v>43240.686796046153</v>
      </c>
      <c r="E92" t="s">
        <v>37</v>
      </c>
      <c r="F92" t="s">
        <v>31</v>
      </c>
      <c r="G92" t="s">
        <v>379</v>
      </c>
      <c r="H92" s="17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48">
        <f>IF(TbRegistroSaídas[[#This Row],[Data do Caixa Previsto]]="",0,MONTH(TbRegistroSaídas[[#This Row],[Data do Caixa Previsto]]))</f>
        <v>5</v>
      </c>
      <c r="N92" s="48">
        <f>IF(TbRegistroSaídas[[#This Row],[Data do Caixa Previsto]]="",0,YEAR(TbRegistroSaídas[[#This Row],[Data do Caixa Previsto]]))</f>
        <v>2018</v>
      </c>
      <c r="O9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3" spans="2:15" x14ac:dyDescent="0.25">
      <c r="B93" s="14">
        <v>43290.30848134488</v>
      </c>
      <c r="C93" s="14">
        <v>43206</v>
      </c>
      <c r="D93" s="14">
        <v>43209.120587233294</v>
      </c>
      <c r="E93" t="s">
        <v>37</v>
      </c>
      <c r="F93" t="s">
        <v>31</v>
      </c>
      <c r="G93" t="s">
        <v>380</v>
      </c>
      <c r="H93" s="17">
        <v>3445</v>
      </c>
      <c r="I93">
        <f>IF(TbRegistroSaídas[[#This Row],[Data do Caixa Realizado]]="",0,MONTH(TbRegistroSaídas[[#This Row],[Data do Caixa Realizado]]))</f>
        <v>7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48">
        <f>IF(TbRegistroSaídas[[#This Row],[Data do Caixa Previsto]]="",0,MONTH(TbRegistroSaídas[[#This Row],[Data do Caixa Previsto]]))</f>
        <v>4</v>
      </c>
      <c r="N93" s="48">
        <f>IF(TbRegistroSaídas[[#This Row],[Data do Caixa Previsto]]="",0,YEAR(TbRegistroSaídas[[#This Row],[Data do Caixa Previsto]]))</f>
        <v>2018</v>
      </c>
      <c r="O9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81.187894111586502</v>
      </c>
    </row>
    <row r="94" spans="2:15" x14ac:dyDescent="0.25">
      <c r="B94" s="14">
        <v>43222.305289041076</v>
      </c>
      <c r="C94" s="14">
        <v>43212</v>
      </c>
      <c r="D94" s="14">
        <v>43222.305289041076</v>
      </c>
      <c r="E94" t="s">
        <v>37</v>
      </c>
      <c r="F94" t="s">
        <v>31</v>
      </c>
      <c r="G94" t="s">
        <v>381</v>
      </c>
      <c r="H94" s="17">
        <v>1996</v>
      </c>
      <c r="I94">
        <f>IF(TbRegistroSaídas[[#This Row],[Data do Caixa Realizado]]="",0,MONTH(TbRegistroSaídas[[#This Row],[Data do Caixa Realizado]]))</f>
        <v>5</v>
      </c>
      <c r="J94">
        <f>IF(TbRegistroSaídas[[#This Row],[Data do Caixa Realizado]]="",0,YEAR(TbRegistroSaídas[[#This Row],[Data do Caixa Realizado]]))</f>
        <v>2018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48">
        <f>IF(TbRegistroSaídas[[#This Row],[Data do Caixa Previsto]]="",0,MONTH(TbRegistroSaídas[[#This Row],[Data do Caixa Previsto]]))</f>
        <v>5</v>
      </c>
      <c r="N94" s="48">
        <f>IF(TbRegistroSaídas[[#This Row],[Data do Caixa Previsto]]="",0,YEAR(TbRegistroSaídas[[#This Row],[Data do Caixa Previsto]]))</f>
        <v>2018</v>
      </c>
      <c r="O9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5" spans="2:15" x14ac:dyDescent="0.25">
      <c r="B95" s="14">
        <v>43232.768700738379</v>
      </c>
      <c r="C95" s="14">
        <v>43218</v>
      </c>
      <c r="D95" s="14">
        <v>43232.768700738379</v>
      </c>
      <c r="E95" t="s">
        <v>37</v>
      </c>
      <c r="F95" t="s">
        <v>31</v>
      </c>
      <c r="G95" t="s">
        <v>382</v>
      </c>
      <c r="H95" s="17">
        <v>1254</v>
      </c>
      <c r="I95">
        <f>IF(TbRegistroSaídas[[#This Row],[Data do Caixa Realizado]]="",0,MONTH(TbRegistroSaídas[[#This Row],[Data do Caixa Realizado]]))</f>
        <v>5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48">
        <f>IF(TbRegistroSaídas[[#This Row],[Data do Caixa Previsto]]="",0,MONTH(TbRegistroSaídas[[#This Row],[Data do Caixa Previsto]]))</f>
        <v>5</v>
      </c>
      <c r="N95" s="48">
        <f>IF(TbRegistroSaídas[[#This Row],[Data do Caixa Previsto]]="",0,YEAR(TbRegistroSaídas[[#This Row],[Data do Caixa Previsto]]))</f>
        <v>2018</v>
      </c>
      <c r="O9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6" spans="2:15" x14ac:dyDescent="0.25">
      <c r="B96" s="14">
        <v>43241.145893950612</v>
      </c>
      <c r="C96" s="14">
        <v>43219</v>
      </c>
      <c r="D96" s="14">
        <v>43223.806256091018</v>
      </c>
      <c r="E96" t="s">
        <v>37</v>
      </c>
      <c r="F96" t="s">
        <v>31</v>
      </c>
      <c r="G96" t="s">
        <v>383</v>
      </c>
      <c r="H96" s="17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48">
        <f>IF(TbRegistroSaídas[[#This Row],[Data do Caixa Previsto]]="",0,MONTH(TbRegistroSaídas[[#This Row],[Data do Caixa Previsto]]))</f>
        <v>5</v>
      </c>
      <c r="N96" s="48">
        <f>IF(TbRegistroSaídas[[#This Row],[Data do Caixa Previsto]]="",0,YEAR(TbRegistroSaídas[[#This Row],[Data do Caixa Previsto]]))</f>
        <v>2018</v>
      </c>
      <c r="O9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17.339637859593495</v>
      </c>
    </row>
    <row r="97" spans="2:15" x14ac:dyDescent="0.25">
      <c r="B97" s="14">
        <v>43251.616600040084</v>
      </c>
      <c r="C97" s="14">
        <v>43222</v>
      </c>
      <c r="D97" s="14">
        <v>43251.616600040084</v>
      </c>
      <c r="E97" t="s">
        <v>37</v>
      </c>
      <c r="F97" t="s">
        <v>31</v>
      </c>
      <c r="G97" t="s">
        <v>384</v>
      </c>
      <c r="H97" s="17">
        <v>2975</v>
      </c>
      <c r="I97">
        <f>IF(TbRegistroSaídas[[#This Row],[Data do Caixa Realizado]]="",0,MONTH(TbRegistroSaídas[[#This Row],[Data do Caixa Realizado]]))</f>
        <v>5</v>
      </c>
      <c r="J97">
        <f>IF(TbRegistroSaídas[[#This Row],[Data do Caixa Realizado]]="",0,YEAR(TbRegistroSaídas[[#This Row],[Data do Caixa Realizado]]))</f>
        <v>2018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48">
        <f>IF(TbRegistroSaídas[[#This Row],[Data do Caixa Previsto]]="",0,MONTH(TbRegistroSaídas[[#This Row],[Data do Caixa Previsto]]))</f>
        <v>5</v>
      </c>
      <c r="N97" s="48">
        <f>IF(TbRegistroSaídas[[#This Row],[Data do Caixa Previsto]]="",0,YEAR(TbRegistroSaídas[[#This Row],[Data do Caixa Previsto]]))</f>
        <v>2018</v>
      </c>
      <c r="O9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8" spans="2:15" x14ac:dyDescent="0.25">
      <c r="B98" s="14">
        <v>43228.679133753983</v>
      </c>
      <c r="C98" s="14">
        <v>43223</v>
      </c>
      <c r="D98" s="14">
        <v>43228.679133753983</v>
      </c>
      <c r="E98" t="s">
        <v>37</v>
      </c>
      <c r="F98" t="s">
        <v>31</v>
      </c>
      <c r="G98" t="s">
        <v>385</v>
      </c>
      <c r="H98" s="17">
        <v>4807</v>
      </c>
      <c r="I98">
        <f>IF(TbRegistroSaídas[[#This Row],[Data do Caixa Realizado]]="",0,MONTH(TbRegistroSaídas[[#This Row],[Data do Caixa Realizado]]))</f>
        <v>5</v>
      </c>
      <c r="J98">
        <f>IF(TbRegistroSaídas[[#This Row],[Data do Caixa Realizado]]="",0,YEAR(TbRegistroSaídas[[#This Row],[Data do Caixa Realizado]]))</f>
        <v>2018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48">
        <f>IF(TbRegistroSaídas[[#This Row],[Data do Caixa Previsto]]="",0,MONTH(TbRegistroSaídas[[#This Row],[Data do Caixa Previsto]]))</f>
        <v>5</v>
      </c>
      <c r="N98" s="48">
        <f>IF(TbRegistroSaídas[[#This Row],[Data do Caixa Previsto]]="",0,YEAR(TbRegistroSaídas[[#This Row],[Data do Caixa Previsto]]))</f>
        <v>2018</v>
      </c>
      <c r="O9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99" spans="2:15" x14ac:dyDescent="0.25">
      <c r="B99" s="14">
        <v>43264.296949259209</v>
      </c>
      <c r="C99" s="14">
        <v>43230</v>
      </c>
      <c r="D99" s="14">
        <v>43264.296949259209</v>
      </c>
      <c r="E99" t="s">
        <v>37</v>
      </c>
      <c r="F99" t="s">
        <v>31</v>
      </c>
      <c r="G99" t="s">
        <v>386</v>
      </c>
      <c r="H99" s="17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48">
        <f>IF(TbRegistroSaídas[[#This Row],[Data do Caixa Previsto]]="",0,MONTH(TbRegistroSaídas[[#This Row],[Data do Caixa Previsto]]))</f>
        <v>6</v>
      </c>
      <c r="N99" s="48">
        <f>IF(TbRegistroSaídas[[#This Row],[Data do Caixa Previsto]]="",0,YEAR(TbRegistroSaídas[[#This Row],[Data do Caixa Previsto]]))</f>
        <v>2018</v>
      </c>
      <c r="O9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0" spans="2:15" x14ac:dyDescent="0.25">
      <c r="B100" s="14">
        <v>43278.791757178202</v>
      </c>
      <c r="C100" s="14">
        <v>43235</v>
      </c>
      <c r="D100" s="14">
        <v>43278.791757178202</v>
      </c>
      <c r="E100" t="s">
        <v>37</v>
      </c>
      <c r="F100" t="s">
        <v>44</v>
      </c>
      <c r="G100" t="s">
        <v>387</v>
      </c>
      <c r="H100" s="17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48">
        <f>IF(TbRegistroSaídas[[#This Row],[Data do Caixa Previsto]]="",0,MONTH(TbRegistroSaídas[[#This Row],[Data do Caixa Previsto]]))</f>
        <v>6</v>
      </c>
      <c r="N100" s="48">
        <f>IF(TbRegistroSaídas[[#This Row],[Data do Caixa Previsto]]="",0,YEAR(TbRegistroSaídas[[#This Row],[Data do Caixa Previsto]]))</f>
        <v>2018</v>
      </c>
      <c r="O10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1" spans="2:15" x14ac:dyDescent="0.25">
      <c r="B101" s="14" t="s">
        <v>74</v>
      </c>
      <c r="C101" s="14">
        <v>43238</v>
      </c>
      <c r="D101" s="14">
        <v>43253.101312636762</v>
      </c>
      <c r="E101" t="s">
        <v>37</v>
      </c>
      <c r="F101" t="s">
        <v>44</v>
      </c>
      <c r="G101" t="s">
        <v>388</v>
      </c>
      <c r="H101" s="17">
        <v>701</v>
      </c>
      <c r="I101">
        <f>IF(TbRegistroSaídas[[#This Row],[Data do Caixa Realizado]]="",0,MONTH(TbRegistroSaídas[[#This Row],[Data do Caixa Realizado]]))</f>
        <v>0</v>
      </c>
      <c r="J101">
        <f>IF(TbRegistroSaídas[[#This Row],[Data do Caixa Realizado]]="",0,YEAR(TbRegistroSaídas[[#This Row],[Data do Caixa Realizado]]))</f>
        <v>0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48">
        <f>IF(TbRegistroSaídas[[#This Row],[Data do Caixa Previsto]]="",0,MONTH(TbRegistroSaídas[[#This Row],[Data do Caixa Previsto]]))</f>
        <v>6</v>
      </c>
      <c r="N101" s="48">
        <f>IF(TbRegistroSaídas[[#This Row],[Data do Caixa Previsto]]="",0,YEAR(TbRegistroSaídas[[#This Row],[Data do Caixa Previsto]]))</f>
        <v>2018</v>
      </c>
      <c r="O10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2562.8986873632384</v>
      </c>
    </row>
    <row r="102" spans="2:15" x14ac:dyDescent="0.25">
      <c r="B102" s="14">
        <v>43278.250305144895</v>
      </c>
      <c r="C102" s="14">
        <v>43239</v>
      </c>
      <c r="D102" s="14">
        <v>43278.250305144895</v>
      </c>
      <c r="E102" t="s">
        <v>37</v>
      </c>
      <c r="F102" t="s">
        <v>44</v>
      </c>
      <c r="G102" t="s">
        <v>389</v>
      </c>
      <c r="H102" s="17">
        <v>2651</v>
      </c>
      <c r="I102">
        <f>IF(TbRegistroSaídas[[#This Row],[Data do Caixa Realizado]]="",0,MONTH(TbRegistroSaídas[[#This Row],[Data do Caixa Realizado]]))</f>
        <v>6</v>
      </c>
      <c r="J102">
        <f>IF(TbRegistroSaídas[[#This Row],[Data do Caixa Realizado]]="",0,YEAR(TbRegistroSaídas[[#This Row],[Data do Caixa Realizado]]))</f>
        <v>2018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48">
        <f>IF(TbRegistroSaídas[[#This Row],[Data do Caixa Previsto]]="",0,MONTH(TbRegistroSaídas[[#This Row],[Data do Caixa Previsto]]))</f>
        <v>6</v>
      </c>
      <c r="N102" s="48">
        <f>IF(TbRegistroSaídas[[#This Row],[Data do Caixa Previsto]]="",0,YEAR(TbRegistroSaídas[[#This Row],[Data do Caixa Previsto]]))</f>
        <v>2018</v>
      </c>
      <c r="O10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3" spans="2:15" x14ac:dyDescent="0.25">
      <c r="B103" s="14">
        <v>43350.331612666698</v>
      </c>
      <c r="C103" s="14">
        <v>43246</v>
      </c>
      <c r="D103" s="14">
        <v>43282.817543595353</v>
      </c>
      <c r="E103" t="s">
        <v>37</v>
      </c>
      <c r="F103" t="s">
        <v>44</v>
      </c>
      <c r="G103" t="s">
        <v>390</v>
      </c>
      <c r="H103" s="17">
        <v>3792</v>
      </c>
      <c r="I103">
        <f>IF(TbRegistroSaídas[[#This Row],[Data do Caixa Realizado]]="",0,MONTH(TbRegistroSaídas[[#This Row],[Data do Caixa Realizado]]))</f>
        <v>9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48">
        <f>IF(TbRegistroSaídas[[#This Row],[Data do Caixa Previsto]]="",0,MONTH(TbRegistroSaídas[[#This Row],[Data do Caixa Previsto]]))</f>
        <v>7</v>
      </c>
      <c r="N103" s="48">
        <f>IF(TbRegistroSaídas[[#This Row],[Data do Caixa Previsto]]="",0,YEAR(TbRegistroSaídas[[#This Row],[Data do Caixa Previsto]]))</f>
        <v>2018</v>
      </c>
      <c r="O10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67.514069071345148</v>
      </c>
    </row>
    <row r="104" spans="2:15" x14ac:dyDescent="0.25">
      <c r="B104" s="14">
        <v>43334.039973021354</v>
      </c>
      <c r="C104" s="14">
        <v>43248</v>
      </c>
      <c r="D104" s="14">
        <v>43306.553383849692</v>
      </c>
      <c r="E104" t="s">
        <v>37</v>
      </c>
      <c r="F104" t="s">
        <v>44</v>
      </c>
      <c r="G104" t="s">
        <v>391</v>
      </c>
      <c r="H104" s="17">
        <v>611</v>
      </c>
      <c r="I104">
        <f>IF(TbRegistroSaídas[[#This Row],[Data do Caixa Realizado]]="",0,MONTH(TbRegistroSaídas[[#This Row],[Data do Caixa Realizado]]))</f>
        <v>8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48">
        <f>IF(TbRegistroSaídas[[#This Row],[Data do Caixa Previsto]]="",0,MONTH(TbRegistroSaídas[[#This Row],[Data do Caixa Previsto]]))</f>
        <v>7</v>
      </c>
      <c r="N104" s="48">
        <f>IF(TbRegistroSaídas[[#This Row],[Data do Caixa Previsto]]="",0,YEAR(TbRegistroSaídas[[#This Row],[Data do Caixa Previsto]]))</f>
        <v>2018</v>
      </c>
      <c r="O10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27.486589171661763</v>
      </c>
    </row>
    <row r="105" spans="2:15" x14ac:dyDescent="0.25">
      <c r="B105" s="14">
        <v>43292.621992013512</v>
      </c>
      <c r="C105" s="14">
        <v>43251</v>
      </c>
      <c r="D105" s="14">
        <v>43292.621992013512</v>
      </c>
      <c r="E105" t="s">
        <v>37</v>
      </c>
      <c r="F105" t="s">
        <v>44</v>
      </c>
      <c r="G105" t="s">
        <v>392</v>
      </c>
      <c r="H105" s="17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48">
        <f>IF(TbRegistroSaídas[[#This Row],[Data do Caixa Previsto]]="",0,MONTH(TbRegistroSaídas[[#This Row],[Data do Caixa Previsto]]))</f>
        <v>7</v>
      </c>
      <c r="N105" s="48">
        <f>IF(TbRegistroSaídas[[#This Row],[Data do Caixa Previsto]]="",0,YEAR(TbRegistroSaídas[[#This Row],[Data do Caixa Previsto]]))</f>
        <v>2018</v>
      </c>
      <c r="O10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6" spans="2:15" x14ac:dyDescent="0.25">
      <c r="B106" s="14">
        <v>43279.068040624879</v>
      </c>
      <c r="C106" s="14">
        <v>43253</v>
      </c>
      <c r="D106" s="14">
        <v>43279.068040624879</v>
      </c>
      <c r="E106" t="s">
        <v>37</v>
      </c>
      <c r="F106" t="s">
        <v>44</v>
      </c>
      <c r="G106" t="s">
        <v>393</v>
      </c>
      <c r="H106" s="17">
        <v>3670</v>
      </c>
      <c r="I106">
        <f>IF(TbRegistroSaídas[[#This Row],[Data do Caixa Realizado]]="",0,MONTH(TbRegistroSaídas[[#This Row],[Data do Caixa Realizado]]))</f>
        <v>6</v>
      </c>
      <c r="J106">
        <f>IF(TbRegistroSaídas[[#This Row],[Data do Caixa Realizado]]="",0,YEAR(TbRegistroSaídas[[#This Row],[Data do Caixa Realizado]]))</f>
        <v>2018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48">
        <f>IF(TbRegistroSaídas[[#This Row],[Data do Caixa Previsto]]="",0,MONTH(TbRegistroSaídas[[#This Row],[Data do Caixa Previsto]]))</f>
        <v>6</v>
      </c>
      <c r="N106" s="48">
        <f>IF(TbRegistroSaídas[[#This Row],[Data do Caixa Previsto]]="",0,YEAR(TbRegistroSaídas[[#This Row],[Data do Caixa Previsto]]))</f>
        <v>2018</v>
      </c>
      <c r="O10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7" spans="2:15" x14ac:dyDescent="0.25">
      <c r="B107" s="14">
        <v>43259.6666754662</v>
      </c>
      <c r="C107" s="14">
        <v>43255</v>
      </c>
      <c r="D107" s="14">
        <v>43259.6666754662</v>
      </c>
      <c r="E107" t="s">
        <v>37</v>
      </c>
      <c r="F107" t="s">
        <v>44</v>
      </c>
      <c r="G107" t="s">
        <v>394</v>
      </c>
      <c r="H107" s="17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48">
        <f>IF(TbRegistroSaídas[[#This Row],[Data do Caixa Previsto]]="",0,MONTH(TbRegistroSaídas[[#This Row],[Data do Caixa Previsto]]))</f>
        <v>6</v>
      </c>
      <c r="N107" s="48">
        <f>IF(TbRegistroSaídas[[#This Row],[Data do Caixa Previsto]]="",0,YEAR(TbRegistroSaídas[[#This Row],[Data do Caixa Previsto]]))</f>
        <v>2018</v>
      </c>
      <c r="O10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8" spans="2:15" x14ac:dyDescent="0.25">
      <c r="B108" s="14">
        <v>43282.67946727157</v>
      </c>
      <c r="C108" s="14">
        <v>43256</v>
      </c>
      <c r="D108" s="14">
        <v>43282.67946727157</v>
      </c>
      <c r="E108" t="s">
        <v>37</v>
      </c>
      <c r="F108" t="s">
        <v>44</v>
      </c>
      <c r="G108" t="s">
        <v>395</v>
      </c>
      <c r="H108" s="17">
        <v>1809</v>
      </c>
      <c r="I108">
        <f>IF(TbRegistroSaídas[[#This Row],[Data do Caixa Realizado]]="",0,MONTH(TbRegistroSaídas[[#This Row],[Data do Caixa Realizado]]))</f>
        <v>7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48">
        <f>IF(TbRegistroSaídas[[#This Row],[Data do Caixa Previsto]]="",0,MONTH(TbRegistroSaídas[[#This Row],[Data do Caixa Previsto]]))</f>
        <v>7</v>
      </c>
      <c r="N108" s="48">
        <f>IF(TbRegistroSaídas[[#This Row],[Data do Caixa Previsto]]="",0,YEAR(TbRegistroSaídas[[#This Row],[Data do Caixa Previsto]]))</f>
        <v>2018</v>
      </c>
      <c r="O10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09" spans="2:15" x14ac:dyDescent="0.25">
      <c r="B109" s="14">
        <v>43306.811336210056</v>
      </c>
      <c r="C109" s="14">
        <v>43258</v>
      </c>
      <c r="D109" s="14">
        <v>43306.811336210056</v>
      </c>
      <c r="E109" t="s">
        <v>37</v>
      </c>
      <c r="F109" t="s">
        <v>44</v>
      </c>
      <c r="G109" t="s">
        <v>396</v>
      </c>
      <c r="H109" s="17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48">
        <f>IF(TbRegistroSaídas[[#This Row],[Data do Caixa Previsto]]="",0,MONTH(TbRegistroSaídas[[#This Row],[Data do Caixa Previsto]]))</f>
        <v>7</v>
      </c>
      <c r="N109" s="48">
        <f>IF(TbRegistroSaídas[[#This Row],[Data do Caixa Previsto]]="",0,YEAR(TbRegistroSaídas[[#This Row],[Data do Caixa Previsto]]))</f>
        <v>2018</v>
      </c>
      <c r="O10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0" spans="2:15" x14ac:dyDescent="0.25">
      <c r="B110" s="14">
        <v>43269.791763204586</v>
      </c>
      <c r="C110" s="14">
        <v>43262</v>
      </c>
      <c r="D110" s="14">
        <v>43269.791763204586</v>
      </c>
      <c r="E110" t="s">
        <v>37</v>
      </c>
      <c r="F110" t="s">
        <v>32</v>
      </c>
      <c r="G110" t="s">
        <v>397</v>
      </c>
      <c r="H110" s="17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48">
        <f>IF(TbRegistroSaídas[[#This Row],[Data do Caixa Previsto]]="",0,MONTH(TbRegistroSaídas[[#This Row],[Data do Caixa Previsto]]))</f>
        <v>6</v>
      </c>
      <c r="N110" s="48">
        <f>IF(TbRegistroSaídas[[#This Row],[Data do Caixa Previsto]]="",0,YEAR(TbRegistroSaídas[[#This Row],[Data do Caixa Previsto]]))</f>
        <v>2018</v>
      </c>
      <c r="O11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1" spans="2:15" x14ac:dyDescent="0.25">
      <c r="B111" s="14">
        <v>43309.241793705783</v>
      </c>
      <c r="C111" s="14">
        <v>43268</v>
      </c>
      <c r="D111" s="14">
        <v>43309.241793705783</v>
      </c>
      <c r="E111" t="s">
        <v>37</v>
      </c>
      <c r="F111" t="s">
        <v>32</v>
      </c>
      <c r="G111" t="s">
        <v>398</v>
      </c>
      <c r="H111" s="17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48">
        <f>IF(TbRegistroSaídas[[#This Row],[Data do Caixa Previsto]]="",0,MONTH(TbRegistroSaídas[[#This Row],[Data do Caixa Previsto]]))</f>
        <v>7</v>
      </c>
      <c r="N111" s="48">
        <f>IF(TbRegistroSaídas[[#This Row],[Data do Caixa Previsto]]="",0,YEAR(TbRegistroSaídas[[#This Row],[Data do Caixa Previsto]]))</f>
        <v>2018</v>
      </c>
      <c r="O11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2" spans="2:15" x14ac:dyDescent="0.25">
      <c r="B112" s="14">
        <v>43328.010321588059</v>
      </c>
      <c r="C112" s="14">
        <v>43271</v>
      </c>
      <c r="D112" s="14">
        <v>43328.010321588059</v>
      </c>
      <c r="E112" t="s">
        <v>37</v>
      </c>
      <c r="F112" t="s">
        <v>32</v>
      </c>
      <c r="G112" t="s">
        <v>399</v>
      </c>
      <c r="H112" s="17">
        <v>3672</v>
      </c>
      <c r="I112">
        <f>IF(TbRegistroSaídas[[#This Row],[Data do Caixa Realizado]]="",0,MONTH(TbRegistroSaídas[[#This Row],[Data do Caixa Realizado]]))</f>
        <v>8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48">
        <f>IF(TbRegistroSaídas[[#This Row],[Data do Caixa Previsto]]="",0,MONTH(TbRegistroSaídas[[#This Row],[Data do Caixa Previsto]]))</f>
        <v>8</v>
      </c>
      <c r="N112" s="48">
        <f>IF(TbRegistroSaídas[[#This Row],[Data do Caixa Previsto]]="",0,YEAR(TbRegistroSaídas[[#This Row],[Data do Caixa Previsto]]))</f>
        <v>2018</v>
      </c>
      <c r="O11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3" spans="2:15" x14ac:dyDescent="0.25">
      <c r="B113" s="14">
        <v>43329.109711177305</v>
      </c>
      <c r="C113" s="14">
        <v>43277</v>
      </c>
      <c r="D113" s="14">
        <v>43288.040879967026</v>
      </c>
      <c r="E113" t="s">
        <v>37</v>
      </c>
      <c r="F113" t="s">
        <v>32</v>
      </c>
      <c r="G113" t="s">
        <v>400</v>
      </c>
      <c r="H113" s="17">
        <v>658</v>
      </c>
      <c r="I113">
        <f>IF(TbRegistroSaídas[[#This Row],[Data do Caixa Realizado]]="",0,MONTH(TbRegistroSaídas[[#This Row],[Data do Caixa Realizado]]))</f>
        <v>8</v>
      </c>
      <c r="J113">
        <f>IF(TbRegistroSaídas[[#This Row],[Data do Caixa Realizado]]="",0,YEAR(TbRegistroSaídas[[#This Row],[Data do Caixa Realizado]]))</f>
        <v>2018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48">
        <f>IF(TbRegistroSaídas[[#This Row],[Data do Caixa Previsto]]="",0,MONTH(TbRegistroSaídas[[#This Row],[Data do Caixa Previsto]]))</f>
        <v>7</v>
      </c>
      <c r="N113" s="48">
        <f>IF(TbRegistroSaídas[[#This Row],[Data do Caixa Previsto]]="",0,YEAR(TbRegistroSaídas[[#This Row],[Data do Caixa Previsto]]))</f>
        <v>2018</v>
      </c>
      <c r="O11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41.068831210279313</v>
      </c>
    </row>
    <row r="114" spans="2:15" x14ac:dyDescent="0.25">
      <c r="B114" s="14">
        <v>43336.432893175937</v>
      </c>
      <c r="C114" s="14">
        <v>43280</v>
      </c>
      <c r="D114" s="14">
        <v>43336.432893175937</v>
      </c>
      <c r="E114" t="s">
        <v>37</v>
      </c>
      <c r="F114" t="s">
        <v>32</v>
      </c>
      <c r="G114" t="s">
        <v>401</v>
      </c>
      <c r="H114" s="17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48">
        <f>IF(TbRegistroSaídas[[#This Row],[Data do Caixa Previsto]]="",0,MONTH(TbRegistroSaídas[[#This Row],[Data do Caixa Previsto]]))</f>
        <v>8</v>
      </c>
      <c r="N114" s="48">
        <f>IF(TbRegistroSaídas[[#This Row],[Data do Caixa Previsto]]="",0,YEAR(TbRegistroSaídas[[#This Row],[Data do Caixa Previsto]]))</f>
        <v>2018</v>
      </c>
      <c r="O11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5" spans="2:15" x14ac:dyDescent="0.25">
      <c r="B115" s="14">
        <v>43290.700268540626</v>
      </c>
      <c r="C115" s="14">
        <v>43283</v>
      </c>
      <c r="D115" s="14">
        <v>43290.700268540626</v>
      </c>
      <c r="E115" t="s">
        <v>37</v>
      </c>
      <c r="F115" t="s">
        <v>32</v>
      </c>
      <c r="G115" t="s">
        <v>402</v>
      </c>
      <c r="H115" s="17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48">
        <f>IF(TbRegistroSaídas[[#This Row],[Data do Caixa Previsto]]="",0,MONTH(TbRegistroSaídas[[#This Row],[Data do Caixa Previsto]]))</f>
        <v>7</v>
      </c>
      <c r="N115" s="48">
        <f>IF(TbRegistroSaídas[[#This Row],[Data do Caixa Previsto]]="",0,YEAR(TbRegistroSaídas[[#This Row],[Data do Caixa Previsto]]))</f>
        <v>2018</v>
      </c>
      <c r="O11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6" spans="2:15" x14ac:dyDescent="0.25">
      <c r="B116" s="14">
        <v>43305.188654160578</v>
      </c>
      <c r="C116" s="14">
        <v>43284</v>
      </c>
      <c r="D116" s="14">
        <v>43305.188654160578</v>
      </c>
      <c r="E116" t="s">
        <v>37</v>
      </c>
      <c r="F116" t="s">
        <v>32</v>
      </c>
      <c r="G116" t="s">
        <v>403</v>
      </c>
      <c r="H116" s="17">
        <v>3411</v>
      </c>
      <c r="I116">
        <f>IF(TbRegistroSaídas[[#This Row],[Data do Caixa Realizado]]="",0,MONTH(TbRegistroSaídas[[#This Row],[Data do Caixa Realizado]]))</f>
        <v>7</v>
      </c>
      <c r="J116">
        <f>IF(TbRegistroSaídas[[#This Row],[Data do Caixa Realizado]]="",0,YEAR(TbRegistroSaídas[[#This Row],[Data do Caixa Realizado]]))</f>
        <v>2018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48">
        <f>IF(TbRegistroSaídas[[#This Row],[Data do Caixa Previsto]]="",0,MONTH(TbRegistroSaídas[[#This Row],[Data do Caixa Previsto]]))</f>
        <v>7</v>
      </c>
      <c r="N116" s="48">
        <f>IF(TbRegistroSaídas[[#This Row],[Data do Caixa Previsto]]="",0,YEAR(TbRegistroSaídas[[#This Row],[Data do Caixa Previsto]]))</f>
        <v>2018</v>
      </c>
      <c r="O11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7" spans="2:15" x14ac:dyDescent="0.25">
      <c r="B117" s="14">
        <v>43305.434626119764</v>
      </c>
      <c r="C117" s="14">
        <v>43289</v>
      </c>
      <c r="D117" s="14">
        <v>43305.434626119764</v>
      </c>
      <c r="E117" t="s">
        <v>37</v>
      </c>
      <c r="F117" t="s">
        <v>32</v>
      </c>
      <c r="G117" t="s">
        <v>404</v>
      </c>
      <c r="H117" s="17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48">
        <f>IF(TbRegistroSaídas[[#This Row],[Data do Caixa Previsto]]="",0,MONTH(TbRegistroSaídas[[#This Row],[Data do Caixa Previsto]]))</f>
        <v>7</v>
      </c>
      <c r="N117" s="48">
        <f>IF(TbRegistroSaídas[[#This Row],[Data do Caixa Previsto]]="",0,YEAR(TbRegistroSaídas[[#This Row],[Data do Caixa Previsto]]))</f>
        <v>2018</v>
      </c>
      <c r="O11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8" spans="2:15" x14ac:dyDescent="0.25">
      <c r="B118" s="14">
        <v>43313.176696691356</v>
      </c>
      <c r="C118" s="14">
        <v>43291</v>
      </c>
      <c r="D118" s="14">
        <v>43313.176696691356</v>
      </c>
      <c r="E118" t="s">
        <v>37</v>
      </c>
      <c r="F118" t="s">
        <v>35</v>
      </c>
      <c r="G118" t="s">
        <v>405</v>
      </c>
      <c r="H118" s="17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48">
        <f>IF(TbRegistroSaídas[[#This Row],[Data do Caixa Previsto]]="",0,MONTH(TbRegistroSaídas[[#This Row],[Data do Caixa Previsto]]))</f>
        <v>8</v>
      </c>
      <c r="N118" s="48">
        <f>IF(TbRegistroSaídas[[#This Row],[Data do Caixa Previsto]]="",0,YEAR(TbRegistroSaídas[[#This Row],[Data do Caixa Previsto]]))</f>
        <v>2018</v>
      </c>
      <c r="O11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19" spans="2:15" x14ac:dyDescent="0.25">
      <c r="B119" s="14">
        <v>43340.349295717155</v>
      </c>
      <c r="C119" s="14">
        <v>43296</v>
      </c>
      <c r="D119" s="14">
        <v>43340.349295717155</v>
      </c>
      <c r="E119" t="s">
        <v>37</v>
      </c>
      <c r="F119" t="s">
        <v>44</v>
      </c>
      <c r="G119" t="s">
        <v>406</v>
      </c>
      <c r="H119" s="17">
        <v>3181</v>
      </c>
      <c r="I119">
        <f>IF(TbRegistroSaídas[[#This Row],[Data do Caixa Realizado]]="",0,MONTH(TbRegistroSaídas[[#This Row],[Data do Caixa Realizado]]))</f>
        <v>8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48">
        <f>IF(TbRegistroSaídas[[#This Row],[Data do Caixa Previsto]]="",0,MONTH(TbRegistroSaídas[[#This Row],[Data do Caixa Previsto]]))</f>
        <v>8</v>
      </c>
      <c r="N119" s="48">
        <f>IF(TbRegistroSaídas[[#This Row],[Data do Caixa Previsto]]="",0,YEAR(TbRegistroSaídas[[#This Row],[Data do Caixa Previsto]]))</f>
        <v>2018</v>
      </c>
      <c r="O11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0" spans="2:15" x14ac:dyDescent="0.25">
      <c r="B120" s="14">
        <v>43321.703958375911</v>
      </c>
      <c r="C120" s="14">
        <v>43297</v>
      </c>
      <c r="D120" s="14">
        <v>43321.703958375911</v>
      </c>
      <c r="E120" t="s">
        <v>37</v>
      </c>
      <c r="F120" t="s">
        <v>33</v>
      </c>
      <c r="G120" t="s">
        <v>407</v>
      </c>
      <c r="H120" s="17">
        <v>1108</v>
      </c>
      <c r="I120">
        <f>IF(TbRegistroSaídas[[#This Row],[Data do Caixa Realizado]]="",0,MONTH(TbRegistroSaídas[[#This Row],[Data do Caixa Realizado]]))</f>
        <v>8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48">
        <f>IF(TbRegistroSaídas[[#This Row],[Data do Caixa Previsto]]="",0,MONTH(TbRegistroSaídas[[#This Row],[Data do Caixa Previsto]]))</f>
        <v>8</v>
      </c>
      <c r="N120" s="48">
        <f>IF(TbRegistroSaídas[[#This Row],[Data do Caixa Previsto]]="",0,YEAR(TbRegistroSaídas[[#This Row],[Data do Caixa Previsto]]))</f>
        <v>2018</v>
      </c>
      <c r="O12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1" spans="2:15" x14ac:dyDescent="0.25">
      <c r="B121" s="14">
        <v>43330.010675622812</v>
      </c>
      <c r="C121" s="14">
        <v>43298</v>
      </c>
      <c r="D121" s="14">
        <v>43330.010675622812</v>
      </c>
      <c r="E121" t="s">
        <v>37</v>
      </c>
      <c r="F121" t="s">
        <v>44</v>
      </c>
      <c r="G121" t="s">
        <v>408</v>
      </c>
      <c r="H121" s="17">
        <v>2777</v>
      </c>
      <c r="I121">
        <f>IF(TbRegistroSaídas[[#This Row],[Data do Caixa Realizado]]="",0,MONTH(TbRegistroSaídas[[#This Row],[Data do Caixa Realizado]]))</f>
        <v>8</v>
      </c>
      <c r="J121">
        <f>IF(TbRegistroSaídas[[#This Row],[Data do Caixa Realizado]]="",0,YEAR(TbRegistroSaídas[[#This Row],[Data do Caixa Realizado]]))</f>
        <v>2018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48">
        <f>IF(TbRegistroSaídas[[#This Row],[Data do Caixa Previsto]]="",0,MONTH(TbRegistroSaídas[[#This Row],[Data do Caixa Previsto]]))</f>
        <v>8</v>
      </c>
      <c r="N121" s="48">
        <f>IF(TbRegistroSaídas[[#This Row],[Data do Caixa Previsto]]="",0,YEAR(TbRegistroSaídas[[#This Row],[Data do Caixa Previsto]]))</f>
        <v>2018</v>
      </c>
      <c r="O12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2" spans="2:15" x14ac:dyDescent="0.25">
      <c r="B122" s="14">
        <v>43357.040894197533</v>
      </c>
      <c r="C122" s="14">
        <v>43300</v>
      </c>
      <c r="D122" s="14">
        <v>43357.040894197533</v>
      </c>
      <c r="E122" t="s">
        <v>37</v>
      </c>
      <c r="F122" t="s">
        <v>35</v>
      </c>
      <c r="G122" t="s">
        <v>409</v>
      </c>
      <c r="H122" s="17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48">
        <f>IF(TbRegistroSaídas[[#This Row],[Data do Caixa Previsto]]="",0,MONTH(TbRegistroSaídas[[#This Row],[Data do Caixa Previsto]]))</f>
        <v>9</v>
      </c>
      <c r="N122" s="48">
        <f>IF(TbRegistroSaídas[[#This Row],[Data do Caixa Previsto]]="",0,YEAR(TbRegistroSaídas[[#This Row],[Data do Caixa Previsto]]))</f>
        <v>2018</v>
      </c>
      <c r="O12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3" spans="2:15" x14ac:dyDescent="0.25">
      <c r="B123" s="14" t="s">
        <v>74</v>
      </c>
      <c r="C123" s="14">
        <v>43302</v>
      </c>
      <c r="D123" s="14">
        <v>43324.888843781351</v>
      </c>
      <c r="E123" t="s">
        <v>37</v>
      </c>
      <c r="F123" t="s">
        <v>32</v>
      </c>
      <c r="G123" t="s">
        <v>410</v>
      </c>
      <c r="H123" s="17">
        <v>4217</v>
      </c>
      <c r="I123">
        <f>IF(TbRegistroSaídas[[#This Row],[Data do Caixa Realizado]]="",0,MONTH(TbRegistroSaídas[[#This Row],[Data do Caixa Realizado]]))</f>
        <v>0</v>
      </c>
      <c r="J123">
        <f>IF(TbRegistroSaídas[[#This Row],[Data do Caixa Realizado]]="",0,YEAR(TbRegistroSaídas[[#This Row],[Data do Caixa Realizado]]))</f>
        <v>0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48">
        <f>IF(TbRegistroSaídas[[#This Row],[Data do Caixa Previsto]]="",0,MONTH(TbRegistroSaídas[[#This Row],[Data do Caixa Previsto]]))</f>
        <v>8</v>
      </c>
      <c r="N123" s="48">
        <f>IF(TbRegistroSaídas[[#This Row],[Data do Caixa Previsto]]="",0,YEAR(TbRegistroSaídas[[#This Row],[Data do Caixa Previsto]]))</f>
        <v>2018</v>
      </c>
      <c r="O12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2491.1111562186488</v>
      </c>
    </row>
    <row r="124" spans="2:15" x14ac:dyDescent="0.25">
      <c r="B124" s="14">
        <v>43342.623492549312</v>
      </c>
      <c r="C124" s="14">
        <v>43309</v>
      </c>
      <c r="D124" s="14">
        <v>43342.623492549312</v>
      </c>
      <c r="E124" t="s">
        <v>37</v>
      </c>
      <c r="F124" t="s">
        <v>44</v>
      </c>
      <c r="G124" t="s">
        <v>411</v>
      </c>
      <c r="H124" s="17">
        <v>4850</v>
      </c>
      <c r="I124">
        <f>IF(TbRegistroSaídas[[#This Row],[Data do Caixa Realizado]]="",0,MONTH(TbRegistroSaídas[[#This Row],[Data do Caixa Realizado]]))</f>
        <v>8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48">
        <f>IF(TbRegistroSaídas[[#This Row],[Data do Caixa Previsto]]="",0,MONTH(TbRegistroSaídas[[#This Row],[Data do Caixa Previsto]]))</f>
        <v>8</v>
      </c>
      <c r="N124" s="48">
        <f>IF(TbRegistroSaídas[[#This Row],[Data do Caixa Previsto]]="",0,YEAR(TbRegistroSaídas[[#This Row],[Data do Caixa Previsto]]))</f>
        <v>2018</v>
      </c>
      <c r="O12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5" spans="2:15" x14ac:dyDescent="0.25">
      <c r="B125" s="14">
        <v>43354.968085716326</v>
      </c>
      <c r="C125" s="14">
        <v>43311</v>
      </c>
      <c r="D125" s="14">
        <v>43331.330507155544</v>
      </c>
      <c r="E125" t="s">
        <v>37</v>
      </c>
      <c r="F125" t="s">
        <v>32</v>
      </c>
      <c r="G125" t="s">
        <v>412</v>
      </c>
      <c r="H125" s="17">
        <v>4309</v>
      </c>
      <c r="I125">
        <f>IF(TbRegistroSaídas[[#This Row],[Data do Caixa Realizado]]="",0,MONTH(TbRegistroSaídas[[#This Row],[Data do Caixa Realizado]]))</f>
        <v>9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48">
        <f>IF(TbRegistroSaídas[[#This Row],[Data do Caixa Previsto]]="",0,MONTH(TbRegistroSaídas[[#This Row],[Data do Caixa Previsto]]))</f>
        <v>8</v>
      </c>
      <c r="N125" s="48">
        <f>IF(TbRegistroSaídas[[#This Row],[Data do Caixa Previsto]]="",0,YEAR(TbRegistroSaídas[[#This Row],[Data do Caixa Previsto]]))</f>
        <v>2018</v>
      </c>
      <c r="O12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23.637578560781549</v>
      </c>
    </row>
    <row r="126" spans="2:15" x14ac:dyDescent="0.25">
      <c r="B126" s="14">
        <v>43374.615784892369</v>
      </c>
      <c r="C126" s="14">
        <v>43313</v>
      </c>
      <c r="D126" s="14">
        <v>43314.576092684139</v>
      </c>
      <c r="E126" t="s">
        <v>37</v>
      </c>
      <c r="F126" t="s">
        <v>31</v>
      </c>
      <c r="G126" t="s">
        <v>413</v>
      </c>
      <c r="H126" s="17">
        <v>4462</v>
      </c>
      <c r="I126">
        <f>IF(TbRegistroSaídas[[#This Row],[Data do Caixa Realizado]]="",0,MONTH(TbRegistroSaídas[[#This Row],[Data do Caixa Realizado]]))</f>
        <v>10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48">
        <f>IF(TbRegistroSaídas[[#This Row],[Data do Caixa Previsto]]="",0,MONTH(TbRegistroSaídas[[#This Row],[Data do Caixa Previsto]]))</f>
        <v>8</v>
      </c>
      <c r="N126" s="48">
        <f>IF(TbRegistroSaídas[[#This Row],[Data do Caixa Previsto]]="",0,YEAR(TbRegistroSaídas[[#This Row],[Data do Caixa Previsto]]))</f>
        <v>2018</v>
      </c>
      <c r="O12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60.039692208229098</v>
      </c>
    </row>
    <row r="127" spans="2:15" x14ac:dyDescent="0.25">
      <c r="B127" s="14">
        <v>43375.491443107414</v>
      </c>
      <c r="C127" s="14">
        <v>43319</v>
      </c>
      <c r="D127" s="14">
        <v>43375.491443107414</v>
      </c>
      <c r="E127" t="s">
        <v>37</v>
      </c>
      <c r="F127" t="s">
        <v>31</v>
      </c>
      <c r="G127" t="s">
        <v>414</v>
      </c>
      <c r="H127" s="17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48">
        <f>IF(TbRegistroSaídas[[#This Row],[Data do Caixa Previsto]]="",0,MONTH(TbRegistroSaídas[[#This Row],[Data do Caixa Previsto]]))</f>
        <v>10</v>
      </c>
      <c r="N127" s="48">
        <f>IF(TbRegistroSaídas[[#This Row],[Data do Caixa Previsto]]="",0,YEAR(TbRegistroSaídas[[#This Row],[Data do Caixa Previsto]]))</f>
        <v>2018</v>
      </c>
      <c r="O12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8" spans="2:15" x14ac:dyDescent="0.25">
      <c r="B128" s="14">
        <v>43368.704862392784</v>
      </c>
      <c r="C128" s="14">
        <v>43322</v>
      </c>
      <c r="D128" s="14">
        <v>43368.704862392784</v>
      </c>
      <c r="E128" t="s">
        <v>37</v>
      </c>
      <c r="F128" t="s">
        <v>31</v>
      </c>
      <c r="G128" t="s">
        <v>415</v>
      </c>
      <c r="H128" s="17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48">
        <f>IF(TbRegistroSaídas[[#This Row],[Data do Caixa Previsto]]="",0,MONTH(TbRegistroSaídas[[#This Row],[Data do Caixa Previsto]]))</f>
        <v>9</v>
      </c>
      <c r="N128" s="48">
        <f>IF(TbRegistroSaídas[[#This Row],[Data do Caixa Previsto]]="",0,YEAR(TbRegistroSaídas[[#This Row],[Data do Caixa Previsto]]))</f>
        <v>2018</v>
      </c>
      <c r="O12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29" spans="2:15" x14ac:dyDescent="0.25">
      <c r="B129" s="14">
        <v>43366.872016051886</v>
      </c>
      <c r="C129" s="14">
        <v>43324</v>
      </c>
      <c r="D129" s="14">
        <v>43366.872016051886</v>
      </c>
      <c r="E129" t="s">
        <v>37</v>
      </c>
      <c r="F129" t="s">
        <v>31</v>
      </c>
      <c r="G129" t="s">
        <v>416</v>
      </c>
      <c r="H129" s="17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48">
        <f>IF(TbRegistroSaídas[[#This Row],[Data do Caixa Previsto]]="",0,MONTH(TbRegistroSaídas[[#This Row],[Data do Caixa Previsto]]))</f>
        <v>9</v>
      </c>
      <c r="N129" s="48">
        <f>IF(TbRegistroSaídas[[#This Row],[Data do Caixa Previsto]]="",0,YEAR(TbRegistroSaídas[[#This Row],[Data do Caixa Previsto]]))</f>
        <v>2018</v>
      </c>
      <c r="O12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0" spans="2:15" x14ac:dyDescent="0.25">
      <c r="B130" s="14">
        <v>43356.956112414089</v>
      </c>
      <c r="C130" s="14">
        <v>43327</v>
      </c>
      <c r="D130" s="14">
        <v>43356.956112414089</v>
      </c>
      <c r="E130" t="s">
        <v>37</v>
      </c>
      <c r="F130" t="s">
        <v>31</v>
      </c>
      <c r="G130" t="s">
        <v>417</v>
      </c>
      <c r="H130" s="17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48">
        <f>IF(TbRegistroSaídas[[#This Row],[Data do Caixa Previsto]]="",0,MONTH(TbRegistroSaídas[[#This Row],[Data do Caixa Previsto]]))</f>
        <v>9</v>
      </c>
      <c r="N130" s="48">
        <f>IF(TbRegistroSaídas[[#This Row],[Data do Caixa Previsto]]="",0,YEAR(TbRegistroSaídas[[#This Row],[Data do Caixa Previsto]]))</f>
        <v>2018</v>
      </c>
      <c r="O13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1" spans="2:15" x14ac:dyDescent="0.25">
      <c r="B131" s="14">
        <v>43433.012235706425</v>
      </c>
      <c r="C131" s="14">
        <v>43334</v>
      </c>
      <c r="D131" s="14">
        <v>43359.016635810432</v>
      </c>
      <c r="E131" t="s">
        <v>37</v>
      </c>
      <c r="F131" t="s">
        <v>31</v>
      </c>
      <c r="G131" t="s">
        <v>418</v>
      </c>
      <c r="H131" s="17">
        <v>1054</v>
      </c>
      <c r="I131">
        <f>IF(TbRegistroSaídas[[#This Row],[Data do Caixa Realizado]]="",0,MONTH(TbRegistroSaídas[[#This Row],[Data do Caixa Realizado]]))</f>
        <v>11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48">
        <f>IF(TbRegistroSaídas[[#This Row],[Data do Caixa Previsto]]="",0,MONTH(TbRegistroSaídas[[#This Row],[Data do Caixa Previsto]]))</f>
        <v>9</v>
      </c>
      <c r="N131" s="48">
        <f>IF(TbRegistroSaídas[[#This Row],[Data do Caixa Previsto]]="",0,YEAR(TbRegistroSaídas[[#This Row],[Data do Caixa Previsto]]))</f>
        <v>2018</v>
      </c>
      <c r="O13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73.9955998959922</v>
      </c>
    </row>
    <row r="132" spans="2:15" x14ac:dyDescent="0.25">
      <c r="B132" s="14">
        <v>43352.077398814596</v>
      </c>
      <c r="C132" s="14">
        <v>43335</v>
      </c>
      <c r="D132" s="14">
        <v>43352.077398814596</v>
      </c>
      <c r="E132" t="s">
        <v>37</v>
      </c>
      <c r="F132" t="s">
        <v>31</v>
      </c>
      <c r="G132" t="s">
        <v>419</v>
      </c>
      <c r="H132" s="17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48">
        <f>IF(TbRegistroSaídas[[#This Row],[Data do Caixa Previsto]]="",0,MONTH(TbRegistroSaídas[[#This Row],[Data do Caixa Previsto]]))</f>
        <v>9</v>
      </c>
      <c r="N132" s="48">
        <f>IF(TbRegistroSaídas[[#This Row],[Data do Caixa Previsto]]="",0,YEAR(TbRegistroSaídas[[#This Row],[Data do Caixa Previsto]]))</f>
        <v>2018</v>
      </c>
      <c r="O13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3" spans="2:15" x14ac:dyDescent="0.25">
      <c r="B133" s="14">
        <v>43363.149663367352</v>
      </c>
      <c r="C133" s="14">
        <v>43340</v>
      </c>
      <c r="D133" s="14">
        <v>43363.149663367352</v>
      </c>
      <c r="E133" t="s">
        <v>37</v>
      </c>
      <c r="F133" t="s">
        <v>35</v>
      </c>
      <c r="G133" t="s">
        <v>420</v>
      </c>
      <c r="H133" s="17">
        <v>1238</v>
      </c>
      <c r="I133">
        <f>IF(TbRegistroSaídas[[#This Row],[Data do Caixa Realizado]]="",0,MONTH(TbRegistroSaídas[[#This Row],[Data do Caixa Realizado]]))</f>
        <v>9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48">
        <f>IF(TbRegistroSaídas[[#This Row],[Data do Caixa Previsto]]="",0,MONTH(TbRegistroSaídas[[#This Row],[Data do Caixa Previsto]]))</f>
        <v>9</v>
      </c>
      <c r="N133" s="48">
        <f>IF(TbRegistroSaídas[[#This Row],[Data do Caixa Previsto]]="",0,YEAR(TbRegistroSaídas[[#This Row],[Data do Caixa Previsto]]))</f>
        <v>2018</v>
      </c>
      <c r="O13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4" spans="2:15" x14ac:dyDescent="0.25">
      <c r="B134" s="14">
        <v>43370.729955212279</v>
      </c>
      <c r="C134" s="14">
        <v>43346</v>
      </c>
      <c r="D134" s="14">
        <v>43370.729955212279</v>
      </c>
      <c r="E134" t="s">
        <v>37</v>
      </c>
      <c r="F134" t="s">
        <v>44</v>
      </c>
      <c r="G134" t="s">
        <v>421</v>
      </c>
      <c r="H134" s="17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48">
        <f>IF(TbRegistroSaídas[[#This Row],[Data do Caixa Previsto]]="",0,MONTH(TbRegistroSaídas[[#This Row],[Data do Caixa Previsto]]))</f>
        <v>9</v>
      </c>
      <c r="N134" s="48">
        <f>IF(TbRegistroSaídas[[#This Row],[Data do Caixa Previsto]]="",0,YEAR(TbRegistroSaídas[[#This Row],[Data do Caixa Previsto]]))</f>
        <v>2018</v>
      </c>
      <c r="O13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5" spans="2:15" x14ac:dyDescent="0.25">
      <c r="B135" s="14">
        <v>43438.840632706146</v>
      </c>
      <c r="C135" s="14">
        <v>43350</v>
      </c>
      <c r="D135" s="14">
        <v>43402.779511524925</v>
      </c>
      <c r="E135" t="s">
        <v>37</v>
      </c>
      <c r="F135" t="s">
        <v>31</v>
      </c>
      <c r="G135" t="s">
        <v>422</v>
      </c>
      <c r="H135" s="17">
        <v>2936</v>
      </c>
      <c r="I135">
        <f>IF(TbRegistroSaídas[[#This Row],[Data do Caixa Realizado]]="",0,MONTH(TbRegistroSaídas[[#This Row],[Data do Caixa Realizado]]))</f>
        <v>12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48">
        <f>IF(TbRegistroSaídas[[#This Row],[Data do Caixa Previsto]]="",0,MONTH(TbRegistroSaídas[[#This Row],[Data do Caixa Previsto]]))</f>
        <v>10</v>
      </c>
      <c r="N135" s="48">
        <f>IF(TbRegistroSaídas[[#This Row],[Data do Caixa Previsto]]="",0,YEAR(TbRegistroSaídas[[#This Row],[Data do Caixa Previsto]]))</f>
        <v>2018</v>
      </c>
      <c r="O13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36.061121181221097</v>
      </c>
    </row>
    <row r="136" spans="2:15" x14ac:dyDescent="0.25">
      <c r="B136" s="14">
        <v>43381.142100455778</v>
      </c>
      <c r="C136" s="14">
        <v>43351</v>
      </c>
      <c r="D136" s="14">
        <v>43381.142100455778</v>
      </c>
      <c r="E136" t="s">
        <v>37</v>
      </c>
      <c r="F136" t="s">
        <v>44</v>
      </c>
      <c r="G136" t="s">
        <v>423</v>
      </c>
      <c r="H136" s="17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48">
        <f>IF(TbRegistroSaídas[[#This Row],[Data do Caixa Previsto]]="",0,MONTH(TbRegistroSaídas[[#This Row],[Data do Caixa Previsto]]))</f>
        <v>10</v>
      </c>
      <c r="N136" s="48">
        <f>IF(TbRegistroSaídas[[#This Row],[Data do Caixa Previsto]]="",0,YEAR(TbRegistroSaídas[[#This Row],[Data do Caixa Previsto]]))</f>
        <v>2018</v>
      </c>
      <c r="O13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7" spans="2:15" x14ac:dyDescent="0.25">
      <c r="B137" s="14">
        <v>43355.021702138809</v>
      </c>
      <c r="C137" s="14">
        <v>43353</v>
      </c>
      <c r="D137" s="14">
        <v>43355.021702138809</v>
      </c>
      <c r="E137" t="s">
        <v>37</v>
      </c>
      <c r="F137" t="s">
        <v>33</v>
      </c>
      <c r="G137" t="s">
        <v>424</v>
      </c>
      <c r="H137" s="17">
        <v>159</v>
      </c>
      <c r="I137">
        <f>IF(TbRegistroSaídas[[#This Row],[Data do Caixa Realizado]]="",0,MONTH(TbRegistroSaídas[[#This Row],[Data do Caixa Realizado]]))</f>
        <v>9</v>
      </c>
      <c r="J137">
        <f>IF(TbRegistroSaídas[[#This Row],[Data do Caixa Realizado]]="",0,YEAR(TbRegistroSaídas[[#This Row],[Data do Caixa Realizado]]))</f>
        <v>2018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48">
        <f>IF(TbRegistroSaídas[[#This Row],[Data do Caixa Previsto]]="",0,MONTH(TbRegistroSaídas[[#This Row],[Data do Caixa Previsto]]))</f>
        <v>9</v>
      </c>
      <c r="N137" s="48">
        <f>IF(TbRegistroSaídas[[#This Row],[Data do Caixa Previsto]]="",0,YEAR(TbRegistroSaídas[[#This Row],[Data do Caixa Previsto]]))</f>
        <v>2018</v>
      </c>
      <c r="O13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8" spans="2:15" x14ac:dyDescent="0.25">
      <c r="B138" s="14">
        <v>43382.641285204452</v>
      </c>
      <c r="C138" s="14">
        <v>43358</v>
      </c>
      <c r="D138" s="14">
        <v>43382.641285204452</v>
      </c>
      <c r="E138" t="s">
        <v>37</v>
      </c>
      <c r="F138" t="s">
        <v>44</v>
      </c>
      <c r="G138" t="s">
        <v>425</v>
      </c>
      <c r="H138" s="17">
        <v>2933</v>
      </c>
      <c r="I138">
        <f>IF(TbRegistroSaídas[[#This Row],[Data do Caixa Realizado]]="",0,MONTH(TbRegistroSaídas[[#This Row],[Data do Caixa Realizado]]))</f>
        <v>10</v>
      </c>
      <c r="J138">
        <f>IF(TbRegistroSaídas[[#This Row],[Data do Caixa Realizado]]="",0,YEAR(TbRegistroSaídas[[#This Row],[Data do Caixa Realizado]]))</f>
        <v>2018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48">
        <f>IF(TbRegistroSaídas[[#This Row],[Data do Caixa Previsto]]="",0,MONTH(TbRegistroSaídas[[#This Row],[Data do Caixa Previsto]]))</f>
        <v>10</v>
      </c>
      <c r="N138" s="48">
        <f>IF(TbRegistroSaídas[[#This Row],[Data do Caixa Previsto]]="",0,YEAR(TbRegistroSaídas[[#This Row],[Data do Caixa Previsto]]))</f>
        <v>2018</v>
      </c>
      <c r="O13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39" spans="2:15" x14ac:dyDescent="0.25">
      <c r="B139" s="14">
        <v>43405.129639238316</v>
      </c>
      <c r="C139" s="14">
        <v>43358</v>
      </c>
      <c r="D139" s="14">
        <v>43405.129639238316</v>
      </c>
      <c r="E139" t="s">
        <v>37</v>
      </c>
      <c r="F139" t="s">
        <v>44</v>
      </c>
      <c r="G139" t="s">
        <v>426</v>
      </c>
      <c r="H139" s="17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48">
        <f>IF(TbRegistroSaídas[[#This Row],[Data do Caixa Previsto]]="",0,MONTH(TbRegistroSaídas[[#This Row],[Data do Caixa Previsto]]))</f>
        <v>11</v>
      </c>
      <c r="N139" s="48">
        <f>IF(TbRegistroSaídas[[#This Row],[Data do Caixa Previsto]]="",0,YEAR(TbRegistroSaídas[[#This Row],[Data do Caixa Previsto]]))</f>
        <v>2018</v>
      </c>
      <c r="O13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0" spans="2:15" x14ac:dyDescent="0.25">
      <c r="B140" s="14">
        <v>43377.659993656314</v>
      </c>
      <c r="C140" s="14">
        <v>43362</v>
      </c>
      <c r="D140" s="14">
        <v>43377.659993656314</v>
      </c>
      <c r="E140" t="s">
        <v>37</v>
      </c>
      <c r="F140" t="s">
        <v>35</v>
      </c>
      <c r="G140" t="s">
        <v>427</v>
      </c>
      <c r="H140" s="17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48">
        <f>IF(TbRegistroSaídas[[#This Row],[Data do Caixa Previsto]]="",0,MONTH(TbRegistroSaídas[[#This Row],[Data do Caixa Previsto]]))</f>
        <v>10</v>
      </c>
      <c r="N140" s="48">
        <f>IF(TbRegistroSaídas[[#This Row],[Data do Caixa Previsto]]="",0,YEAR(TbRegistroSaídas[[#This Row],[Data do Caixa Previsto]]))</f>
        <v>2018</v>
      </c>
      <c r="O14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1" spans="2:15" x14ac:dyDescent="0.25">
      <c r="B141" s="14">
        <v>43375.186046774324</v>
      </c>
      <c r="C141" s="14">
        <v>43367</v>
      </c>
      <c r="D141" s="14">
        <v>43375.186046774324</v>
      </c>
      <c r="E141" t="s">
        <v>37</v>
      </c>
      <c r="F141" t="s">
        <v>31</v>
      </c>
      <c r="G141" t="s">
        <v>428</v>
      </c>
      <c r="H141" s="17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48">
        <f>IF(TbRegistroSaídas[[#This Row],[Data do Caixa Previsto]]="",0,MONTH(TbRegistroSaídas[[#This Row],[Data do Caixa Previsto]]))</f>
        <v>10</v>
      </c>
      <c r="N141" s="48">
        <f>IF(TbRegistroSaídas[[#This Row],[Data do Caixa Previsto]]="",0,YEAR(TbRegistroSaídas[[#This Row],[Data do Caixa Previsto]]))</f>
        <v>2018</v>
      </c>
      <c r="O14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2" spans="2:15" x14ac:dyDescent="0.25">
      <c r="B142" s="14">
        <v>43422.470077078746</v>
      </c>
      <c r="C142" s="14">
        <v>43371</v>
      </c>
      <c r="D142" s="14">
        <v>43422.470077078746</v>
      </c>
      <c r="E142" t="s">
        <v>37</v>
      </c>
      <c r="F142" t="s">
        <v>32</v>
      </c>
      <c r="G142" t="s">
        <v>429</v>
      </c>
      <c r="H142" s="17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48">
        <f>IF(TbRegistroSaídas[[#This Row],[Data do Caixa Previsto]]="",0,MONTH(TbRegistroSaídas[[#This Row],[Data do Caixa Previsto]]))</f>
        <v>11</v>
      </c>
      <c r="N142" s="48">
        <f>IF(TbRegistroSaídas[[#This Row],[Data do Caixa Previsto]]="",0,YEAR(TbRegistroSaídas[[#This Row],[Data do Caixa Previsto]]))</f>
        <v>2018</v>
      </c>
      <c r="O14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3" spans="2:15" x14ac:dyDescent="0.25">
      <c r="B143" s="14">
        <v>43417.82681558784</v>
      </c>
      <c r="C143" s="14">
        <v>43374</v>
      </c>
      <c r="D143" s="14">
        <v>43417.82681558784</v>
      </c>
      <c r="E143" t="s">
        <v>37</v>
      </c>
      <c r="F143" t="s">
        <v>32</v>
      </c>
      <c r="G143" t="s">
        <v>430</v>
      </c>
      <c r="H143" s="17">
        <v>819</v>
      </c>
      <c r="I143">
        <f>IF(TbRegistroSaídas[[#This Row],[Data do Caixa Realizado]]="",0,MONTH(TbRegistroSaídas[[#This Row],[Data do Caixa Realizado]]))</f>
        <v>11</v>
      </c>
      <c r="J143">
        <f>IF(TbRegistroSaídas[[#This Row],[Data do Caixa Realizado]]="",0,YEAR(TbRegistroSaídas[[#This Row],[Data do Caixa Realizado]]))</f>
        <v>2018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48">
        <f>IF(TbRegistroSaídas[[#This Row],[Data do Caixa Previsto]]="",0,MONTH(TbRegistroSaídas[[#This Row],[Data do Caixa Previsto]]))</f>
        <v>11</v>
      </c>
      <c r="N143" s="48">
        <f>IF(TbRegistroSaídas[[#This Row],[Data do Caixa Previsto]]="",0,YEAR(TbRegistroSaídas[[#This Row],[Data do Caixa Previsto]]))</f>
        <v>2018</v>
      </c>
      <c r="O14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4" spans="2:15" x14ac:dyDescent="0.25">
      <c r="B144" s="14">
        <v>43433.158712252123</v>
      </c>
      <c r="C144" s="14">
        <v>43377</v>
      </c>
      <c r="D144" s="14">
        <v>43433.158712252123</v>
      </c>
      <c r="E144" t="s">
        <v>37</v>
      </c>
      <c r="F144" t="s">
        <v>35</v>
      </c>
      <c r="G144" t="s">
        <v>431</v>
      </c>
      <c r="H144" s="17">
        <v>1260</v>
      </c>
      <c r="I144">
        <f>IF(TbRegistroSaídas[[#This Row],[Data do Caixa Realizado]]="",0,MONTH(TbRegistroSaídas[[#This Row],[Data do Caixa Realizado]]))</f>
        <v>11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48">
        <f>IF(TbRegistroSaídas[[#This Row],[Data do Caixa Previsto]]="",0,MONTH(TbRegistroSaídas[[#This Row],[Data do Caixa Previsto]]))</f>
        <v>11</v>
      </c>
      <c r="N144" s="48">
        <f>IF(TbRegistroSaídas[[#This Row],[Data do Caixa Previsto]]="",0,YEAR(TbRegistroSaídas[[#This Row],[Data do Caixa Previsto]]))</f>
        <v>2018</v>
      </c>
      <c r="O14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5" spans="2:15" x14ac:dyDescent="0.25">
      <c r="B145" s="14">
        <v>43389.890057350683</v>
      </c>
      <c r="C145" s="14">
        <v>43383</v>
      </c>
      <c r="D145" s="14">
        <v>43389.890057350683</v>
      </c>
      <c r="E145" t="s">
        <v>37</v>
      </c>
      <c r="F145" t="s">
        <v>31</v>
      </c>
      <c r="G145" t="s">
        <v>432</v>
      </c>
      <c r="H145" s="17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48">
        <f>IF(TbRegistroSaídas[[#This Row],[Data do Caixa Previsto]]="",0,MONTH(TbRegistroSaídas[[#This Row],[Data do Caixa Previsto]]))</f>
        <v>10</v>
      </c>
      <c r="N145" s="48">
        <f>IF(TbRegistroSaídas[[#This Row],[Data do Caixa Previsto]]="",0,YEAR(TbRegistroSaídas[[#This Row],[Data do Caixa Previsto]]))</f>
        <v>2018</v>
      </c>
      <c r="O14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6" spans="2:15" x14ac:dyDescent="0.25">
      <c r="B146" s="14">
        <v>43404.046693214259</v>
      </c>
      <c r="C146" s="14">
        <v>43385</v>
      </c>
      <c r="D146" s="14">
        <v>43404.046693214259</v>
      </c>
      <c r="E146" t="s">
        <v>37</v>
      </c>
      <c r="F146" t="s">
        <v>31</v>
      </c>
      <c r="G146" t="s">
        <v>433</v>
      </c>
      <c r="H146" s="17">
        <v>4287</v>
      </c>
      <c r="I146">
        <f>IF(TbRegistroSaídas[[#This Row],[Data do Caixa Realizado]]="",0,MONTH(TbRegistroSaídas[[#This Row],[Data do Caixa Realizado]]))</f>
        <v>10</v>
      </c>
      <c r="J146">
        <f>IF(TbRegistroSaídas[[#This Row],[Data do Caixa Realizado]]="",0,YEAR(TbRegistroSaídas[[#This Row],[Data do Caixa Realizado]]))</f>
        <v>2018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48">
        <f>IF(TbRegistroSaídas[[#This Row],[Data do Caixa Previsto]]="",0,MONTH(TbRegistroSaídas[[#This Row],[Data do Caixa Previsto]]))</f>
        <v>10</v>
      </c>
      <c r="N146" s="48">
        <f>IF(TbRegistroSaídas[[#This Row],[Data do Caixa Previsto]]="",0,YEAR(TbRegistroSaídas[[#This Row],[Data do Caixa Previsto]]))</f>
        <v>2018</v>
      </c>
      <c r="O14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7" spans="2:15" x14ac:dyDescent="0.25">
      <c r="B147" s="14">
        <v>43507.755970956488</v>
      </c>
      <c r="C147" s="14">
        <v>43387</v>
      </c>
      <c r="D147" s="14">
        <v>43428.148562697053</v>
      </c>
      <c r="E147" t="s">
        <v>37</v>
      </c>
      <c r="F147" t="s">
        <v>33</v>
      </c>
      <c r="G147" t="s">
        <v>434</v>
      </c>
      <c r="H147" s="17">
        <v>2015</v>
      </c>
      <c r="I147">
        <f>IF(TbRegistroSaídas[[#This Row],[Data do Caixa Realizado]]="",0,MONTH(TbRegistroSaídas[[#This Row],[Data do Caixa Realizado]]))</f>
        <v>2</v>
      </c>
      <c r="J147">
        <f>IF(TbRegistroSaídas[[#This Row],[Data do Caixa Realizado]]="",0,YEAR(TbRegistroSaídas[[#This Row],[Data do Caixa Realizado]]))</f>
        <v>2019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48">
        <f>IF(TbRegistroSaídas[[#This Row],[Data do Caixa Previsto]]="",0,MONTH(TbRegistroSaídas[[#This Row],[Data do Caixa Previsto]]))</f>
        <v>11</v>
      </c>
      <c r="N147" s="48">
        <f>IF(TbRegistroSaídas[[#This Row],[Data do Caixa Previsto]]="",0,YEAR(TbRegistroSaídas[[#This Row],[Data do Caixa Previsto]]))</f>
        <v>2018</v>
      </c>
      <c r="O14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79.607408259435033</v>
      </c>
    </row>
    <row r="148" spans="2:15" x14ac:dyDescent="0.25">
      <c r="B148" s="14">
        <v>43449.211879770926</v>
      </c>
      <c r="C148" s="14">
        <v>43393</v>
      </c>
      <c r="D148" s="14">
        <v>43449.211879770926</v>
      </c>
      <c r="E148" t="s">
        <v>37</v>
      </c>
      <c r="F148" t="s">
        <v>33</v>
      </c>
      <c r="G148" t="s">
        <v>435</v>
      </c>
      <c r="H148" s="17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48">
        <f>IF(TbRegistroSaídas[[#This Row],[Data do Caixa Previsto]]="",0,MONTH(TbRegistroSaídas[[#This Row],[Data do Caixa Previsto]]))</f>
        <v>12</v>
      </c>
      <c r="N148" s="48">
        <f>IF(TbRegistroSaídas[[#This Row],[Data do Caixa Previsto]]="",0,YEAR(TbRegistroSaídas[[#This Row],[Data do Caixa Previsto]]))</f>
        <v>2018</v>
      </c>
      <c r="O14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49" spans="2:15" x14ac:dyDescent="0.25">
      <c r="B149" s="14">
        <v>43404.811332468627</v>
      </c>
      <c r="C149" s="14">
        <v>43394</v>
      </c>
      <c r="D149" s="14">
        <v>43404.811332468627</v>
      </c>
      <c r="E149" t="s">
        <v>37</v>
      </c>
      <c r="F149" t="s">
        <v>44</v>
      </c>
      <c r="G149" t="s">
        <v>436</v>
      </c>
      <c r="H149" s="17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48">
        <f>IF(TbRegistroSaídas[[#This Row],[Data do Caixa Previsto]]="",0,MONTH(TbRegistroSaídas[[#This Row],[Data do Caixa Previsto]]))</f>
        <v>10</v>
      </c>
      <c r="N149" s="48">
        <f>IF(TbRegistroSaídas[[#This Row],[Data do Caixa Previsto]]="",0,YEAR(TbRegistroSaídas[[#This Row],[Data do Caixa Previsto]]))</f>
        <v>2018</v>
      </c>
      <c r="O14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0" spans="2:15" x14ac:dyDescent="0.25">
      <c r="B150" s="14">
        <v>43456.031618147535</v>
      </c>
      <c r="C150" s="14">
        <v>43398</v>
      </c>
      <c r="D150" s="14">
        <v>43449.013472196442</v>
      </c>
      <c r="E150" t="s">
        <v>37</v>
      </c>
      <c r="F150" t="s">
        <v>44</v>
      </c>
      <c r="G150" t="s">
        <v>437</v>
      </c>
      <c r="H150" s="17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48">
        <f>IF(TbRegistroSaídas[[#This Row],[Data do Caixa Previsto]]="",0,MONTH(TbRegistroSaídas[[#This Row],[Data do Caixa Previsto]]))</f>
        <v>12</v>
      </c>
      <c r="N150" s="48">
        <f>IF(TbRegistroSaídas[[#This Row],[Data do Caixa Previsto]]="",0,YEAR(TbRegistroSaídas[[#This Row],[Data do Caixa Previsto]]))</f>
        <v>2018</v>
      </c>
      <c r="O15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7.0181459510931745</v>
      </c>
    </row>
    <row r="151" spans="2:15" x14ac:dyDescent="0.25">
      <c r="B151" s="14">
        <v>43424.062053727328</v>
      </c>
      <c r="C151" s="14">
        <v>43400</v>
      </c>
      <c r="D151" s="14">
        <v>43424.062053727328</v>
      </c>
      <c r="E151" t="s">
        <v>37</v>
      </c>
      <c r="F151" t="s">
        <v>33</v>
      </c>
      <c r="G151" t="s">
        <v>438</v>
      </c>
      <c r="H151" s="17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48">
        <f>IF(TbRegistroSaídas[[#This Row],[Data do Caixa Previsto]]="",0,MONTH(TbRegistroSaídas[[#This Row],[Data do Caixa Previsto]]))</f>
        <v>11</v>
      </c>
      <c r="N151" s="48">
        <f>IF(TbRegistroSaídas[[#This Row],[Data do Caixa Previsto]]="",0,YEAR(TbRegistroSaídas[[#This Row],[Data do Caixa Previsto]]))</f>
        <v>2018</v>
      </c>
      <c r="O15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2" spans="2:15" x14ac:dyDescent="0.25">
      <c r="B152" s="14">
        <v>43420.587272347206</v>
      </c>
      <c r="C152" s="14">
        <v>43403</v>
      </c>
      <c r="D152" s="14">
        <v>43420.587272347206</v>
      </c>
      <c r="E152" t="s">
        <v>37</v>
      </c>
      <c r="F152" t="s">
        <v>31</v>
      </c>
      <c r="G152" t="s">
        <v>439</v>
      </c>
      <c r="H152" s="17">
        <v>2864</v>
      </c>
      <c r="I152">
        <f>IF(TbRegistroSaídas[[#This Row],[Data do Caixa Realizado]]="",0,MONTH(TbRegistroSaídas[[#This Row],[Data do Caixa Realizado]]))</f>
        <v>11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48">
        <f>IF(TbRegistroSaídas[[#This Row],[Data do Caixa Previsto]]="",0,MONTH(TbRegistroSaídas[[#This Row],[Data do Caixa Previsto]]))</f>
        <v>11</v>
      </c>
      <c r="N152" s="48">
        <f>IF(TbRegistroSaídas[[#This Row],[Data do Caixa Previsto]]="",0,YEAR(TbRegistroSaídas[[#This Row],[Data do Caixa Previsto]]))</f>
        <v>2018</v>
      </c>
      <c r="O15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3" spans="2:15" x14ac:dyDescent="0.25">
      <c r="B153" s="14">
        <v>43461.891878681301</v>
      </c>
      <c r="C153" s="14">
        <v>43405</v>
      </c>
      <c r="D153" s="14">
        <v>43461.891878681301</v>
      </c>
      <c r="E153" t="s">
        <v>37</v>
      </c>
      <c r="F153" t="s">
        <v>44</v>
      </c>
      <c r="G153" t="s">
        <v>440</v>
      </c>
      <c r="H153" s="17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48">
        <f>IF(TbRegistroSaídas[[#This Row],[Data do Caixa Previsto]]="",0,MONTH(TbRegistroSaídas[[#This Row],[Data do Caixa Previsto]]))</f>
        <v>12</v>
      </c>
      <c r="N153" s="48">
        <f>IF(TbRegistroSaídas[[#This Row],[Data do Caixa Previsto]]="",0,YEAR(TbRegistroSaídas[[#This Row],[Data do Caixa Previsto]]))</f>
        <v>2018</v>
      </c>
      <c r="O15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4" spans="2:15" x14ac:dyDescent="0.25">
      <c r="B154" s="14">
        <v>43491.131651867006</v>
      </c>
      <c r="C154" s="14">
        <v>43407</v>
      </c>
      <c r="D154" s="14">
        <v>43466.552162254069</v>
      </c>
      <c r="E154" t="s">
        <v>37</v>
      </c>
      <c r="F154" t="s">
        <v>31</v>
      </c>
      <c r="G154" t="s">
        <v>358</v>
      </c>
      <c r="H154" s="17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48">
        <f>IF(TbRegistroSaídas[[#This Row],[Data do Caixa Previsto]]="",0,MONTH(TbRegistroSaídas[[#This Row],[Data do Caixa Previsto]]))</f>
        <v>1</v>
      </c>
      <c r="N154" s="48">
        <f>IF(TbRegistroSaídas[[#This Row],[Data do Caixa Previsto]]="",0,YEAR(TbRegistroSaídas[[#This Row],[Data do Caixa Previsto]]))</f>
        <v>2019</v>
      </c>
      <c r="O15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24.579489612937323</v>
      </c>
    </row>
    <row r="155" spans="2:15" x14ac:dyDescent="0.25">
      <c r="B155" s="14">
        <v>43446.7351960983</v>
      </c>
      <c r="C155" s="14">
        <v>43412</v>
      </c>
      <c r="D155" s="14">
        <v>43446.7351960983</v>
      </c>
      <c r="E155" t="s">
        <v>37</v>
      </c>
      <c r="F155" t="s">
        <v>44</v>
      </c>
      <c r="G155" t="s">
        <v>441</v>
      </c>
      <c r="H155" s="17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48">
        <f>IF(TbRegistroSaídas[[#This Row],[Data do Caixa Previsto]]="",0,MONTH(TbRegistroSaídas[[#This Row],[Data do Caixa Previsto]]))</f>
        <v>12</v>
      </c>
      <c r="N155" s="48">
        <f>IF(TbRegistroSaídas[[#This Row],[Data do Caixa Previsto]]="",0,YEAR(TbRegistroSaídas[[#This Row],[Data do Caixa Previsto]]))</f>
        <v>2018</v>
      </c>
      <c r="O15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6" spans="2:15" x14ac:dyDescent="0.25">
      <c r="B156" s="14">
        <v>43474.679630611819</v>
      </c>
      <c r="C156" s="14">
        <v>43415</v>
      </c>
      <c r="D156" s="14">
        <v>43474.679630611819</v>
      </c>
      <c r="E156" t="s">
        <v>37</v>
      </c>
      <c r="F156" t="s">
        <v>44</v>
      </c>
      <c r="G156" t="s">
        <v>442</v>
      </c>
      <c r="H156" s="17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48">
        <f>IF(TbRegistroSaídas[[#This Row],[Data do Caixa Previsto]]="",0,MONTH(TbRegistroSaídas[[#This Row],[Data do Caixa Previsto]]))</f>
        <v>1</v>
      </c>
      <c r="N156" s="48">
        <f>IF(TbRegistroSaídas[[#This Row],[Data do Caixa Previsto]]="",0,YEAR(TbRegistroSaídas[[#This Row],[Data do Caixa Previsto]]))</f>
        <v>2019</v>
      </c>
      <c r="O15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7" spans="2:15" x14ac:dyDescent="0.25">
      <c r="B157" s="14">
        <v>43420.10775852378</v>
      </c>
      <c r="C157" s="14">
        <v>43417</v>
      </c>
      <c r="D157" s="14">
        <v>43420.10775852378</v>
      </c>
      <c r="E157" t="s">
        <v>37</v>
      </c>
      <c r="F157" t="s">
        <v>44</v>
      </c>
      <c r="G157" t="s">
        <v>443</v>
      </c>
      <c r="H157" s="17">
        <v>3853</v>
      </c>
      <c r="I157">
        <f>IF(TbRegistroSaídas[[#This Row],[Data do Caixa Realizado]]="",0,MONTH(TbRegistroSaídas[[#This Row],[Data do Caixa Realizado]]))</f>
        <v>11</v>
      </c>
      <c r="J157">
        <f>IF(TbRegistroSaídas[[#This Row],[Data do Caixa Realizado]]="",0,YEAR(TbRegistroSaídas[[#This Row],[Data do Caixa Realizado]]))</f>
        <v>2018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48">
        <f>IF(TbRegistroSaídas[[#This Row],[Data do Caixa Previsto]]="",0,MONTH(TbRegistroSaídas[[#This Row],[Data do Caixa Previsto]]))</f>
        <v>11</v>
      </c>
      <c r="N157" s="48">
        <f>IF(TbRegistroSaídas[[#This Row],[Data do Caixa Previsto]]="",0,YEAR(TbRegistroSaídas[[#This Row],[Data do Caixa Previsto]]))</f>
        <v>2018</v>
      </c>
      <c r="O15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8" spans="2:15" x14ac:dyDescent="0.25">
      <c r="B158" s="14">
        <v>43451.20401159949</v>
      </c>
      <c r="C158" s="14">
        <v>43421</v>
      </c>
      <c r="D158" s="14">
        <v>43451.20401159949</v>
      </c>
      <c r="E158" t="s">
        <v>37</v>
      </c>
      <c r="F158" t="s">
        <v>32</v>
      </c>
      <c r="G158" t="s">
        <v>444</v>
      </c>
      <c r="H158" s="17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48">
        <f>IF(TbRegistroSaídas[[#This Row],[Data do Caixa Previsto]]="",0,MONTH(TbRegistroSaídas[[#This Row],[Data do Caixa Previsto]]))</f>
        <v>12</v>
      </c>
      <c r="N158" s="48">
        <f>IF(TbRegistroSaídas[[#This Row],[Data do Caixa Previsto]]="",0,YEAR(TbRegistroSaídas[[#This Row],[Data do Caixa Previsto]]))</f>
        <v>2018</v>
      </c>
      <c r="O15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59" spans="2:15" x14ac:dyDescent="0.25">
      <c r="B159" s="14">
        <v>43441.762171101494</v>
      </c>
      <c r="C159" s="14">
        <v>43421</v>
      </c>
      <c r="D159" s="14">
        <v>43441.762171101494</v>
      </c>
      <c r="E159" t="s">
        <v>37</v>
      </c>
      <c r="F159" t="s">
        <v>44</v>
      </c>
      <c r="G159" t="s">
        <v>445</v>
      </c>
      <c r="H159" s="17">
        <v>976</v>
      </c>
      <c r="I159">
        <f>IF(TbRegistroSaídas[[#This Row],[Data do Caixa Realizado]]="",0,MONTH(TbRegistroSaídas[[#This Row],[Data do Caixa Realizado]]))</f>
        <v>12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48">
        <f>IF(TbRegistroSaídas[[#This Row],[Data do Caixa Previsto]]="",0,MONTH(TbRegistroSaídas[[#This Row],[Data do Caixa Previsto]]))</f>
        <v>12</v>
      </c>
      <c r="N159" s="48">
        <f>IF(TbRegistroSaídas[[#This Row],[Data do Caixa Previsto]]="",0,YEAR(TbRegistroSaídas[[#This Row],[Data do Caixa Previsto]]))</f>
        <v>2018</v>
      </c>
      <c r="O15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0" spans="2:15" x14ac:dyDescent="0.25">
      <c r="B160" s="14">
        <v>43465.942395888327</v>
      </c>
      <c r="C160" s="14">
        <v>43424</v>
      </c>
      <c r="D160" s="14">
        <v>43465.942395888327</v>
      </c>
      <c r="E160" t="s">
        <v>37</v>
      </c>
      <c r="F160" t="s">
        <v>32</v>
      </c>
      <c r="G160" t="s">
        <v>446</v>
      </c>
      <c r="H160" s="17">
        <v>2663</v>
      </c>
      <c r="I160">
        <f>IF(TbRegistroSaídas[[#This Row],[Data do Caixa Realizado]]="",0,MONTH(TbRegistroSaídas[[#This Row],[Data do Caixa Realizado]]))</f>
        <v>12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48">
        <f>IF(TbRegistroSaídas[[#This Row],[Data do Caixa Previsto]]="",0,MONTH(TbRegistroSaídas[[#This Row],[Data do Caixa Previsto]]))</f>
        <v>12</v>
      </c>
      <c r="N160" s="48">
        <f>IF(TbRegistroSaídas[[#This Row],[Data do Caixa Previsto]]="",0,YEAR(TbRegistroSaídas[[#This Row],[Data do Caixa Previsto]]))</f>
        <v>2018</v>
      </c>
      <c r="O16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1" spans="2:15" x14ac:dyDescent="0.25">
      <c r="B161" s="14">
        <v>43430.953637786966</v>
      </c>
      <c r="C161" s="14">
        <v>43430</v>
      </c>
      <c r="D161" s="14">
        <v>43430.953637786966</v>
      </c>
      <c r="E161" t="s">
        <v>37</v>
      </c>
      <c r="F161" t="s">
        <v>44</v>
      </c>
      <c r="G161" t="s">
        <v>447</v>
      </c>
      <c r="H161" s="17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48">
        <f>IF(TbRegistroSaídas[[#This Row],[Data do Caixa Previsto]]="",0,MONTH(TbRegistroSaídas[[#This Row],[Data do Caixa Previsto]]))</f>
        <v>11</v>
      </c>
      <c r="N161" s="48">
        <f>IF(TbRegistroSaídas[[#This Row],[Data do Caixa Previsto]]="",0,YEAR(TbRegistroSaídas[[#This Row],[Data do Caixa Previsto]]))</f>
        <v>2018</v>
      </c>
      <c r="O16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2" spans="2:15" x14ac:dyDescent="0.25">
      <c r="B162" s="14">
        <v>43517.76387190332</v>
      </c>
      <c r="C162" s="14">
        <v>43433</v>
      </c>
      <c r="D162" s="14">
        <v>43478.804327652433</v>
      </c>
      <c r="E162" t="s">
        <v>37</v>
      </c>
      <c r="F162" t="s">
        <v>32</v>
      </c>
      <c r="G162" t="s">
        <v>448</v>
      </c>
      <c r="H162" s="17">
        <v>2030</v>
      </c>
      <c r="I162">
        <f>IF(TbRegistroSaídas[[#This Row],[Data do Caixa Realizado]]="",0,MONTH(TbRegistroSaídas[[#This Row],[Data do Caixa Realizado]]))</f>
        <v>2</v>
      </c>
      <c r="J162">
        <f>IF(TbRegistroSaídas[[#This Row],[Data do Caixa Realizado]]="",0,YEAR(TbRegistroSaídas[[#This Row],[Data do Caixa Realizado]]))</f>
        <v>2019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48">
        <f>IF(TbRegistroSaídas[[#This Row],[Data do Caixa Previsto]]="",0,MONTH(TbRegistroSaídas[[#This Row],[Data do Caixa Previsto]]))</f>
        <v>1</v>
      </c>
      <c r="N162" s="48">
        <f>IF(TbRegistroSaídas[[#This Row],[Data do Caixa Previsto]]="",0,YEAR(TbRegistroSaídas[[#This Row],[Data do Caixa Previsto]]))</f>
        <v>2019</v>
      </c>
      <c r="O16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38.95954425088712</v>
      </c>
    </row>
    <row r="163" spans="2:15" x14ac:dyDescent="0.25">
      <c r="B163" s="14" t="s">
        <v>74</v>
      </c>
      <c r="C163" s="14">
        <v>43436</v>
      </c>
      <c r="D163" s="14">
        <v>43485.820929970221</v>
      </c>
      <c r="E163" t="s">
        <v>37</v>
      </c>
      <c r="F163" t="s">
        <v>31</v>
      </c>
      <c r="G163" t="s">
        <v>449</v>
      </c>
      <c r="H163" s="17">
        <v>2117</v>
      </c>
      <c r="I163">
        <f>IF(TbRegistroSaídas[[#This Row],[Data do Caixa Realizado]]="",0,MONTH(TbRegistroSaídas[[#This Row],[Data do Caixa Realizado]]))</f>
        <v>0</v>
      </c>
      <c r="J163">
        <f>IF(TbRegistroSaídas[[#This Row],[Data do Caixa Realizado]]="",0,YEAR(TbRegistroSaídas[[#This Row],[Data do Caixa Realizado]]))</f>
        <v>0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48">
        <f>IF(TbRegistroSaídas[[#This Row],[Data do Caixa Previsto]]="",0,MONTH(TbRegistroSaídas[[#This Row],[Data do Caixa Previsto]]))</f>
        <v>1</v>
      </c>
      <c r="N163" s="48">
        <f>IF(TbRegistroSaídas[[#This Row],[Data do Caixa Previsto]]="",0,YEAR(TbRegistroSaídas[[#This Row],[Data do Caixa Previsto]]))</f>
        <v>2019</v>
      </c>
      <c r="O16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2330.1790700297788</v>
      </c>
    </row>
    <row r="164" spans="2:15" x14ac:dyDescent="0.25">
      <c r="B164" s="14">
        <v>43576.35130395602</v>
      </c>
      <c r="C164" s="14">
        <v>43438</v>
      </c>
      <c r="D164" s="14">
        <v>43494.750065134205</v>
      </c>
      <c r="E164" t="s">
        <v>37</v>
      </c>
      <c r="F164" t="s">
        <v>44</v>
      </c>
      <c r="G164" t="s">
        <v>450</v>
      </c>
      <c r="H164" s="17">
        <v>1236</v>
      </c>
      <c r="I164">
        <f>IF(TbRegistroSaídas[[#This Row],[Data do Caixa Realizado]]="",0,MONTH(TbRegistroSaídas[[#This Row],[Data do Caixa Realizado]]))</f>
        <v>4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48">
        <f>IF(TbRegistroSaídas[[#This Row],[Data do Caixa Previsto]]="",0,MONTH(TbRegistroSaídas[[#This Row],[Data do Caixa Previsto]]))</f>
        <v>1</v>
      </c>
      <c r="N164" s="48">
        <f>IF(TbRegistroSaídas[[#This Row],[Data do Caixa Previsto]]="",0,YEAR(TbRegistroSaídas[[#This Row],[Data do Caixa Previsto]]))</f>
        <v>2019</v>
      </c>
      <c r="O16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81.601238821815059</v>
      </c>
    </row>
    <row r="165" spans="2:15" x14ac:dyDescent="0.25">
      <c r="B165" s="14">
        <v>43465.7468934922</v>
      </c>
      <c r="C165" s="14">
        <v>43443</v>
      </c>
      <c r="D165" s="14">
        <v>43465.7468934922</v>
      </c>
      <c r="E165" t="s">
        <v>37</v>
      </c>
      <c r="F165" t="s">
        <v>44</v>
      </c>
      <c r="G165" t="s">
        <v>451</v>
      </c>
      <c r="H165" s="17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48">
        <f>IF(TbRegistroSaídas[[#This Row],[Data do Caixa Previsto]]="",0,MONTH(TbRegistroSaídas[[#This Row],[Data do Caixa Previsto]]))</f>
        <v>12</v>
      </c>
      <c r="N165" s="48">
        <f>IF(TbRegistroSaídas[[#This Row],[Data do Caixa Previsto]]="",0,YEAR(TbRegistroSaídas[[#This Row],[Data do Caixa Previsto]]))</f>
        <v>2018</v>
      </c>
      <c r="O16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66" spans="2:15" x14ac:dyDescent="0.25">
      <c r="B166" s="14">
        <v>43465.107280855569</v>
      </c>
      <c r="C166" s="14">
        <v>43444</v>
      </c>
      <c r="D166" s="14">
        <v>43458.160574156776</v>
      </c>
      <c r="E166" t="s">
        <v>37</v>
      </c>
      <c r="F166" t="s">
        <v>31</v>
      </c>
      <c r="G166" t="s">
        <v>452</v>
      </c>
      <c r="H166" s="17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48">
        <f>IF(TbRegistroSaídas[[#This Row],[Data do Caixa Previsto]]="",0,MONTH(TbRegistroSaídas[[#This Row],[Data do Caixa Previsto]]))</f>
        <v>12</v>
      </c>
      <c r="N166" s="48">
        <f>IF(TbRegistroSaídas[[#This Row],[Data do Caixa Previsto]]="",0,YEAR(TbRegistroSaídas[[#This Row],[Data do Caixa Previsto]]))</f>
        <v>2018</v>
      </c>
      <c r="O16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6.9467066987926955</v>
      </c>
    </row>
    <row r="167" spans="2:15" x14ac:dyDescent="0.25">
      <c r="B167" s="14" t="s">
        <v>74</v>
      </c>
      <c r="C167" s="14">
        <v>43448</v>
      </c>
      <c r="D167" s="14">
        <v>43480.746977784853</v>
      </c>
      <c r="E167" t="s">
        <v>37</v>
      </c>
      <c r="F167" t="s">
        <v>44</v>
      </c>
      <c r="G167" t="s">
        <v>453</v>
      </c>
      <c r="H167" s="17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48">
        <f>IF(TbRegistroSaídas[[#This Row],[Data do Caixa Previsto]]="",0,MONTH(TbRegistroSaídas[[#This Row],[Data do Caixa Previsto]]))</f>
        <v>1</v>
      </c>
      <c r="N167" s="48">
        <f>IF(TbRegistroSaídas[[#This Row],[Data do Caixa Previsto]]="",0,YEAR(TbRegistroSaídas[[#This Row],[Data do Caixa Previsto]]))</f>
        <v>2019</v>
      </c>
      <c r="O16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2335.2530222151472</v>
      </c>
    </row>
    <row r="168" spans="2:15" x14ac:dyDescent="0.25">
      <c r="B168" s="14">
        <v>43506.264597842761</v>
      </c>
      <c r="C168" s="14">
        <v>43449</v>
      </c>
      <c r="D168" s="14">
        <v>43489.335938548378</v>
      </c>
      <c r="E168" t="s">
        <v>37</v>
      </c>
      <c r="F168" t="s">
        <v>44</v>
      </c>
      <c r="G168" t="s">
        <v>454</v>
      </c>
      <c r="H168" s="17">
        <v>1434</v>
      </c>
      <c r="I168">
        <f>IF(TbRegistroSaídas[[#This Row],[Data do Caixa Realizado]]="",0,MONTH(TbRegistroSaídas[[#This Row],[Data do Caixa Realizado]]))</f>
        <v>2</v>
      </c>
      <c r="J168">
        <f>IF(TbRegistroSaídas[[#This Row],[Data do Caixa Realizado]]="",0,YEAR(TbRegistroSaídas[[#This Row],[Data do Caixa Realizado]]))</f>
        <v>2019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48">
        <f>IF(TbRegistroSaídas[[#This Row],[Data do Caixa Previsto]]="",0,MONTH(TbRegistroSaídas[[#This Row],[Data do Caixa Previsto]]))</f>
        <v>1</v>
      </c>
      <c r="N168" s="48">
        <f>IF(TbRegistroSaídas[[#This Row],[Data do Caixa Previsto]]="",0,YEAR(TbRegistroSaídas[[#This Row],[Data do Caixa Previsto]]))</f>
        <v>2019</v>
      </c>
      <c r="O16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16.928659294382669</v>
      </c>
    </row>
    <row r="169" spans="2:15" x14ac:dyDescent="0.25">
      <c r="B169" s="14">
        <v>43487.188431641203</v>
      </c>
      <c r="C169" s="14">
        <v>43452</v>
      </c>
      <c r="D169" s="14">
        <v>43487.188431641203</v>
      </c>
      <c r="E169" t="s">
        <v>37</v>
      </c>
      <c r="F169" t="s">
        <v>35</v>
      </c>
      <c r="G169" t="s">
        <v>455</v>
      </c>
      <c r="H169" s="17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48">
        <f>IF(TbRegistroSaídas[[#This Row],[Data do Caixa Previsto]]="",0,MONTH(TbRegistroSaídas[[#This Row],[Data do Caixa Previsto]]))</f>
        <v>1</v>
      </c>
      <c r="N169" s="48">
        <f>IF(TbRegistroSaídas[[#This Row],[Data do Caixa Previsto]]="",0,YEAR(TbRegistroSaídas[[#This Row],[Data do Caixa Previsto]]))</f>
        <v>2019</v>
      </c>
      <c r="O16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0" spans="2:15" x14ac:dyDescent="0.25">
      <c r="B170" s="14">
        <v>43514.403187421965</v>
      </c>
      <c r="C170" s="14">
        <v>43459</v>
      </c>
      <c r="D170" s="14">
        <v>43514.403187421965</v>
      </c>
      <c r="E170" t="s">
        <v>37</v>
      </c>
      <c r="F170" t="s">
        <v>44</v>
      </c>
      <c r="G170" t="s">
        <v>456</v>
      </c>
      <c r="H170" s="17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48">
        <f>IF(TbRegistroSaídas[[#This Row],[Data do Caixa Previsto]]="",0,MONTH(TbRegistroSaídas[[#This Row],[Data do Caixa Previsto]]))</f>
        <v>2</v>
      </c>
      <c r="N170" s="48">
        <f>IF(TbRegistroSaídas[[#This Row],[Data do Caixa Previsto]]="",0,YEAR(TbRegistroSaídas[[#This Row],[Data do Caixa Previsto]]))</f>
        <v>2019</v>
      </c>
      <c r="O17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1" spans="2:15" x14ac:dyDescent="0.25">
      <c r="B171" s="14">
        <v>43491.679228472654</v>
      </c>
      <c r="C171" s="14">
        <v>43461</v>
      </c>
      <c r="D171" s="14">
        <v>43491.679228472654</v>
      </c>
      <c r="E171" t="s">
        <v>37</v>
      </c>
      <c r="F171" t="s">
        <v>44</v>
      </c>
      <c r="G171" t="s">
        <v>457</v>
      </c>
      <c r="H171" s="17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48">
        <f>IF(TbRegistroSaídas[[#This Row],[Data do Caixa Previsto]]="",0,MONTH(TbRegistroSaídas[[#This Row],[Data do Caixa Previsto]]))</f>
        <v>1</v>
      </c>
      <c r="N171" s="48">
        <f>IF(TbRegistroSaídas[[#This Row],[Data do Caixa Previsto]]="",0,YEAR(TbRegistroSaídas[[#This Row],[Data do Caixa Previsto]]))</f>
        <v>2019</v>
      </c>
      <c r="O17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2" spans="2:15" x14ac:dyDescent="0.25">
      <c r="B172" s="14">
        <v>43515.206907104708</v>
      </c>
      <c r="C172" s="14">
        <v>43464</v>
      </c>
      <c r="D172" s="14">
        <v>43515.206907104708</v>
      </c>
      <c r="E172" t="s">
        <v>37</v>
      </c>
      <c r="F172" t="s">
        <v>35</v>
      </c>
      <c r="G172" t="s">
        <v>458</v>
      </c>
      <c r="H172" s="17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48">
        <f>IF(TbRegistroSaídas[[#This Row],[Data do Caixa Previsto]]="",0,MONTH(TbRegistroSaídas[[#This Row],[Data do Caixa Previsto]]))</f>
        <v>2</v>
      </c>
      <c r="N172" s="48">
        <f>IF(TbRegistroSaídas[[#This Row],[Data do Caixa Previsto]]="",0,YEAR(TbRegistroSaídas[[#This Row],[Data do Caixa Previsto]]))</f>
        <v>2019</v>
      </c>
      <c r="O17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3" spans="2:15" x14ac:dyDescent="0.25">
      <c r="B173" s="14">
        <v>43573.207294267304</v>
      </c>
      <c r="C173" s="14">
        <v>43467</v>
      </c>
      <c r="D173" s="14">
        <v>43483.579939553441</v>
      </c>
      <c r="E173" t="s">
        <v>37</v>
      </c>
      <c r="F173" t="s">
        <v>35</v>
      </c>
      <c r="G173" t="s">
        <v>459</v>
      </c>
      <c r="H173" s="17">
        <v>2190</v>
      </c>
      <c r="I173">
        <f>IF(TbRegistroSaídas[[#This Row],[Data do Caixa Realizado]]="",0,MONTH(TbRegistroSaídas[[#This Row],[Data do Caixa Realizado]]))</f>
        <v>4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48">
        <f>IF(TbRegistroSaídas[[#This Row],[Data do Caixa Previsto]]="",0,MONTH(TbRegistroSaídas[[#This Row],[Data do Caixa Previsto]]))</f>
        <v>1</v>
      </c>
      <c r="N173" s="48">
        <f>IF(TbRegistroSaídas[[#This Row],[Data do Caixa Previsto]]="",0,YEAR(TbRegistroSaídas[[#This Row],[Data do Caixa Previsto]]))</f>
        <v>2019</v>
      </c>
      <c r="O17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89.627354713862587</v>
      </c>
    </row>
    <row r="174" spans="2:15" x14ac:dyDescent="0.25">
      <c r="B174" s="14">
        <v>43485.642328387614</v>
      </c>
      <c r="C174" s="14">
        <v>43469</v>
      </c>
      <c r="D174" s="14">
        <v>43485.642328387614</v>
      </c>
      <c r="E174" t="s">
        <v>37</v>
      </c>
      <c r="F174" t="s">
        <v>44</v>
      </c>
      <c r="G174" t="s">
        <v>460</v>
      </c>
      <c r="H174" s="17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48">
        <f>IF(TbRegistroSaídas[[#This Row],[Data do Caixa Previsto]]="",0,MONTH(TbRegistroSaídas[[#This Row],[Data do Caixa Previsto]]))</f>
        <v>1</v>
      </c>
      <c r="N174" s="48">
        <f>IF(TbRegistroSaídas[[#This Row],[Data do Caixa Previsto]]="",0,YEAR(TbRegistroSaídas[[#This Row],[Data do Caixa Previsto]]))</f>
        <v>2019</v>
      </c>
      <c r="O17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5" spans="2:15" x14ac:dyDescent="0.25">
      <c r="B175" s="14">
        <v>43501.032672097659</v>
      </c>
      <c r="C175" s="14">
        <v>43476</v>
      </c>
      <c r="D175" s="14">
        <v>43501.032672097659</v>
      </c>
      <c r="E175" t="s">
        <v>37</v>
      </c>
      <c r="F175" t="s">
        <v>44</v>
      </c>
      <c r="G175" t="s">
        <v>461</v>
      </c>
      <c r="H175" s="17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48">
        <f>IF(TbRegistroSaídas[[#This Row],[Data do Caixa Previsto]]="",0,MONTH(TbRegistroSaídas[[#This Row],[Data do Caixa Previsto]]))</f>
        <v>2</v>
      </c>
      <c r="N175" s="48">
        <f>IF(TbRegistroSaídas[[#This Row],[Data do Caixa Previsto]]="",0,YEAR(TbRegistroSaídas[[#This Row],[Data do Caixa Previsto]]))</f>
        <v>2019</v>
      </c>
      <c r="O17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6" spans="2:15" x14ac:dyDescent="0.25">
      <c r="B176" s="14">
        <v>43495.478907818499</v>
      </c>
      <c r="C176" s="14">
        <v>43479</v>
      </c>
      <c r="D176" s="14">
        <v>43495.478907818499</v>
      </c>
      <c r="E176" t="s">
        <v>37</v>
      </c>
      <c r="F176" t="s">
        <v>44</v>
      </c>
      <c r="G176" t="s">
        <v>462</v>
      </c>
      <c r="H176" s="17">
        <v>4928</v>
      </c>
      <c r="I176">
        <f>IF(TbRegistroSaídas[[#This Row],[Data do Caixa Realizado]]="",0,MONTH(TbRegistroSaídas[[#This Row],[Data do Caixa Realizado]]))</f>
        <v>1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48">
        <f>IF(TbRegistroSaídas[[#This Row],[Data do Caixa Previsto]]="",0,MONTH(TbRegistroSaídas[[#This Row],[Data do Caixa Previsto]]))</f>
        <v>1</v>
      </c>
      <c r="N176" s="48">
        <f>IF(TbRegistroSaídas[[#This Row],[Data do Caixa Previsto]]="",0,YEAR(TbRegistroSaídas[[#This Row],[Data do Caixa Previsto]]))</f>
        <v>2019</v>
      </c>
      <c r="O17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7" spans="2:15" x14ac:dyDescent="0.25">
      <c r="B177" s="14">
        <v>43536.025611727033</v>
      </c>
      <c r="C177" s="14">
        <v>43482</v>
      </c>
      <c r="D177" s="14">
        <v>43536.025611727033</v>
      </c>
      <c r="E177" t="s">
        <v>37</v>
      </c>
      <c r="F177" t="s">
        <v>35</v>
      </c>
      <c r="G177" t="s">
        <v>463</v>
      </c>
      <c r="H177" s="17">
        <v>4179</v>
      </c>
      <c r="I177">
        <f>IF(TbRegistroSaídas[[#This Row],[Data do Caixa Realizado]]="",0,MONTH(TbRegistroSaídas[[#This Row],[Data do Caixa Realizado]]))</f>
        <v>3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48">
        <f>IF(TbRegistroSaídas[[#This Row],[Data do Caixa Previsto]]="",0,MONTH(TbRegistroSaídas[[#This Row],[Data do Caixa Previsto]]))</f>
        <v>3</v>
      </c>
      <c r="N177" s="48">
        <f>IF(TbRegistroSaídas[[#This Row],[Data do Caixa Previsto]]="",0,YEAR(TbRegistroSaídas[[#This Row],[Data do Caixa Previsto]]))</f>
        <v>2019</v>
      </c>
      <c r="O17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8" spans="2:15" x14ac:dyDescent="0.25">
      <c r="B178" s="14">
        <v>43499.993512821027</v>
      </c>
      <c r="C178" s="14">
        <v>43484</v>
      </c>
      <c r="D178" s="14">
        <v>43499.993512821027</v>
      </c>
      <c r="E178" t="s">
        <v>37</v>
      </c>
      <c r="F178" t="s">
        <v>31</v>
      </c>
      <c r="G178" t="s">
        <v>464</v>
      </c>
      <c r="H178" s="17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48">
        <f>IF(TbRegistroSaídas[[#This Row],[Data do Caixa Previsto]]="",0,MONTH(TbRegistroSaídas[[#This Row],[Data do Caixa Previsto]]))</f>
        <v>2</v>
      </c>
      <c r="N178" s="48">
        <f>IF(TbRegistroSaídas[[#This Row],[Data do Caixa Previsto]]="",0,YEAR(TbRegistroSaídas[[#This Row],[Data do Caixa Previsto]]))</f>
        <v>2019</v>
      </c>
      <c r="O17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79" spans="2:15" x14ac:dyDescent="0.25">
      <c r="B179" s="14">
        <v>43498.131083059947</v>
      </c>
      <c r="C179" s="14">
        <v>43487</v>
      </c>
      <c r="D179" s="14">
        <v>43498.131083059947</v>
      </c>
      <c r="E179" t="s">
        <v>37</v>
      </c>
      <c r="F179" t="s">
        <v>44</v>
      </c>
      <c r="G179" t="s">
        <v>380</v>
      </c>
      <c r="H179" s="17">
        <v>4092</v>
      </c>
      <c r="I179">
        <f>IF(TbRegistroSaídas[[#This Row],[Data do Caixa Realizado]]="",0,MONTH(TbRegistroSaídas[[#This Row],[Data do Caixa Realizado]]))</f>
        <v>2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48">
        <f>IF(TbRegistroSaídas[[#This Row],[Data do Caixa Previsto]]="",0,MONTH(TbRegistroSaídas[[#This Row],[Data do Caixa Previsto]]))</f>
        <v>2</v>
      </c>
      <c r="N179" s="48">
        <f>IF(TbRegistroSaídas[[#This Row],[Data do Caixa Previsto]]="",0,YEAR(TbRegistroSaídas[[#This Row],[Data do Caixa Previsto]]))</f>
        <v>2019</v>
      </c>
      <c r="O17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0" spans="2:15" x14ac:dyDescent="0.25">
      <c r="B180" s="14">
        <v>43496.93367126838</v>
      </c>
      <c r="C180" s="14">
        <v>43492</v>
      </c>
      <c r="D180" s="14">
        <v>43496.93367126838</v>
      </c>
      <c r="E180" t="s">
        <v>37</v>
      </c>
      <c r="F180" t="s">
        <v>44</v>
      </c>
      <c r="G180" t="s">
        <v>465</v>
      </c>
      <c r="H180" s="17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48">
        <f>IF(TbRegistroSaídas[[#This Row],[Data do Caixa Previsto]]="",0,MONTH(TbRegistroSaídas[[#This Row],[Data do Caixa Previsto]]))</f>
        <v>1</v>
      </c>
      <c r="N180" s="48">
        <f>IF(TbRegistroSaídas[[#This Row],[Data do Caixa Previsto]]="",0,YEAR(TbRegistroSaídas[[#This Row],[Data do Caixa Previsto]]))</f>
        <v>2019</v>
      </c>
      <c r="O18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1" spans="2:15" x14ac:dyDescent="0.25">
      <c r="B181" s="14">
        <v>43509.777939985303</v>
      </c>
      <c r="C181" s="14">
        <v>43496</v>
      </c>
      <c r="D181" s="14">
        <v>43509.777939985303</v>
      </c>
      <c r="E181" t="s">
        <v>37</v>
      </c>
      <c r="F181" t="s">
        <v>35</v>
      </c>
      <c r="G181" t="s">
        <v>466</v>
      </c>
      <c r="H181" s="17">
        <v>533</v>
      </c>
      <c r="I181">
        <f>IF(TbRegistroSaídas[[#This Row],[Data do Caixa Realizado]]="",0,MONTH(TbRegistroSaídas[[#This Row],[Data do Caixa Realizado]]))</f>
        <v>2</v>
      </c>
      <c r="J181">
        <f>IF(TbRegistroSaídas[[#This Row],[Data do Caixa Realizado]]="",0,YEAR(TbRegistroSaídas[[#This Row],[Data do Caixa Realizado]]))</f>
        <v>2019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48">
        <f>IF(TbRegistroSaídas[[#This Row],[Data do Caixa Previsto]]="",0,MONTH(TbRegistroSaídas[[#This Row],[Data do Caixa Previsto]]))</f>
        <v>2</v>
      </c>
      <c r="N181" s="48">
        <f>IF(TbRegistroSaídas[[#This Row],[Data do Caixa Previsto]]="",0,YEAR(TbRegistroSaídas[[#This Row],[Data do Caixa Previsto]]))</f>
        <v>2019</v>
      </c>
      <c r="O18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2" spans="2:15" x14ac:dyDescent="0.25">
      <c r="B182" s="14">
        <v>43520.73063092697</v>
      </c>
      <c r="C182" s="14">
        <v>43497</v>
      </c>
      <c r="D182" s="14">
        <v>43520.73063092697</v>
      </c>
      <c r="E182" t="s">
        <v>37</v>
      </c>
      <c r="F182" t="s">
        <v>32</v>
      </c>
      <c r="G182" t="s">
        <v>467</v>
      </c>
      <c r="H182" s="17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48">
        <f>IF(TbRegistroSaídas[[#This Row],[Data do Caixa Previsto]]="",0,MONTH(TbRegistroSaídas[[#This Row],[Data do Caixa Previsto]]))</f>
        <v>2</v>
      </c>
      <c r="N182" s="48">
        <f>IF(TbRegistroSaídas[[#This Row],[Data do Caixa Previsto]]="",0,YEAR(TbRegistroSaídas[[#This Row],[Data do Caixa Previsto]]))</f>
        <v>2019</v>
      </c>
      <c r="O18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3" spans="2:15" x14ac:dyDescent="0.25">
      <c r="B183" s="14">
        <v>43548.78797907626</v>
      </c>
      <c r="C183" s="14">
        <v>43499</v>
      </c>
      <c r="D183" s="14">
        <v>43548.78797907626</v>
      </c>
      <c r="E183" t="s">
        <v>37</v>
      </c>
      <c r="F183" t="s">
        <v>31</v>
      </c>
      <c r="G183" t="s">
        <v>468</v>
      </c>
      <c r="H183" s="17">
        <v>757</v>
      </c>
      <c r="I183">
        <f>IF(TbRegistroSaídas[[#This Row],[Data do Caixa Realizado]]="",0,MONTH(TbRegistroSaídas[[#This Row],[Data do Caixa Realizado]]))</f>
        <v>3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48">
        <f>IF(TbRegistroSaídas[[#This Row],[Data do Caixa Previsto]]="",0,MONTH(TbRegistroSaídas[[#This Row],[Data do Caixa Previsto]]))</f>
        <v>3</v>
      </c>
      <c r="N183" s="48">
        <f>IF(TbRegistroSaídas[[#This Row],[Data do Caixa Previsto]]="",0,YEAR(TbRegistroSaídas[[#This Row],[Data do Caixa Previsto]]))</f>
        <v>2019</v>
      </c>
      <c r="O18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4" spans="2:15" x14ac:dyDescent="0.25">
      <c r="B184" s="14">
        <v>43552.247547339066</v>
      </c>
      <c r="C184" s="14">
        <v>43503</v>
      </c>
      <c r="D184" s="14">
        <v>43552.247547339066</v>
      </c>
      <c r="E184" t="s">
        <v>37</v>
      </c>
      <c r="F184" t="s">
        <v>44</v>
      </c>
      <c r="G184" t="s">
        <v>469</v>
      </c>
      <c r="H184" s="17">
        <v>2688</v>
      </c>
      <c r="I184">
        <f>IF(TbRegistroSaídas[[#This Row],[Data do Caixa Realizado]]="",0,MONTH(TbRegistroSaídas[[#This Row],[Data do Caixa Realizado]]))</f>
        <v>3</v>
      </c>
      <c r="J184">
        <f>IF(TbRegistroSaídas[[#This Row],[Data do Caixa Realizado]]="",0,YEAR(TbRegistroSaídas[[#This Row],[Data do Caixa Realizado]]))</f>
        <v>2019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48">
        <f>IF(TbRegistroSaídas[[#This Row],[Data do Caixa Previsto]]="",0,MONTH(TbRegistroSaídas[[#This Row],[Data do Caixa Previsto]]))</f>
        <v>3</v>
      </c>
      <c r="N184" s="48">
        <f>IF(TbRegistroSaídas[[#This Row],[Data do Caixa Previsto]]="",0,YEAR(TbRegistroSaídas[[#This Row],[Data do Caixa Previsto]]))</f>
        <v>2019</v>
      </c>
      <c r="O18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5" spans="2:15" x14ac:dyDescent="0.25">
      <c r="B185" s="14">
        <v>43554.442660476037</v>
      </c>
      <c r="C185" s="14">
        <v>43505</v>
      </c>
      <c r="D185" s="14">
        <v>43554.442660476037</v>
      </c>
      <c r="E185" t="s">
        <v>37</v>
      </c>
      <c r="F185" t="s">
        <v>33</v>
      </c>
      <c r="G185" t="s">
        <v>470</v>
      </c>
      <c r="H185" s="17">
        <v>340</v>
      </c>
      <c r="I185">
        <f>IF(TbRegistroSaídas[[#This Row],[Data do Caixa Realizado]]="",0,MONTH(TbRegistroSaídas[[#This Row],[Data do Caixa Realizado]]))</f>
        <v>3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48">
        <f>IF(TbRegistroSaídas[[#This Row],[Data do Caixa Previsto]]="",0,MONTH(TbRegistroSaídas[[#This Row],[Data do Caixa Previsto]]))</f>
        <v>3</v>
      </c>
      <c r="N185" s="48">
        <f>IF(TbRegistroSaídas[[#This Row],[Data do Caixa Previsto]]="",0,YEAR(TbRegistroSaídas[[#This Row],[Data do Caixa Previsto]]))</f>
        <v>2019</v>
      </c>
      <c r="O18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6" spans="2:15" x14ac:dyDescent="0.25">
      <c r="B186" s="14">
        <v>43508.592568137858</v>
      </c>
      <c r="C186" s="14">
        <v>43506</v>
      </c>
      <c r="D186" s="14">
        <v>43508.592568137858</v>
      </c>
      <c r="E186" t="s">
        <v>37</v>
      </c>
      <c r="F186" t="s">
        <v>33</v>
      </c>
      <c r="G186" t="s">
        <v>471</v>
      </c>
      <c r="H186" s="17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48">
        <f>IF(TbRegistroSaídas[[#This Row],[Data do Caixa Previsto]]="",0,MONTH(TbRegistroSaídas[[#This Row],[Data do Caixa Previsto]]))</f>
        <v>2</v>
      </c>
      <c r="N186" s="48">
        <f>IF(TbRegistroSaídas[[#This Row],[Data do Caixa Previsto]]="",0,YEAR(TbRegistroSaídas[[#This Row],[Data do Caixa Previsto]]))</f>
        <v>2019</v>
      </c>
      <c r="O18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7" spans="2:15" x14ac:dyDescent="0.25">
      <c r="B187" s="14">
        <v>43555.285152896111</v>
      </c>
      <c r="C187" s="14">
        <v>43508</v>
      </c>
      <c r="D187" s="14">
        <v>43555.285152896111</v>
      </c>
      <c r="E187" t="s">
        <v>37</v>
      </c>
      <c r="F187" t="s">
        <v>32</v>
      </c>
      <c r="G187" t="s">
        <v>472</v>
      </c>
      <c r="H187" s="17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48">
        <f>IF(TbRegistroSaídas[[#This Row],[Data do Caixa Previsto]]="",0,MONTH(TbRegistroSaídas[[#This Row],[Data do Caixa Previsto]]))</f>
        <v>3</v>
      </c>
      <c r="N187" s="48">
        <f>IF(TbRegistroSaídas[[#This Row],[Data do Caixa Previsto]]="",0,YEAR(TbRegistroSaídas[[#This Row],[Data do Caixa Previsto]]))</f>
        <v>2019</v>
      </c>
      <c r="O18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88" spans="2:15" x14ac:dyDescent="0.25">
      <c r="B188" s="14">
        <v>43619.877278489352</v>
      </c>
      <c r="C188" s="14">
        <v>43517</v>
      </c>
      <c r="D188" s="14">
        <v>43548.006375386678</v>
      </c>
      <c r="E188" t="s">
        <v>37</v>
      </c>
      <c r="F188" t="s">
        <v>35</v>
      </c>
      <c r="G188" t="s">
        <v>473</v>
      </c>
      <c r="H188" s="17">
        <v>4148</v>
      </c>
      <c r="I188">
        <f>IF(TbRegistroSaídas[[#This Row],[Data do Caixa Realizado]]="",0,MONTH(TbRegistroSaídas[[#This Row],[Data do Caixa Realizado]]))</f>
        <v>6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48">
        <f>IF(TbRegistroSaídas[[#This Row],[Data do Caixa Previsto]]="",0,MONTH(TbRegistroSaídas[[#This Row],[Data do Caixa Previsto]]))</f>
        <v>3</v>
      </c>
      <c r="N188" s="48">
        <f>IF(TbRegistroSaídas[[#This Row],[Data do Caixa Previsto]]="",0,YEAR(TbRegistroSaídas[[#This Row],[Data do Caixa Previsto]]))</f>
        <v>2019</v>
      </c>
      <c r="O18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71.870903102673765</v>
      </c>
    </row>
    <row r="189" spans="2:15" x14ac:dyDescent="0.25">
      <c r="B189" s="14">
        <v>43566.482468635586</v>
      </c>
      <c r="C189" s="14">
        <v>43521</v>
      </c>
      <c r="D189" s="14">
        <v>43553.920091748245</v>
      </c>
      <c r="E189" t="s">
        <v>37</v>
      </c>
      <c r="F189" t="s">
        <v>44</v>
      </c>
      <c r="G189" t="s">
        <v>474</v>
      </c>
      <c r="H189" s="17">
        <v>4303</v>
      </c>
      <c r="I189">
        <f>IF(TbRegistroSaídas[[#This Row],[Data do Caixa Realizado]]="",0,MONTH(TbRegistroSaídas[[#This Row],[Data do Caixa Realizado]]))</f>
        <v>4</v>
      </c>
      <c r="J189">
        <f>IF(TbRegistroSaídas[[#This Row],[Data do Caixa Realizado]]="",0,YEAR(TbRegistroSaídas[[#This Row],[Data do Caixa Realizado]]))</f>
        <v>2019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48">
        <f>IF(TbRegistroSaídas[[#This Row],[Data do Caixa Previsto]]="",0,MONTH(TbRegistroSaídas[[#This Row],[Data do Caixa Previsto]]))</f>
        <v>3</v>
      </c>
      <c r="N189" s="48">
        <f>IF(TbRegistroSaídas[[#This Row],[Data do Caixa Previsto]]="",0,YEAR(TbRegistroSaídas[[#This Row],[Data do Caixa Previsto]]))</f>
        <v>2019</v>
      </c>
      <c r="O18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12.562376887341088</v>
      </c>
    </row>
    <row r="190" spans="2:15" x14ac:dyDescent="0.25">
      <c r="B190" s="14">
        <v>43531.738180250693</v>
      </c>
      <c r="C190" s="14">
        <v>43523</v>
      </c>
      <c r="D190" s="14">
        <v>43531.738180250693</v>
      </c>
      <c r="E190" t="s">
        <v>37</v>
      </c>
      <c r="F190" t="s">
        <v>33</v>
      </c>
      <c r="G190" t="s">
        <v>475</v>
      </c>
      <c r="H190" s="17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48">
        <f>IF(TbRegistroSaídas[[#This Row],[Data do Caixa Previsto]]="",0,MONTH(TbRegistroSaídas[[#This Row],[Data do Caixa Previsto]]))</f>
        <v>3</v>
      </c>
      <c r="N190" s="48">
        <f>IF(TbRegistroSaídas[[#This Row],[Data do Caixa Previsto]]="",0,YEAR(TbRegistroSaídas[[#This Row],[Data do Caixa Previsto]]))</f>
        <v>2019</v>
      </c>
      <c r="O19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1" spans="2:15" x14ac:dyDescent="0.25">
      <c r="B191" s="14">
        <v>43569.835590824536</v>
      </c>
      <c r="C191" s="14">
        <v>43526</v>
      </c>
      <c r="D191" s="14">
        <v>43569.835590824536</v>
      </c>
      <c r="E191" t="s">
        <v>37</v>
      </c>
      <c r="F191" t="s">
        <v>31</v>
      </c>
      <c r="G191" t="s">
        <v>476</v>
      </c>
      <c r="H191" s="17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48">
        <f>IF(TbRegistroSaídas[[#This Row],[Data do Caixa Previsto]]="",0,MONTH(TbRegistroSaídas[[#This Row],[Data do Caixa Previsto]]))</f>
        <v>4</v>
      </c>
      <c r="N191" s="48">
        <f>IF(TbRegistroSaídas[[#This Row],[Data do Caixa Previsto]]="",0,YEAR(TbRegistroSaídas[[#This Row],[Data do Caixa Previsto]]))</f>
        <v>2019</v>
      </c>
      <c r="O19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2" spans="2:15" x14ac:dyDescent="0.25">
      <c r="B192" s="14">
        <v>43567.757979105008</v>
      </c>
      <c r="C192" s="14">
        <v>43530</v>
      </c>
      <c r="D192" s="14">
        <v>43567.757979105008</v>
      </c>
      <c r="E192" t="s">
        <v>37</v>
      </c>
      <c r="F192" t="s">
        <v>31</v>
      </c>
      <c r="G192" t="s">
        <v>477</v>
      </c>
      <c r="H192" s="17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48">
        <f>IF(TbRegistroSaídas[[#This Row],[Data do Caixa Previsto]]="",0,MONTH(TbRegistroSaídas[[#This Row],[Data do Caixa Previsto]]))</f>
        <v>4</v>
      </c>
      <c r="N192" s="48">
        <f>IF(TbRegistroSaídas[[#This Row],[Data do Caixa Previsto]]="",0,YEAR(TbRegistroSaídas[[#This Row],[Data do Caixa Previsto]]))</f>
        <v>2019</v>
      </c>
      <c r="O19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3" spans="2:15" x14ac:dyDescent="0.25">
      <c r="B193" s="14">
        <v>43535.079288493936</v>
      </c>
      <c r="C193" s="14">
        <v>43532</v>
      </c>
      <c r="D193" s="14">
        <v>43535.079288493936</v>
      </c>
      <c r="E193" t="s">
        <v>37</v>
      </c>
      <c r="F193" t="s">
        <v>44</v>
      </c>
      <c r="G193" t="s">
        <v>478</v>
      </c>
      <c r="H193" s="17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48">
        <f>IF(TbRegistroSaídas[[#This Row],[Data do Caixa Previsto]]="",0,MONTH(TbRegistroSaídas[[#This Row],[Data do Caixa Previsto]]))</f>
        <v>3</v>
      </c>
      <c r="N193" s="48">
        <f>IF(TbRegistroSaídas[[#This Row],[Data do Caixa Previsto]]="",0,YEAR(TbRegistroSaídas[[#This Row],[Data do Caixa Previsto]]))</f>
        <v>2019</v>
      </c>
      <c r="O19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4" spans="2:15" x14ac:dyDescent="0.25">
      <c r="B194" s="14">
        <v>43572.596134843683</v>
      </c>
      <c r="C194" s="14">
        <v>43532</v>
      </c>
      <c r="D194" s="14">
        <v>43572.596134843683</v>
      </c>
      <c r="E194" t="s">
        <v>37</v>
      </c>
      <c r="F194" t="s">
        <v>44</v>
      </c>
      <c r="G194" t="s">
        <v>479</v>
      </c>
      <c r="H194" s="17">
        <v>3690</v>
      </c>
      <c r="I194">
        <f>IF(TbRegistroSaídas[[#This Row],[Data do Caixa Realizado]]="",0,MONTH(TbRegistroSaídas[[#This Row],[Data do Caixa Realizado]]))</f>
        <v>4</v>
      </c>
      <c r="J194">
        <f>IF(TbRegistroSaídas[[#This Row],[Data do Caixa Realizado]]="",0,YEAR(TbRegistroSaídas[[#This Row],[Data do Caixa Realizado]]))</f>
        <v>2019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48">
        <f>IF(TbRegistroSaídas[[#This Row],[Data do Caixa Previsto]]="",0,MONTH(TbRegistroSaídas[[#This Row],[Data do Caixa Previsto]]))</f>
        <v>4</v>
      </c>
      <c r="N194" s="48">
        <f>IF(TbRegistroSaídas[[#This Row],[Data do Caixa Previsto]]="",0,YEAR(TbRegistroSaídas[[#This Row],[Data do Caixa Previsto]]))</f>
        <v>2019</v>
      </c>
      <c r="O19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5" spans="2:15" x14ac:dyDescent="0.25">
      <c r="B195" s="14">
        <v>43621.515266358365</v>
      </c>
      <c r="C195" s="14">
        <v>43534</v>
      </c>
      <c r="D195" s="14">
        <v>43570.539022448429</v>
      </c>
      <c r="E195" t="s">
        <v>37</v>
      </c>
      <c r="F195" t="s">
        <v>35</v>
      </c>
      <c r="G195" t="s">
        <v>480</v>
      </c>
      <c r="H195" s="17">
        <v>3746</v>
      </c>
      <c r="I195">
        <f>IF(TbRegistroSaídas[[#This Row],[Data do Caixa Realizado]]="",0,MONTH(TbRegistroSaídas[[#This Row],[Data do Caixa Realizado]]))</f>
        <v>6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48">
        <f>IF(TbRegistroSaídas[[#This Row],[Data do Caixa Previsto]]="",0,MONTH(TbRegistroSaídas[[#This Row],[Data do Caixa Previsto]]))</f>
        <v>4</v>
      </c>
      <c r="N195" s="48">
        <f>IF(TbRegistroSaídas[[#This Row],[Data do Caixa Previsto]]="",0,YEAR(TbRegistroSaídas[[#This Row],[Data do Caixa Previsto]]))</f>
        <v>2019</v>
      </c>
      <c r="O19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50.976243909935874</v>
      </c>
    </row>
    <row r="196" spans="2:15" x14ac:dyDescent="0.25">
      <c r="B196" s="14">
        <v>43571.740759038665</v>
      </c>
      <c r="C196" s="14">
        <v>43536</v>
      </c>
      <c r="D196" s="14">
        <v>43571.740759038665</v>
      </c>
      <c r="E196" t="s">
        <v>37</v>
      </c>
      <c r="F196" t="s">
        <v>31</v>
      </c>
      <c r="G196" t="s">
        <v>481</v>
      </c>
      <c r="H196" s="17">
        <v>4360</v>
      </c>
      <c r="I196">
        <f>IF(TbRegistroSaídas[[#This Row],[Data do Caixa Realizado]]="",0,MONTH(TbRegistroSaídas[[#This Row],[Data do Caixa Realizado]]))</f>
        <v>4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48">
        <f>IF(TbRegistroSaídas[[#This Row],[Data do Caixa Previsto]]="",0,MONTH(TbRegistroSaídas[[#This Row],[Data do Caixa Previsto]]))</f>
        <v>4</v>
      </c>
      <c r="N196" s="48">
        <f>IF(TbRegistroSaídas[[#This Row],[Data do Caixa Previsto]]="",0,YEAR(TbRegistroSaídas[[#This Row],[Data do Caixa Previsto]]))</f>
        <v>2019</v>
      </c>
      <c r="O19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7" spans="2:15" x14ac:dyDescent="0.25">
      <c r="B197" s="14" t="s">
        <v>74</v>
      </c>
      <c r="C197" s="14">
        <v>43537</v>
      </c>
      <c r="D197" s="14">
        <v>43576.376924808807</v>
      </c>
      <c r="E197" t="s">
        <v>37</v>
      </c>
      <c r="F197" t="s">
        <v>35</v>
      </c>
      <c r="G197" t="s">
        <v>482</v>
      </c>
      <c r="H197" s="17">
        <v>1753</v>
      </c>
      <c r="I197">
        <f>IF(TbRegistroSaídas[[#This Row],[Data do Caixa Realizado]]="",0,MONTH(TbRegistroSaídas[[#This Row],[Data do Caixa Realizado]]))</f>
        <v>0</v>
      </c>
      <c r="J197">
        <f>IF(TbRegistroSaídas[[#This Row],[Data do Caixa Realizado]]="",0,YEAR(TbRegistroSaídas[[#This Row],[Data do Caixa Realizado]]))</f>
        <v>0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48">
        <f>IF(TbRegistroSaídas[[#This Row],[Data do Caixa Previsto]]="",0,MONTH(TbRegistroSaídas[[#This Row],[Data do Caixa Previsto]]))</f>
        <v>4</v>
      </c>
      <c r="N197" s="48">
        <f>IF(TbRegistroSaídas[[#This Row],[Data do Caixa Previsto]]="",0,YEAR(TbRegistroSaídas[[#This Row],[Data do Caixa Previsto]]))</f>
        <v>2019</v>
      </c>
      <c r="O19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2239.6230751911935</v>
      </c>
    </row>
    <row r="198" spans="2:15" x14ac:dyDescent="0.25">
      <c r="B198" s="14">
        <v>43543.657350348039</v>
      </c>
      <c r="C198" s="14">
        <v>43540</v>
      </c>
      <c r="D198" s="14">
        <v>43543.657350348039</v>
      </c>
      <c r="E198" t="s">
        <v>37</v>
      </c>
      <c r="F198" t="s">
        <v>31</v>
      </c>
      <c r="G198" t="s">
        <v>483</v>
      </c>
      <c r="H198" s="17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48">
        <f>IF(TbRegistroSaídas[[#This Row],[Data do Caixa Previsto]]="",0,MONTH(TbRegistroSaídas[[#This Row],[Data do Caixa Previsto]]))</f>
        <v>3</v>
      </c>
      <c r="N198" s="48">
        <f>IF(TbRegistroSaídas[[#This Row],[Data do Caixa Previsto]]="",0,YEAR(TbRegistroSaídas[[#This Row],[Data do Caixa Previsto]]))</f>
        <v>2019</v>
      </c>
      <c r="O19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199" spans="2:15" x14ac:dyDescent="0.25">
      <c r="B199" s="14">
        <v>43566.33302641497</v>
      </c>
      <c r="C199" s="14">
        <v>43543</v>
      </c>
      <c r="D199" s="14">
        <v>43566.33302641497</v>
      </c>
      <c r="E199" t="s">
        <v>37</v>
      </c>
      <c r="F199" t="s">
        <v>35</v>
      </c>
      <c r="G199" t="s">
        <v>484</v>
      </c>
      <c r="H199" s="17">
        <v>3565</v>
      </c>
      <c r="I199">
        <f>IF(TbRegistroSaídas[[#This Row],[Data do Caixa Realizado]]="",0,MONTH(TbRegistroSaídas[[#This Row],[Data do Caixa Realizado]]))</f>
        <v>4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48">
        <f>IF(TbRegistroSaídas[[#This Row],[Data do Caixa Previsto]]="",0,MONTH(TbRegistroSaídas[[#This Row],[Data do Caixa Previsto]]))</f>
        <v>4</v>
      </c>
      <c r="N199" s="48">
        <f>IF(TbRegistroSaídas[[#This Row],[Data do Caixa Previsto]]="",0,YEAR(TbRegistroSaídas[[#This Row],[Data do Caixa Previsto]]))</f>
        <v>2019</v>
      </c>
      <c r="O19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0" spans="2:15" x14ac:dyDescent="0.25">
      <c r="B200" s="14">
        <v>43663.382687512385</v>
      </c>
      <c r="C200" s="14">
        <v>43546</v>
      </c>
      <c r="D200" s="14">
        <v>43586.481925868669</v>
      </c>
      <c r="E200" t="s">
        <v>37</v>
      </c>
      <c r="F200" t="s">
        <v>44</v>
      </c>
      <c r="G200" t="s">
        <v>485</v>
      </c>
      <c r="H200" s="17">
        <v>1961</v>
      </c>
      <c r="I200">
        <f>IF(TbRegistroSaídas[[#This Row],[Data do Caixa Realizado]]="",0,MONTH(TbRegistroSaídas[[#This Row],[Data do Caixa Realizado]]))</f>
        <v>7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48">
        <f>IF(TbRegistroSaídas[[#This Row],[Data do Caixa Previsto]]="",0,MONTH(TbRegistroSaídas[[#This Row],[Data do Caixa Previsto]]))</f>
        <v>5</v>
      </c>
      <c r="N200" s="48">
        <f>IF(TbRegistroSaídas[[#This Row],[Data do Caixa Previsto]]="",0,YEAR(TbRegistroSaídas[[#This Row],[Data do Caixa Previsto]]))</f>
        <v>2019</v>
      </c>
      <c r="O20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76.900761643715668</v>
      </c>
    </row>
    <row r="201" spans="2:15" x14ac:dyDescent="0.25">
      <c r="B201" s="14">
        <v>43570.097263655982</v>
      </c>
      <c r="C201" s="14">
        <v>43551</v>
      </c>
      <c r="D201" s="14">
        <v>43557.083579079888</v>
      </c>
      <c r="E201" t="s">
        <v>37</v>
      </c>
      <c r="F201" t="s">
        <v>33</v>
      </c>
      <c r="G201" t="s">
        <v>486</v>
      </c>
      <c r="H201" s="17">
        <v>4854</v>
      </c>
      <c r="I201">
        <f>IF(TbRegistroSaídas[[#This Row],[Data do Caixa Realizado]]="",0,MONTH(TbRegistroSaídas[[#This Row],[Data do Caixa Realizado]]))</f>
        <v>4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48">
        <f>IF(TbRegistroSaídas[[#This Row],[Data do Caixa Previsto]]="",0,MONTH(TbRegistroSaídas[[#This Row],[Data do Caixa Previsto]]))</f>
        <v>4</v>
      </c>
      <c r="N201" s="48">
        <f>IF(TbRegistroSaídas[[#This Row],[Data do Caixa Previsto]]="",0,YEAR(TbRegistroSaídas[[#This Row],[Data do Caixa Previsto]]))</f>
        <v>2019</v>
      </c>
      <c r="O20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13.01368457609351</v>
      </c>
    </row>
    <row r="202" spans="2:15" x14ac:dyDescent="0.25">
      <c r="B202" s="14">
        <v>43578.736317775256</v>
      </c>
      <c r="C202" s="14">
        <v>43557</v>
      </c>
      <c r="D202" s="14">
        <v>43578.736317775256</v>
      </c>
      <c r="E202" t="s">
        <v>37</v>
      </c>
      <c r="F202" t="s">
        <v>31</v>
      </c>
      <c r="G202" t="s">
        <v>487</v>
      </c>
      <c r="H202" s="17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48">
        <f>IF(TbRegistroSaídas[[#This Row],[Data do Caixa Previsto]]="",0,MONTH(TbRegistroSaídas[[#This Row],[Data do Caixa Previsto]]))</f>
        <v>4</v>
      </c>
      <c r="N202" s="48">
        <f>IF(TbRegistroSaídas[[#This Row],[Data do Caixa Previsto]]="",0,YEAR(TbRegistroSaídas[[#This Row],[Data do Caixa Previsto]]))</f>
        <v>2019</v>
      </c>
      <c r="O20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3" spans="2:15" x14ac:dyDescent="0.25">
      <c r="B203" s="14">
        <v>43575.110312084966</v>
      </c>
      <c r="C203" s="14">
        <v>43558</v>
      </c>
      <c r="D203" s="14">
        <v>43560.81847105785</v>
      </c>
      <c r="E203" t="s">
        <v>37</v>
      </c>
      <c r="F203" t="s">
        <v>44</v>
      </c>
      <c r="G203" t="s">
        <v>488</v>
      </c>
      <c r="H203" s="17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48">
        <f>IF(TbRegistroSaídas[[#This Row],[Data do Caixa Previsto]]="",0,MONTH(TbRegistroSaídas[[#This Row],[Data do Caixa Previsto]]))</f>
        <v>4</v>
      </c>
      <c r="N203" s="48">
        <f>IF(TbRegistroSaídas[[#This Row],[Data do Caixa Previsto]]="",0,YEAR(TbRegistroSaídas[[#This Row],[Data do Caixa Previsto]]))</f>
        <v>2019</v>
      </c>
      <c r="O20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14.291841027115879</v>
      </c>
    </row>
    <row r="204" spans="2:15" x14ac:dyDescent="0.25">
      <c r="B204" s="14">
        <v>43605.865431208142</v>
      </c>
      <c r="C204" s="14">
        <v>43561</v>
      </c>
      <c r="D204" s="14">
        <v>43605.865431208142</v>
      </c>
      <c r="E204" t="s">
        <v>37</v>
      </c>
      <c r="F204" t="s">
        <v>33</v>
      </c>
      <c r="G204" t="s">
        <v>489</v>
      </c>
      <c r="H204" s="17">
        <v>2707</v>
      </c>
      <c r="I204">
        <f>IF(TbRegistroSaídas[[#This Row],[Data do Caixa Realizado]]="",0,MONTH(TbRegistroSaídas[[#This Row],[Data do Caixa Realizado]]))</f>
        <v>5</v>
      </c>
      <c r="J204">
        <f>IF(TbRegistroSaídas[[#This Row],[Data do Caixa Realizado]]="",0,YEAR(TbRegistroSaídas[[#This Row],[Data do Caixa Realizado]]))</f>
        <v>2019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48">
        <f>IF(TbRegistroSaídas[[#This Row],[Data do Caixa Previsto]]="",0,MONTH(TbRegistroSaídas[[#This Row],[Data do Caixa Previsto]]))</f>
        <v>5</v>
      </c>
      <c r="N204" s="48">
        <f>IF(TbRegistroSaídas[[#This Row],[Data do Caixa Previsto]]="",0,YEAR(TbRegistroSaídas[[#This Row],[Data do Caixa Previsto]]))</f>
        <v>2019</v>
      </c>
      <c r="O20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5" spans="2:15" x14ac:dyDescent="0.25">
      <c r="B205" s="14">
        <v>43603.683759744941</v>
      </c>
      <c r="C205" s="14">
        <v>43563</v>
      </c>
      <c r="D205" s="14">
        <v>43603.683759744941</v>
      </c>
      <c r="E205" t="s">
        <v>37</v>
      </c>
      <c r="F205" t="s">
        <v>44</v>
      </c>
      <c r="G205" t="s">
        <v>490</v>
      </c>
      <c r="H205" s="17">
        <v>1582</v>
      </c>
      <c r="I205">
        <f>IF(TbRegistroSaídas[[#This Row],[Data do Caixa Realizado]]="",0,MONTH(TbRegistroSaídas[[#This Row],[Data do Caixa Realizado]]))</f>
        <v>5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48">
        <f>IF(TbRegistroSaídas[[#This Row],[Data do Caixa Previsto]]="",0,MONTH(TbRegistroSaídas[[#This Row],[Data do Caixa Previsto]]))</f>
        <v>5</v>
      </c>
      <c r="N205" s="48">
        <f>IF(TbRegistroSaídas[[#This Row],[Data do Caixa Previsto]]="",0,YEAR(TbRegistroSaídas[[#This Row],[Data do Caixa Previsto]]))</f>
        <v>2019</v>
      </c>
      <c r="O20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6" spans="2:15" x14ac:dyDescent="0.25">
      <c r="B206" s="14">
        <v>43599.508668008042</v>
      </c>
      <c r="C206" s="14">
        <v>43565</v>
      </c>
      <c r="D206" s="14">
        <v>43599.508668008042</v>
      </c>
      <c r="E206" t="s">
        <v>37</v>
      </c>
      <c r="F206" t="s">
        <v>44</v>
      </c>
      <c r="G206" t="s">
        <v>491</v>
      </c>
      <c r="H206" s="17">
        <v>3889</v>
      </c>
      <c r="I206">
        <f>IF(TbRegistroSaídas[[#This Row],[Data do Caixa Realizado]]="",0,MONTH(TbRegistroSaídas[[#This Row],[Data do Caixa Realizado]]))</f>
        <v>5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48">
        <f>IF(TbRegistroSaídas[[#This Row],[Data do Caixa Previsto]]="",0,MONTH(TbRegistroSaídas[[#This Row],[Data do Caixa Previsto]]))</f>
        <v>5</v>
      </c>
      <c r="N206" s="48">
        <f>IF(TbRegistroSaídas[[#This Row],[Data do Caixa Previsto]]="",0,YEAR(TbRegistroSaídas[[#This Row],[Data do Caixa Previsto]]))</f>
        <v>2019</v>
      </c>
      <c r="O20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7" spans="2:15" x14ac:dyDescent="0.25">
      <c r="B207" s="14">
        <v>43584.569223583399</v>
      </c>
      <c r="C207" s="14">
        <v>43569</v>
      </c>
      <c r="D207" s="14">
        <v>43584.569223583399</v>
      </c>
      <c r="E207" t="s">
        <v>37</v>
      </c>
      <c r="F207" t="s">
        <v>44</v>
      </c>
      <c r="G207" t="s">
        <v>492</v>
      </c>
      <c r="H207" s="17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48">
        <f>IF(TbRegistroSaídas[[#This Row],[Data do Caixa Previsto]]="",0,MONTH(TbRegistroSaídas[[#This Row],[Data do Caixa Previsto]]))</f>
        <v>4</v>
      </c>
      <c r="N207" s="48">
        <f>IF(TbRegistroSaídas[[#This Row],[Data do Caixa Previsto]]="",0,YEAR(TbRegistroSaídas[[#This Row],[Data do Caixa Previsto]]))</f>
        <v>2019</v>
      </c>
      <c r="O20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8" spans="2:15" x14ac:dyDescent="0.25">
      <c r="B208" s="14">
        <v>43604.655561438565</v>
      </c>
      <c r="C208" s="14">
        <v>43572</v>
      </c>
      <c r="D208" s="14">
        <v>43604.655561438565</v>
      </c>
      <c r="E208" t="s">
        <v>37</v>
      </c>
      <c r="F208" t="s">
        <v>32</v>
      </c>
      <c r="G208" t="s">
        <v>493</v>
      </c>
      <c r="H208" s="17">
        <v>802</v>
      </c>
      <c r="I208">
        <f>IF(TbRegistroSaídas[[#This Row],[Data do Caixa Realizado]]="",0,MONTH(TbRegistroSaídas[[#This Row],[Data do Caixa Realizado]]))</f>
        <v>5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48">
        <f>IF(TbRegistroSaídas[[#This Row],[Data do Caixa Previsto]]="",0,MONTH(TbRegistroSaídas[[#This Row],[Data do Caixa Previsto]]))</f>
        <v>5</v>
      </c>
      <c r="N208" s="48">
        <f>IF(TbRegistroSaídas[[#This Row],[Data do Caixa Previsto]]="",0,YEAR(TbRegistroSaídas[[#This Row],[Data do Caixa Previsto]]))</f>
        <v>2019</v>
      </c>
      <c r="O20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09" spans="2:15" x14ac:dyDescent="0.25">
      <c r="B209" s="14">
        <v>43589.233184767916</v>
      </c>
      <c r="C209" s="14">
        <v>43574</v>
      </c>
      <c r="D209" s="14">
        <v>43589.233184767916</v>
      </c>
      <c r="E209" t="s">
        <v>37</v>
      </c>
      <c r="F209" t="s">
        <v>44</v>
      </c>
      <c r="G209" t="s">
        <v>494</v>
      </c>
      <c r="H209" s="17">
        <v>4513</v>
      </c>
      <c r="I209">
        <f>IF(TbRegistroSaídas[[#This Row],[Data do Caixa Realizado]]="",0,MONTH(TbRegistroSaídas[[#This Row],[Data do Caixa Realizado]]))</f>
        <v>5</v>
      </c>
      <c r="J209">
        <f>IF(TbRegistroSaídas[[#This Row],[Data do Caixa Realizado]]="",0,YEAR(TbRegistroSaídas[[#This Row],[Data do Caixa Realizado]]))</f>
        <v>2019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48">
        <f>IF(TbRegistroSaídas[[#This Row],[Data do Caixa Previsto]]="",0,MONTH(TbRegistroSaídas[[#This Row],[Data do Caixa Previsto]]))</f>
        <v>5</v>
      </c>
      <c r="N209" s="48">
        <f>IF(TbRegistroSaídas[[#This Row],[Data do Caixa Previsto]]="",0,YEAR(TbRegistroSaídas[[#This Row],[Data do Caixa Previsto]]))</f>
        <v>2019</v>
      </c>
      <c r="O20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0" spans="2:15" x14ac:dyDescent="0.25">
      <c r="B210" s="14">
        <v>43586.8659361682</v>
      </c>
      <c r="C210" s="14">
        <v>43576</v>
      </c>
      <c r="D210" s="14">
        <v>43586.8659361682</v>
      </c>
      <c r="E210" t="s">
        <v>37</v>
      </c>
      <c r="F210" t="s">
        <v>44</v>
      </c>
      <c r="G210" t="s">
        <v>495</v>
      </c>
      <c r="H210" s="17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48">
        <f>IF(TbRegistroSaídas[[#This Row],[Data do Caixa Previsto]]="",0,MONTH(TbRegistroSaídas[[#This Row],[Data do Caixa Previsto]]))</f>
        <v>5</v>
      </c>
      <c r="N210" s="48">
        <f>IF(TbRegistroSaídas[[#This Row],[Data do Caixa Previsto]]="",0,YEAR(TbRegistroSaídas[[#This Row],[Data do Caixa Previsto]]))</f>
        <v>2019</v>
      </c>
      <c r="O21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1" spans="2:15" x14ac:dyDescent="0.25">
      <c r="B211" s="14">
        <v>43641.890700157783</v>
      </c>
      <c r="C211" s="14">
        <v>43580</v>
      </c>
      <c r="D211" s="14">
        <v>43635.027119606828</v>
      </c>
      <c r="E211" t="s">
        <v>37</v>
      </c>
      <c r="F211" t="s">
        <v>44</v>
      </c>
      <c r="G211" t="s">
        <v>496</v>
      </c>
      <c r="H211" s="17">
        <v>156</v>
      </c>
      <c r="I211">
        <f>IF(TbRegistroSaídas[[#This Row],[Data do Caixa Realizado]]="",0,MONTH(TbRegistroSaídas[[#This Row],[Data do Caixa Realizado]]))</f>
        <v>6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48">
        <f>IF(TbRegistroSaídas[[#This Row],[Data do Caixa Previsto]]="",0,MONTH(TbRegistroSaídas[[#This Row],[Data do Caixa Previsto]]))</f>
        <v>6</v>
      </c>
      <c r="N211" s="48">
        <f>IF(TbRegistroSaídas[[#This Row],[Data do Caixa Previsto]]="",0,YEAR(TbRegistroSaídas[[#This Row],[Data do Caixa Previsto]]))</f>
        <v>2019</v>
      </c>
      <c r="O21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6.8635805509547936</v>
      </c>
    </row>
    <row r="212" spans="2:15" x14ac:dyDescent="0.25">
      <c r="B212" s="14">
        <v>43622.113483825102</v>
      </c>
      <c r="C212" s="14">
        <v>43582</v>
      </c>
      <c r="D212" s="14">
        <v>43622.113483825102</v>
      </c>
      <c r="E212" t="s">
        <v>37</v>
      </c>
      <c r="F212" t="s">
        <v>32</v>
      </c>
      <c r="G212" t="s">
        <v>497</v>
      </c>
      <c r="H212" s="17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48">
        <f>IF(TbRegistroSaídas[[#This Row],[Data do Caixa Previsto]]="",0,MONTH(TbRegistroSaídas[[#This Row],[Data do Caixa Previsto]]))</f>
        <v>6</v>
      </c>
      <c r="N212" s="48">
        <f>IF(TbRegistroSaídas[[#This Row],[Data do Caixa Previsto]]="",0,YEAR(TbRegistroSaídas[[#This Row],[Data do Caixa Previsto]]))</f>
        <v>2019</v>
      </c>
      <c r="O21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3" spans="2:15" x14ac:dyDescent="0.25">
      <c r="B213" s="14">
        <v>43624.026611669258</v>
      </c>
      <c r="C213" s="14">
        <v>43588</v>
      </c>
      <c r="D213" s="14">
        <v>43624.026611669258</v>
      </c>
      <c r="E213" t="s">
        <v>37</v>
      </c>
      <c r="F213" t="s">
        <v>44</v>
      </c>
      <c r="G213" t="s">
        <v>498</v>
      </c>
      <c r="H213" s="17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48">
        <f>IF(TbRegistroSaídas[[#This Row],[Data do Caixa Previsto]]="",0,MONTH(TbRegistroSaídas[[#This Row],[Data do Caixa Previsto]]))</f>
        <v>6</v>
      </c>
      <c r="N213" s="48">
        <f>IF(TbRegistroSaídas[[#This Row],[Data do Caixa Previsto]]="",0,YEAR(TbRegistroSaídas[[#This Row],[Data do Caixa Previsto]]))</f>
        <v>2019</v>
      </c>
      <c r="O21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4" spans="2:15" x14ac:dyDescent="0.25">
      <c r="B214" s="14">
        <v>43595.700139752473</v>
      </c>
      <c r="C214" s="14">
        <v>43590</v>
      </c>
      <c r="D214" s="14">
        <v>43595.700139752473</v>
      </c>
      <c r="E214" t="s">
        <v>37</v>
      </c>
      <c r="F214" t="s">
        <v>44</v>
      </c>
      <c r="G214" t="s">
        <v>499</v>
      </c>
      <c r="H214" s="17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48">
        <f>IF(TbRegistroSaídas[[#This Row],[Data do Caixa Previsto]]="",0,MONTH(TbRegistroSaídas[[#This Row],[Data do Caixa Previsto]]))</f>
        <v>5</v>
      </c>
      <c r="N214" s="48">
        <f>IF(TbRegistroSaídas[[#This Row],[Data do Caixa Previsto]]="",0,YEAR(TbRegistroSaídas[[#This Row],[Data do Caixa Previsto]]))</f>
        <v>2019</v>
      </c>
      <c r="O21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5" spans="2:15" x14ac:dyDescent="0.25">
      <c r="B215" s="14">
        <v>43613.712962366597</v>
      </c>
      <c r="C215" s="14">
        <v>43591</v>
      </c>
      <c r="D215" s="14">
        <v>43613.712962366597</v>
      </c>
      <c r="E215" t="s">
        <v>37</v>
      </c>
      <c r="F215" t="s">
        <v>32</v>
      </c>
      <c r="G215" t="s">
        <v>500</v>
      </c>
      <c r="H215" s="17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48">
        <f>IF(TbRegistroSaídas[[#This Row],[Data do Caixa Previsto]]="",0,MONTH(TbRegistroSaídas[[#This Row],[Data do Caixa Previsto]]))</f>
        <v>5</v>
      </c>
      <c r="N215" s="48">
        <f>IF(TbRegistroSaídas[[#This Row],[Data do Caixa Previsto]]="",0,YEAR(TbRegistroSaídas[[#This Row],[Data do Caixa Previsto]]))</f>
        <v>2019</v>
      </c>
      <c r="O21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6" spans="2:15" x14ac:dyDescent="0.25">
      <c r="B216" s="14">
        <v>43623.498752151929</v>
      </c>
      <c r="C216" s="14">
        <v>43592</v>
      </c>
      <c r="D216" s="14">
        <v>43623.498752151929</v>
      </c>
      <c r="E216" t="s">
        <v>37</v>
      </c>
      <c r="F216" t="s">
        <v>32</v>
      </c>
      <c r="G216" t="s">
        <v>501</v>
      </c>
      <c r="H216" s="17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48">
        <f>IF(TbRegistroSaídas[[#This Row],[Data do Caixa Previsto]]="",0,MONTH(TbRegistroSaídas[[#This Row],[Data do Caixa Previsto]]))</f>
        <v>6</v>
      </c>
      <c r="N216" s="48">
        <f>IF(TbRegistroSaídas[[#This Row],[Data do Caixa Previsto]]="",0,YEAR(TbRegistroSaídas[[#This Row],[Data do Caixa Previsto]]))</f>
        <v>2019</v>
      </c>
      <c r="O21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7" spans="2:15" x14ac:dyDescent="0.25">
      <c r="B217" s="14">
        <v>43732.354485773343</v>
      </c>
      <c r="C217" s="14">
        <v>43594</v>
      </c>
      <c r="D217" s="14">
        <v>43645.188079108193</v>
      </c>
      <c r="E217" t="s">
        <v>37</v>
      </c>
      <c r="F217" t="s">
        <v>32</v>
      </c>
      <c r="G217" t="s">
        <v>502</v>
      </c>
      <c r="H217" s="17">
        <v>1700</v>
      </c>
      <c r="I217">
        <f>IF(TbRegistroSaídas[[#This Row],[Data do Caixa Realizado]]="",0,MONTH(TbRegistroSaídas[[#This Row],[Data do Caixa Realizado]]))</f>
        <v>9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48">
        <f>IF(TbRegistroSaídas[[#This Row],[Data do Caixa Previsto]]="",0,MONTH(TbRegistroSaídas[[#This Row],[Data do Caixa Previsto]]))</f>
        <v>6</v>
      </c>
      <c r="N217" s="48">
        <f>IF(TbRegistroSaídas[[#This Row],[Data do Caixa Previsto]]="",0,YEAR(TbRegistroSaídas[[#This Row],[Data do Caixa Previsto]]))</f>
        <v>2019</v>
      </c>
      <c r="O21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87.166406665150134</v>
      </c>
    </row>
    <row r="218" spans="2:15" x14ac:dyDescent="0.25">
      <c r="B218" s="14">
        <v>43614.76373708652</v>
      </c>
      <c r="C218" s="14">
        <v>43595</v>
      </c>
      <c r="D218" s="14">
        <v>43614.76373708652</v>
      </c>
      <c r="E218" t="s">
        <v>37</v>
      </c>
      <c r="F218" t="s">
        <v>32</v>
      </c>
      <c r="G218" t="s">
        <v>503</v>
      </c>
      <c r="H218" s="17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48">
        <f>IF(TbRegistroSaídas[[#This Row],[Data do Caixa Previsto]]="",0,MONTH(TbRegistroSaídas[[#This Row],[Data do Caixa Previsto]]))</f>
        <v>5</v>
      </c>
      <c r="N218" s="48">
        <f>IF(TbRegistroSaídas[[#This Row],[Data do Caixa Previsto]]="",0,YEAR(TbRegistroSaídas[[#This Row],[Data do Caixa Previsto]]))</f>
        <v>2019</v>
      </c>
      <c r="O21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19" spans="2:15" x14ac:dyDescent="0.25">
      <c r="B219" s="14">
        <v>43602.13448735002</v>
      </c>
      <c r="C219" s="14">
        <v>43598</v>
      </c>
      <c r="D219" s="14">
        <v>43602.13448735002</v>
      </c>
      <c r="E219" t="s">
        <v>37</v>
      </c>
      <c r="F219" t="s">
        <v>35</v>
      </c>
      <c r="G219" t="s">
        <v>504</v>
      </c>
      <c r="H219" s="17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48">
        <f>IF(TbRegistroSaídas[[#This Row],[Data do Caixa Previsto]]="",0,MONTH(TbRegistroSaídas[[#This Row],[Data do Caixa Previsto]]))</f>
        <v>5</v>
      </c>
      <c r="N219" s="48">
        <f>IF(TbRegistroSaídas[[#This Row],[Data do Caixa Previsto]]="",0,YEAR(TbRegistroSaídas[[#This Row],[Data do Caixa Previsto]]))</f>
        <v>2019</v>
      </c>
      <c r="O21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0" spans="2:15" x14ac:dyDescent="0.25">
      <c r="B220" s="14">
        <v>43618.94333879678</v>
      </c>
      <c r="C220" s="14">
        <v>43601</v>
      </c>
      <c r="D220" s="14">
        <v>43618.94333879678</v>
      </c>
      <c r="E220" t="s">
        <v>37</v>
      </c>
      <c r="F220" t="s">
        <v>44</v>
      </c>
      <c r="G220" t="s">
        <v>505</v>
      </c>
      <c r="H220" s="17">
        <v>4030</v>
      </c>
      <c r="I220">
        <f>IF(TbRegistroSaídas[[#This Row],[Data do Caixa Realizado]]="",0,MONTH(TbRegistroSaídas[[#This Row],[Data do Caixa Realizado]]))</f>
        <v>6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48">
        <f>IF(TbRegistroSaídas[[#This Row],[Data do Caixa Previsto]]="",0,MONTH(TbRegistroSaídas[[#This Row],[Data do Caixa Previsto]]))</f>
        <v>6</v>
      </c>
      <c r="N220" s="48">
        <f>IF(TbRegistroSaídas[[#This Row],[Data do Caixa Previsto]]="",0,YEAR(TbRegistroSaídas[[#This Row],[Data do Caixa Previsto]]))</f>
        <v>2019</v>
      </c>
      <c r="O22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1" spans="2:15" x14ac:dyDescent="0.25">
      <c r="B221" s="14">
        <v>43703.895777057623</v>
      </c>
      <c r="C221" s="14">
        <v>43604</v>
      </c>
      <c r="D221" s="14">
        <v>43615.96984606648</v>
      </c>
      <c r="E221" t="s">
        <v>37</v>
      </c>
      <c r="F221" t="s">
        <v>35</v>
      </c>
      <c r="G221" t="s">
        <v>506</v>
      </c>
      <c r="H221" s="17">
        <v>1367</v>
      </c>
      <c r="I221">
        <f>IF(TbRegistroSaídas[[#This Row],[Data do Caixa Realizado]]="",0,MONTH(TbRegistroSaídas[[#This Row],[Data do Caixa Realizado]]))</f>
        <v>8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48">
        <f>IF(TbRegistroSaídas[[#This Row],[Data do Caixa Previsto]]="",0,MONTH(TbRegistroSaídas[[#This Row],[Data do Caixa Previsto]]))</f>
        <v>5</v>
      </c>
      <c r="N221" s="48">
        <f>IF(TbRegistroSaídas[[#This Row],[Data do Caixa Previsto]]="",0,YEAR(TbRegistroSaídas[[#This Row],[Data do Caixa Previsto]]))</f>
        <v>2019</v>
      </c>
      <c r="O22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87.925930991143105</v>
      </c>
    </row>
    <row r="222" spans="2:15" x14ac:dyDescent="0.25">
      <c r="B222" s="14">
        <v>43626.228578403905</v>
      </c>
      <c r="C222" s="14">
        <v>43607</v>
      </c>
      <c r="D222" s="14">
        <v>43626.228578403905</v>
      </c>
      <c r="E222" t="s">
        <v>37</v>
      </c>
      <c r="F222" t="s">
        <v>44</v>
      </c>
      <c r="G222" t="s">
        <v>507</v>
      </c>
      <c r="H222" s="17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48">
        <f>IF(TbRegistroSaídas[[#This Row],[Data do Caixa Previsto]]="",0,MONTH(TbRegistroSaídas[[#This Row],[Data do Caixa Previsto]]))</f>
        <v>6</v>
      </c>
      <c r="N222" s="48">
        <f>IF(TbRegistroSaídas[[#This Row],[Data do Caixa Previsto]]="",0,YEAR(TbRegistroSaídas[[#This Row],[Data do Caixa Previsto]]))</f>
        <v>2019</v>
      </c>
      <c r="O22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3" spans="2:15" x14ac:dyDescent="0.25">
      <c r="B223" s="14">
        <v>43643.772479924686</v>
      </c>
      <c r="C223" s="14">
        <v>43610</v>
      </c>
      <c r="D223" s="14">
        <v>43641.740590364629</v>
      </c>
      <c r="E223" t="s">
        <v>37</v>
      </c>
      <c r="F223" t="s">
        <v>32</v>
      </c>
      <c r="G223" t="s">
        <v>508</v>
      </c>
      <c r="H223" s="17">
        <v>4518</v>
      </c>
      <c r="I223">
        <f>IF(TbRegistroSaídas[[#This Row],[Data do Caixa Realizado]]="",0,MONTH(TbRegistroSaídas[[#This Row],[Data do Caixa Realizado]]))</f>
        <v>6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48">
        <f>IF(TbRegistroSaídas[[#This Row],[Data do Caixa Previsto]]="",0,MONTH(TbRegistroSaídas[[#This Row],[Data do Caixa Previsto]]))</f>
        <v>6</v>
      </c>
      <c r="N223" s="48">
        <f>IF(TbRegistroSaídas[[#This Row],[Data do Caixa Previsto]]="",0,YEAR(TbRegistroSaídas[[#This Row],[Data do Caixa Previsto]]))</f>
        <v>2019</v>
      </c>
      <c r="O223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2.031889560057607</v>
      </c>
    </row>
    <row r="224" spans="2:15" x14ac:dyDescent="0.25">
      <c r="B224" s="14">
        <v>43673.934978004319</v>
      </c>
      <c r="C224" s="14">
        <v>43614</v>
      </c>
      <c r="D224" s="14">
        <v>43645.508154061761</v>
      </c>
      <c r="E224" t="s">
        <v>37</v>
      </c>
      <c r="F224" t="s">
        <v>44</v>
      </c>
      <c r="G224" t="s">
        <v>352</v>
      </c>
      <c r="H224" s="17">
        <v>3086</v>
      </c>
      <c r="I224">
        <f>IF(TbRegistroSaídas[[#This Row],[Data do Caixa Realizado]]="",0,MONTH(TbRegistroSaídas[[#This Row],[Data do Caixa Realizado]]))</f>
        <v>7</v>
      </c>
      <c r="J224">
        <f>IF(TbRegistroSaídas[[#This Row],[Data do Caixa Realizado]]="",0,YEAR(TbRegistroSaídas[[#This Row],[Data do Caixa Realizado]]))</f>
        <v>2019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48">
        <f>IF(TbRegistroSaídas[[#This Row],[Data do Caixa Previsto]]="",0,MONTH(TbRegistroSaídas[[#This Row],[Data do Caixa Previsto]]))</f>
        <v>6</v>
      </c>
      <c r="N224" s="48">
        <f>IF(TbRegistroSaídas[[#This Row],[Data do Caixa Previsto]]="",0,YEAR(TbRegistroSaídas[[#This Row],[Data do Caixa Previsto]]))</f>
        <v>2019</v>
      </c>
      <c r="O224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28.426823942558258</v>
      </c>
    </row>
    <row r="225" spans="2:15" x14ac:dyDescent="0.25">
      <c r="B225" s="14">
        <v>43628.969362987358</v>
      </c>
      <c r="C225" s="14">
        <v>43619</v>
      </c>
      <c r="D225" s="14">
        <v>43628.969362987358</v>
      </c>
      <c r="E225" t="s">
        <v>37</v>
      </c>
      <c r="F225" t="s">
        <v>32</v>
      </c>
      <c r="G225" t="s">
        <v>509</v>
      </c>
      <c r="H225" s="17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48">
        <f>IF(TbRegistroSaídas[[#This Row],[Data do Caixa Previsto]]="",0,MONTH(TbRegistroSaídas[[#This Row],[Data do Caixa Previsto]]))</f>
        <v>6</v>
      </c>
      <c r="N225" s="48">
        <f>IF(TbRegistroSaídas[[#This Row],[Data do Caixa Previsto]]="",0,YEAR(TbRegistroSaídas[[#This Row],[Data do Caixa Previsto]]))</f>
        <v>2019</v>
      </c>
      <c r="O225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6" spans="2:15" x14ac:dyDescent="0.25">
      <c r="B226" s="14">
        <v>43639.192651531121</v>
      </c>
      <c r="C226" s="14">
        <v>43623</v>
      </c>
      <c r="D226" s="14">
        <v>43639.192651531121</v>
      </c>
      <c r="E226" t="s">
        <v>37</v>
      </c>
      <c r="F226" t="s">
        <v>35</v>
      </c>
      <c r="G226" t="s">
        <v>510</v>
      </c>
      <c r="H226" s="17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48">
        <f>IF(TbRegistroSaídas[[#This Row],[Data do Caixa Previsto]]="",0,MONTH(TbRegistroSaídas[[#This Row],[Data do Caixa Previsto]]))</f>
        <v>6</v>
      </c>
      <c r="N226" s="48">
        <f>IF(TbRegistroSaídas[[#This Row],[Data do Caixa Previsto]]="",0,YEAR(TbRegistroSaídas[[#This Row],[Data do Caixa Previsto]]))</f>
        <v>2019</v>
      </c>
      <c r="O226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27" spans="2:15" x14ac:dyDescent="0.25">
      <c r="B227" s="14" t="s">
        <v>74</v>
      </c>
      <c r="C227" s="14">
        <v>43625</v>
      </c>
      <c r="D227" s="14">
        <v>43672.670884183579</v>
      </c>
      <c r="E227" t="s">
        <v>37</v>
      </c>
      <c r="F227" t="s">
        <v>44</v>
      </c>
      <c r="G227" t="s">
        <v>511</v>
      </c>
      <c r="H227" s="17">
        <v>2338</v>
      </c>
      <c r="I227">
        <f>IF(TbRegistroSaídas[[#This Row],[Data do Caixa Realizado]]="",0,MONTH(TbRegistroSaídas[[#This Row],[Data do Caixa Realizado]]))</f>
        <v>0</v>
      </c>
      <c r="J227">
        <f>IF(TbRegistroSaídas[[#This Row],[Data do Caixa Realizado]]="",0,YEAR(TbRegistroSaídas[[#This Row],[Data do Caixa Realizado]]))</f>
        <v>0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48">
        <f>IF(TbRegistroSaídas[[#This Row],[Data do Caixa Previsto]]="",0,MONTH(TbRegistroSaídas[[#This Row],[Data do Caixa Previsto]]))</f>
        <v>7</v>
      </c>
      <c r="N227" s="48">
        <f>IF(TbRegistroSaídas[[#This Row],[Data do Caixa Previsto]]="",0,YEAR(TbRegistroSaídas[[#This Row],[Data do Caixa Previsto]]))</f>
        <v>2019</v>
      </c>
      <c r="O227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2143.3291158164211</v>
      </c>
    </row>
    <row r="228" spans="2:15" x14ac:dyDescent="0.25">
      <c r="B228" s="14">
        <v>43741.508211497443</v>
      </c>
      <c r="C228" s="14">
        <v>43632</v>
      </c>
      <c r="D228" s="14">
        <v>43664.662454163976</v>
      </c>
      <c r="E228" t="s">
        <v>37</v>
      </c>
      <c r="F228" t="s">
        <v>35</v>
      </c>
      <c r="G228" t="s">
        <v>512</v>
      </c>
      <c r="H228" s="17">
        <v>3773</v>
      </c>
      <c r="I228">
        <f>IF(TbRegistroSaídas[[#This Row],[Data do Caixa Realizado]]="",0,MONTH(TbRegistroSaídas[[#This Row],[Data do Caixa Realizado]]))</f>
        <v>10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48">
        <f>IF(TbRegistroSaídas[[#This Row],[Data do Caixa Previsto]]="",0,MONTH(TbRegistroSaídas[[#This Row],[Data do Caixa Previsto]]))</f>
        <v>7</v>
      </c>
      <c r="N228" s="48">
        <f>IF(TbRegistroSaídas[[#This Row],[Data do Caixa Previsto]]="",0,YEAR(TbRegistroSaídas[[#This Row],[Data do Caixa Previsto]]))</f>
        <v>2019</v>
      </c>
      <c r="O228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76.845757333467191</v>
      </c>
    </row>
    <row r="229" spans="2:15" x14ac:dyDescent="0.25">
      <c r="B229" s="14" t="s">
        <v>74</v>
      </c>
      <c r="C229" s="14">
        <v>43635</v>
      </c>
      <c r="D229" s="14">
        <v>43686.085509883509</v>
      </c>
      <c r="E229" t="s">
        <v>37</v>
      </c>
      <c r="F229" t="s">
        <v>35</v>
      </c>
      <c r="G229" t="s">
        <v>513</v>
      </c>
      <c r="H229" s="17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48">
        <f>IF(TbRegistroSaídas[[#This Row],[Data do Caixa Previsto]]="",0,MONTH(TbRegistroSaídas[[#This Row],[Data do Caixa Previsto]]))</f>
        <v>8</v>
      </c>
      <c r="N229" s="48">
        <f>IF(TbRegistroSaídas[[#This Row],[Data do Caixa Previsto]]="",0,YEAR(TbRegistroSaídas[[#This Row],[Data do Caixa Previsto]]))</f>
        <v>2019</v>
      </c>
      <c r="O229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2129.9144901164909</v>
      </c>
    </row>
    <row r="230" spans="2:15" x14ac:dyDescent="0.25">
      <c r="B230" s="14">
        <v>43682.520022083132</v>
      </c>
      <c r="C230" s="14">
        <v>43637</v>
      </c>
      <c r="D230" s="14">
        <v>43682.520022083132</v>
      </c>
      <c r="E230" t="s">
        <v>37</v>
      </c>
      <c r="F230" t="s">
        <v>35</v>
      </c>
      <c r="G230" t="s">
        <v>514</v>
      </c>
      <c r="H230" s="17">
        <v>1425</v>
      </c>
      <c r="I230">
        <f>IF(TbRegistroSaídas[[#This Row],[Data do Caixa Realizado]]="",0,MONTH(TbRegistroSaídas[[#This Row],[Data do Caixa Realizado]]))</f>
        <v>8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48">
        <f>IF(TbRegistroSaídas[[#This Row],[Data do Caixa Previsto]]="",0,MONTH(TbRegistroSaídas[[#This Row],[Data do Caixa Previsto]]))</f>
        <v>8</v>
      </c>
      <c r="N230" s="48">
        <f>IF(TbRegistroSaídas[[#This Row],[Data do Caixa Previsto]]="",0,YEAR(TbRegistroSaídas[[#This Row],[Data do Caixa Previsto]]))</f>
        <v>2019</v>
      </c>
      <c r="O230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31" spans="2:15" x14ac:dyDescent="0.25">
      <c r="B231" s="14">
        <v>43697.929033863591</v>
      </c>
      <c r="C231" s="14">
        <v>43639</v>
      </c>
      <c r="D231" s="14">
        <v>43697.929033863591</v>
      </c>
      <c r="E231" t="s">
        <v>37</v>
      </c>
      <c r="F231" t="s">
        <v>35</v>
      </c>
      <c r="G231" t="s">
        <v>515</v>
      </c>
      <c r="H231" s="17">
        <v>332</v>
      </c>
      <c r="I231">
        <f>IF(TbRegistroSaídas[[#This Row],[Data do Caixa Realizado]]="",0,MONTH(TbRegistroSaídas[[#This Row],[Data do Caixa Realizado]]))</f>
        <v>8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48">
        <f>IF(TbRegistroSaídas[[#This Row],[Data do Caixa Previsto]]="",0,MONTH(TbRegistroSaídas[[#This Row],[Data do Caixa Previsto]]))</f>
        <v>8</v>
      </c>
      <c r="N231" s="48">
        <f>IF(TbRegistroSaídas[[#This Row],[Data do Caixa Previsto]]="",0,YEAR(TbRegistroSaídas[[#This Row],[Data do Caixa Previsto]]))</f>
        <v>2019</v>
      </c>
      <c r="O231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  <row r="232" spans="2:15" x14ac:dyDescent="0.25">
      <c r="B232" s="14">
        <v>43653.195660130521</v>
      </c>
      <c r="C232" s="14">
        <v>43646</v>
      </c>
      <c r="D232" s="14">
        <v>43653.195660130521</v>
      </c>
      <c r="E232" t="s">
        <v>37</v>
      </c>
      <c r="F232" t="s">
        <v>44</v>
      </c>
      <c r="G232" t="s">
        <v>516</v>
      </c>
      <c r="H232" s="17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48">
        <f>IF(TbRegistroSaídas[[#This Row],[Data do Caixa Previsto]]="",0,MONTH(TbRegistroSaídas[[#This Row],[Data do Caixa Previsto]]))</f>
        <v>7</v>
      </c>
      <c r="N232" s="48">
        <f>IF(TbRegistroSaídas[[#This Row],[Data do Caixa Previsto]]="",0,YEAR(TbRegistroSaídas[[#This Row],[Data do Caixa Previsto]]))</f>
        <v>2019</v>
      </c>
      <c r="O232" s="132">
        <f ca="1">IF(TbRegistroSaídas[[#This Row],[Data do Caixa Realizado]]&lt;&gt;"",
IF(TbRegistroSaídas[[#This Row],[Data do Caixa Realizado]]&gt;TbRegistroSaídas[[#This Row],[Data do Caixa Previsto]],
TbRegistroSaídas[[#This Row],[Data do Caixa Realizado]]-TbRegistroSaídas[[#This Row],[Data do Caixa Previsto]],
0
),
IF(TODAY()&gt;TbRegistroSaídas[[#This Row],[Data do Caixa Previsto]],
TODAY()-TbRegistroSaídas[[#This Row],[Data do Caixa Previsto]],
0
)
)</f>
        <v>0</v>
      </c>
    </row>
  </sheetData>
  <dataValidations count="2">
    <dataValidation type="list" allowBlank="1" showInputMessage="1" showErrorMessage="1" sqref="E4:E232" xr:uid="{8639A6E0-9A85-40E1-A11A-9945DB0E5211}">
      <formula1>PCSaídasN1_Nível_1</formula1>
    </dataValidation>
    <dataValidation type="list" allowBlank="1" showInputMessage="1" showErrorMessage="1" sqref="F4:F232" xr:uid="{530F0473-4E7B-471D-8DF7-FA136C7085D9}">
      <formula1>OFFSET(PCSaídasN2_Nível_2,MATCH(E4,PCSaídasN2_Nível_1,0)-1,0,COUNTIF(PCSaídasN2_Nível_1,E4))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713-3C78-4EE8-8E52-0B80775A87AF}">
  <dimension ref="B1:N26"/>
  <sheetViews>
    <sheetView showGridLines="0" zoomScaleNormal="100" workbookViewId="0">
      <selection activeCell="C8" sqref="C8"/>
    </sheetView>
  </sheetViews>
  <sheetFormatPr defaultColWidth="0" defaultRowHeight="15" x14ac:dyDescent="0.25"/>
  <cols>
    <col min="1" max="1" width="4" customWidth="1"/>
    <col min="2" max="2" width="20" customWidth="1"/>
    <col min="3" max="14" width="13.7109375" customWidth="1"/>
    <col min="15" max="15" width="4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6" t="s">
        <v>12</v>
      </c>
      <c r="K1" s="6"/>
      <c r="L1" s="6"/>
      <c r="M1" s="6"/>
      <c r="N1" s="6"/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27" t="s">
        <v>517</v>
      </c>
      <c r="C3" s="25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4" ht="20.100000000000001" customHeight="1" x14ac:dyDescent="0.25">
      <c r="B6" s="26" t="s">
        <v>518</v>
      </c>
    </row>
    <row r="7" spans="2:14" ht="20.100000000000001" customHeight="1" x14ac:dyDescent="0.25">
      <c r="B7" s="30" t="s">
        <v>519</v>
      </c>
      <c r="C7" s="28" t="s">
        <v>523</v>
      </c>
      <c r="D7" s="28" t="s">
        <v>524</v>
      </c>
      <c r="E7" s="28" t="s">
        <v>525</v>
      </c>
      <c r="F7" s="28" t="s">
        <v>526</v>
      </c>
      <c r="G7" s="28" t="s">
        <v>527</v>
      </c>
      <c r="H7" s="28" t="s">
        <v>528</v>
      </c>
      <c r="I7" s="28" t="s">
        <v>529</v>
      </c>
      <c r="J7" s="28" t="s">
        <v>530</v>
      </c>
      <c r="K7" s="28" t="s">
        <v>531</v>
      </c>
      <c r="L7" s="28" t="s">
        <v>532</v>
      </c>
      <c r="M7" s="28" t="s">
        <v>533</v>
      </c>
      <c r="N7" s="29" t="s">
        <v>534</v>
      </c>
    </row>
    <row r="8" spans="2:14" ht="20.100000000000001" customHeight="1" x14ac:dyDescent="0.25">
      <c r="B8" s="36" t="s">
        <v>535</v>
      </c>
      <c r="C8" s="31">
        <f>SUMIFS(TbRegistroEntradas[Valor],TbRegistroEntradas[Ano Caixa],"&lt;"&amp;C3,TbRegistroEntradas[Ano Caixa],"&lt;&gt;0")-SUMIFS(TbRegistroSaídas[Valor],TbRegistroSaídas[Ano Caixa],"&lt;"&amp;C3,TbRegistroSaídas[Ano Caixa],"&lt;&gt;0")</f>
        <v>14746</v>
      </c>
      <c r="D8" s="31">
        <f>C11</f>
        <v>16188</v>
      </c>
      <c r="E8" s="31">
        <f t="shared" ref="E8:N8" si="0">D11</f>
        <v>21863</v>
      </c>
      <c r="F8" s="31">
        <f t="shared" si="0"/>
        <v>23864</v>
      </c>
      <c r="G8" s="31">
        <f t="shared" si="0"/>
        <v>12147</v>
      </c>
      <c r="H8" s="31">
        <f t="shared" si="0"/>
        <v>10954</v>
      </c>
      <c r="I8" s="31">
        <f t="shared" si="0"/>
        <v>-2743</v>
      </c>
      <c r="J8" s="31">
        <f t="shared" si="0"/>
        <v>-2189</v>
      </c>
      <c r="K8" s="31">
        <f t="shared" si="0"/>
        <v>-2976</v>
      </c>
      <c r="L8" s="31">
        <f t="shared" si="0"/>
        <v>-1230</v>
      </c>
      <c r="M8" s="31">
        <f t="shared" si="0"/>
        <v>-3097</v>
      </c>
      <c r="N8" s="32">
        <f t="shared" si="0"/>
        <v>-3097</v>
      </c>
    </row>
    <row r="9" spans="2:14" ht="20.100000000000001" customHeight="1" x14ac:dyDescent="0.25">
      <c r="B9" s="36" t="s">
        <v>520</v>
      </c>
      <c r="C9" s="31">
        <f>SUMIFS(TbRegistroEntradas[Valor],TbRegistroEntradas[Mês Caixa],C5,TbRegistroEntradas[Ano Caixa],$C$3)</f>
        <v>20033</v>
      </c>
      <c r="D9" s="31">
        <f>SUMIFS(TbRegistroEntradas[Valor],TbRegistroEntradas[Mês Caixa],D5,TbRegistroEntradas[Ano Caixa],$C$3)</f>
        <v>34683</v>
      </c>
      <c r="E9" s="31">
        <f>SUMIFS(TbRegistroEntradas[Valor],TbRegistroEntradas[Mês Caixa],E5,TbRegistroEntradas[Ano Caixa],$C$3)</f>
        <v>20323</v>
      </c>
      <c r="F9" s="31">
        <f>SUMIFS(TbRegistroEntradas[Valor],TbRegistroEntradas[Mês Caixa],F5,TbRegistroEntradas[Ano Caixa],$C$3)</f>
        <v>25152</v>
      </c>
      <c r="G9" s="31">
        <f>SUMIFS(TbRegistroEntradas[Valor],TbRegistroEntradas[Mês Caixa],G5,TbRegistroEntradas[Ano Caixa],$C$3)</f>
        <v>27509</v>
      </c>
      <c r="H9" s="31">
        <f>SUMIFS(TbRegistroEntradas[Valor],TbRegistroEntradas[Mês Caixa],H5,TbRegistroEntradas[Ano Caixa],$C$3)</f>
        <v>18189</v>
      </c>
      <c r="I9" s="31">
        <f>SUMIFS(TbRegistroEntradas[Valor],TbRegistroEntradas[Mês Caixa],I5,TbRegistroEntradas[Ano Caixa],$C$3)</f>
        <v>8420</v>
      </c>
      <c r="J9" s="31">
        <f>SUMIFS(TbRegistroEntradas[Valor],TbRegistroEntradas[Mês Caixa],J5,TbRegistroEntradas[Ano Caixa],$C$3)</f>
        <v>2337</v>
      </c>
      <c r="K9" s="31">
        <f>SUMIFS(TbRegistroEntradas[Valor],TbRegistroEntradas[Mês Caixa],K5,TbRegistroEntradas[Ano Caixa],$C$3)</f>
        <v>3446</v>
      </c>
      <c r="L9" s="31">
        <f>SUMIFS(TbRegistroEntradas[Valor],TbRegistroEntradas[Mês Caixa],L5,TbRegistroEntradas[Ano Caixa],$C$3)</f>
        <v>1906</v>
      </c>
      <c r="M9" s="31">
        <f>SUMIFS(TbRegistroEntradas[Valor],TbRegistroEntradas[Mês Caixa],M5,TbRegistroEntradas[Ano Caixa],$C$3)</f>
        <v>0</v>
      </c>
      <c r="N9" s="32">
        <f>SUMIFS(TbRegistroEntradas[Valor],TbRegistroEntradas[Mês Caixa],N5,TbRegistroEntradas[Ano Caixa],$C$3)</f>
        <v>0</v>
      </c>
    </row>
    <row r="10" spans="2:14" ht="20.100000000000001" customHeight="1" x14ac:dyDescent="0.25">
      <c r="B10" s="36" t="s">
        <v>521</v>
      </c>
      <c r="C10" s="31">
        <f>SUMIFS(TbRegistroSaídas[Valor],TbRegistroSaídas[Mês Caixa],C5,TbRegistroSaídas[Ano Caixa],$C$3)</f>
        <v>18591</v>
      </c>
      <c r="D10" s="31">
        <f>SUMIFS(TbRegistroSaídas[Valor],TbRegistroSaídas[Mês Caixa],D5,TbRegistroSaídas[Ano Caixa],$C$3)</f>
        <v>29008</v>
      </c>
      <c r="E10" s="31">
        <f>SUMIFS(TbRegistroSaídas[Valor],TbRegistroSaídas[Mês Caixa],E5,TbRegistroSaídas[Ano Caixa],$C$3)</f>
        <v>18322</v>
      </c>
      <c r="F10" s="31">
        <f>SUMIFS(TbRegistroSaídas[Valor],TbRegistroSaídas[Mês Caixa],F5,TbRegistroSaídas[Ano Caixa],$C$3)</f>
        <v>36869</v>
      </c>
      <c r="G10" s="31">
        <f>SUMIFS(TbRegistroSaídas[Valor],TbRegistroSaídas[Mês Caixa],G5,TbRegistroSaídas[Ano Caixa],$C$3)</f>
        <v>28702</v>
      </c>
      <c r="H10" s="31">
        <f>SUMIFS(TbRegistroSaídas[Valor],TbRegistroSaídas[Mês Caixa],H5,TbRegistroSaídas[Ano Caixa],$C$3)</f>
        <v>31886</v>
      </c>
      <c r="I10" s="31">
        <f>SUMIFS(TbRegistroSaídas[Valor],TbRegistroSaídas[Mês Caixa],I5,TbRegistroSaídas[Ano Caixa],$C$3)</f>
        <v>7866</v>
      </c>
      <c r="J10" s="31">
        <f>SUMIFS(TbRegistroSaídas[Valor],TbRegistroSaídas[Mês Caixa],J5,TbRegistroSaídas[Ano Caixa],$C$3)</f>
        <v>3124</v>
      </c>
      <c r="K10" s="31">
        <f>SUMIFS(TbRegistroSaídas[Valor],TbRegistroSaídas[Mês Caixa],K5,TbRegistroSaídas[Ano Caixa],$C$3)</f>
        <v>1700</v>
      </c>
      <c r="L10" s="31">
        <f>SUMIFS(TbRegistroSaídas[Valor],TbRegistroSaídas[Mês Caixa],L5,TbRegistroSaídas[Ano Caixa],$C$3)</f>
        <v>3773</v>
      </c>
      <c r="M10" s="31">
        <f>SUMIFS(TbRegistroSaídas[Valor],TbRegistroSaídas[Mês Caixa],M5,TbRegistroSaídas[Ano Caixa],$C$3)</f>
        <v>0</v>
      </c>
      <c r="N10" s="32">
        <f>SUMIFS(TbRegistroSaídas[Valor],TbRegistroSaídas[Mês Caixa],N5,TbRegistroSaídas[Ano Caixa],$C$3)</f>
        <v>0</v>
      </c>
    </row>
    <row r="11" spans="2:14" ht="20.100000000000001" customHeight="1" x14ac:dyDescent="0.25">
      <c r="B11" s="39" t="s">
        <v>522</v>
      </c>
      <c r="C11" s="33">
        <f>C8+C9-C10</f>
        <v>16188</v>
      </c>
      <c r="D11" s="33">
        <f t="shared" ref="D11:N11" si="1">D8+D9-D10</f>
        <v>21863</v>
      </c>
      <c r="E11" s="33">
        <f t="shared" si="1"/>
        <v>23864</v>
      </c>
      <c r="F11" s="33">
        <f t="shared" si="1"/>
        <v>12147</v>
      </c>
      <c r="G11" s="33">
        <f t="shared" si="1"/>
        <v>10954</v>
      </c>
      <c r="H11" s="33">
        <f t="shared" si="1"/>
        <v>-2743</v>
      </c>
      <c r="I11" s="33">
        <f t="shared" si="1"/>
        <v>-2189</v>
      </c>
      <c r="J11" s="33">
        <f t="shared" si="1"/>
        <v>-2976</v>
      </c>
      <c r="K11" s="33">
        <f t="shared" si="1"/>
        <v>-1230</v>
      </c>
      <c r="L11" s="33">
        <f t="shared" si="1"/>
        <v>-3097</v>
      </c>
      <c r="M11" s="33">
        <f t="shared" si="1"/>
        <v>-3097</v>
      </c>
      <c r="N11" s="34">
        <f t="shared" si="1"/>
        <v>-3097</v>
      </c>
    </row>
    <row r="12" spans="2:14" ht="20.100000000000001" customHeight="1" x14ac:dyDescent="0.25"/>
    <row r="13" spans="2:14" ht="20.100000000000001" customHeight="1" x14ac:dyDescent="0.25">
      <c r="B13" s="35" t="s">
        <v>536</v>
      </c>
    </row>
    <row r="14" spans="2:14" ht="20.100000000000001" customHeight="1" x14ac:dyDescent="0.25">
      <c r="B14" s="30" t="s">
        <v>519</v>
      </c>
      <c r="C14" s="28" t="s">
        <v>523</v>
      </c>
      <c r="D14" s="28" t="s">
        <v>524</v>
      </c>
      <c r="E14" s="28" t="s">
        <v>525</v>
      </c>
      <c r="F14" s="28" t="s">
        <v>526</v>
      </c>
      <c r="G14" s="28" t="s">
        <v>527</v>
      </c>
      <c r="H14" s="28" t="s">
        <v>528</v>
      </c>
      <c r="I14" s="28" t="s">
        <v>529</v>
      </c>
      <c r="J14" s="28" t="s">
        <v>530</v>
      </c>
      <c r="K14" s="28" t="s">
        <v>531</v>
      </c>
      <c r="L14" s="28" t="s">
        <v>532</v>
      </c>
      <c r="M14" s="28" t="s">
        <v>533</v>
      </c>
      <c r="N14" s="29" t="s">
        <v>534</v>
      </c>
    </row>
    <row r="15" spans="2:14" ht="20.100000000000001" customHeight="1" x14ac:dyDescent="0.25">
      <c r="B15" s="36" t="s">
        <v>535</v>
      </c>
      <c r="C15" s="31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31">
        <f>C18</f>
        <v>34684</v>
      </c>
      <c r="E15" s="31">
        <f t="shared" ref="E15:N15" si="2">D18</f>
        <v>40111</v>
      </c>
      <c r="F15" s="31">
        <f t="shared" si="2"/>
        <v>27220</v>
      </c>
      <c r="G15" s="31">
        <f t="shared" si="2"/>
        <v>23048</v>
      </c>
      <c r="H15" s="31">
        <f t="shared" si="2"/>
        <v>8340</v>
      </c>
      <c r="I15" s="31">
        <f t="shared" si="2"/>
        <v>3236</v>
      </c>
      <c r="J15" s="31">
        <f t="shared" si="2"/>
        <v>3236</v>
      </c>
      <c r="K15" s="31">
        <f t="shared" si="2"/>
        <v>3236</v>
      </c>
      <c r="L15" s="31">
        <f t="shared" si="2"/>
        <v>3236</v>
      </c>
      <c r="M15" s="31">
        <f t="shared" si="2"/>
        <v>3236</v>
      </c>
      <c r="N15" s="32">
        <f t="shared" si="2"/>
        <v>3236</v>
      </c>
    </row>
    <row r="16" spans="2:14" ht="20.100000000000001" customHeight="1" x14ac:dyDescent="0.25">
      <c r="B16" s="36" t="s">
        <v>520</v>
      </c>
      <c r="C16" s="31">
        <f>SUMIFS(TbRegistroEntradas[Valor],TbRegistroEntradas[Mês Competência],C5,TbRegistroEntradas[Ano Competência],$C$3)</f>
        <v>22897</v>
      </c>
      <c r="D16" s="31">
        <f>SUMIFS(TbRegistroEntradas[Valor],TbRegistroEntradas[Mês Competência],D5,TbRegistroEntradas[Ano Competência],$C$3)</f>
        <v>31755</v>
      </c>
      <c r="E16" s="31">
        <f>SUMIFS(TbRegistroEntradas[Valor],TbRegistroEntradas[Mês Competência],E5,TbRegistroEntradas[Ano Competência],$C$3)</f>
        <v>18601</v>
      </c>
      <c r="F16" s="31">
        <f>SUMIFS(TbRegistroEntradas[Valor],TbRegistroEntradas[Mês Competência],F5,TbRegistroEntradas[Ano Competência],$C$3)</f>
        <v>22939</v>
      </c>
      <c r="G16" s="31">
        <f>SUMIFS(TbRegistroEntradas[Valor],TbRegistroEntradas[Mês Competência],G5,TbRegistroEntradas[Ano Competência],$C$3)</f>
        <v>22602</v>
      </c>
      <c r="H16" s="31">
        <f>SUMIFS(TbRegistroEntradas[Valor],TbRegistroEntradas[Mês Competência],H5,TbRegistroEntradas[Ano Competência],$C$3)</f>
        <v>11865</v>
      </c>
      <c r="I16" s="31">
        <f>SUMIFS(TbRegistroEntradas[Valor],TbRegistroEntradas[Mês Competência],I5,TbRegistroEntradas[Ano Competência],$C$3)</f>
        <v>0</v>
      </c>
      <c r="J16" s="31">
        <f>SUMIFS(TbRegistroEntradas[Valor],TbRegistroEntradas[Mês Competência],J5,TbRegistroEntradas[Ano Competência],$C$3)</f>
        <v>0</v>
      </c>
      <c r="K16" s="31">
        <f>SUMIFS(TbRegistroEntradas[Valor],TbRegistroEntradas[Mês Competência],K5,TbRegistroEntradas[Ano Competência],$C$3)</f>
        <v>0</v>
      </c>
      <c r="L16" s="31">
        <f>SUMIFS(TbRegistroEntradas[Valor],TbRegistroEntradas[Mês Competência],L5,TbRegistroEntradas[Ano Competência],$C$3)</f>
        <v>0</v>
      </c>
      <c r="M16" s="31">
        <f>SUMIFS(TbRegistroEntradas[Valor],TbRegistroEntradas[Mês Competência],M5,TbRegistroEntradas[Ano Competência],$C$3)</f>
        <v>0</v>
      </c>
      <c r="N16" s="32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36" t="s">
        <v>521</v>
      </c>
      <c r="C17" s="31">
        <f>SUMIFS(TbRegistroSaídas[Valor],TbRegistroSaídas[Mês Competência],C5,TbRegistroSaídas[Ano Competência],$C$3)</f>
        <v>30580</v>
      </c>
      <c r="D17" s="31">
        <f>SUMIFS(TbRegistroSaídas[Valor],TbRegistroSaídas[Mês Competência],D5,TbRegistroSaídas[Ano Competência],$C$3)</f>
        <v>26328</v>
      </c>
      <c r="E17" s="31">
        <f>SUMIFS(TbRegistroSaídas[Valor],TbRegistroSaídas[Mês Competência],E5,TbRegistroSaídas[Ano Competência],$C$3)</f>
        <v>31492</v>
      </c>
      <c r="F17" s="31">
        <f>SUMIFS(TbRegistroSaídas[Valor],TbRegistroSaídas[Mês Competência],F5,TbRegistroSaídas[Ano Competência],$C$3)</f>
        <v>27111</v>
      </c>
      <c r="G17" s="31">
        <f>SUMIFS(TbRegistroSaídas[Valor],TbRegistroSaídas[Mês Competência],G5,TbRegistroSaídas[Ano Competência],$C$3)</f>
        <v>37310</v>
      </c>
      <c r="H17" s="31">
        <f>SUMIFS(TbRegistroSaídas[Valor],TbRegistroSaídas[Mês Competência],H5,TbRegistroSaídas[Ano Competência],$C$3)</f>
        <v>16969</v>
      </c>
      <c r="I17" s="31">
        <f>SUMIFS(TbRegistroSaídas[Valor],TbRegistroSaídas[Mês Competência],I5,TbRegistroSaídas[Ano Competência],$C$3)</f>
        <v>0</v>
      </c>
      <c r="J17" s="31">
        <f>SUMIFS(TbRegistroSaídas[Valor],TbRegistroSaídas[Mês Competência],J5,TbRegistroSaídas[Ano Competência],$C$3)</f>
        <v>0</v>
      </c>
      <c r="K17" s="31">
        <f>SUMIFS(TbRegistroSaídas[Valor],TbRegistroSaídas[Mês Competência],K5,TbRegistroSaídas[Ano Competência],$C$3)</f>
        <v>0</v>
      </c>
      <c r="L17" s="31">
        <f>SUMIFS(TbRegistroSaídas[Valor],TbRegistroSaídas[Mês Competência],L5,TbRegistroSaídas[Ano Competência],$C$3)</f>
        <v>0</v>
      </c>
      <c r="M17" s="31">
        <f>SUMIFS(TbRegistroSaídas[Valor],TbRegistroSaídas[Mês Competência],M5,TbRegistroSaídas[Ano Competência],$C$3)</f>
        <v>0</v>
      </c>
      <c r="N17" s="32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9" t="s">
        <v>522</v>
      </c>
      <c r="C18" s="33">
        <f>C15+C16-C17</f>
        <v>34684</v>
      </c>
      <c r="D18" s="33">
        <f t="shared" ref="D18:N18" si="3">D15+D16-D17</f>
        <v>40111</v>
      </c>
      <c r="E18" s="33">
        <f t="shared" si="3"/>
        <v>27220</v>
      </c>
      <c r="F18" s="33">
        <f t="shared" si="3"/>
        <v>23048</v>
      </c>
      <c r="G18" s="33">
        <f t="shared" si="3"/>
        <v>8340</v>
      </c>
      <c r="H18" s="33">
        <f t="shared" si="3"/>
        <v>3236</v>
      </c>
      <c r="I18" s="33">
        <f t="shared" si="3"/>
        <v>3236</v>
      </c>
      <c r="J18" s="33">
        <f t="shared" si="3"/>
        <v>3236</v>
      </c>
      <c r="K18" s="33">
        <f t="shared" si="3"/>
        <v>3236</v>
      </c>
      <c r="L18" s="33">
        <f t="shared" si="3"/>
        <v>3236</v>
      </c>
      <c r="M18" s="33">
        <f t="shared" si="3"/>
        <v>3236</v>
      </c>
      <c r="N18" s="34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35" t="s">
        <v>537</v>
      </c>
    </row>
    <row r="21" spans="2:14" ht="20.100000000000001" customHeight="1" x14ac:dyDescent="0.25">
      <c r="B21" s="30" t="s">
        <v>519</v>
      </c>
      <c r="C21" s="28" t="s">
        <v>523</v>
      </c>
      <c r="D21" s="28" t="s">
        <v>524</v>
      </c>
      <c r="E21" s="28" t="s">
        <v>525</v>
      </c>
      <c r="F21" s="28" t="s">
        <v>526</v>
      </c>
      <c r="G21" s="28" t="s">
        <v>527</v>
      </c>
      <c r="H21" s="28" t="s">
        <v>528</v>
      </c>
      <c r="I21" s="28" t="s">
        <v>529</v>
      </c>
      <c r="J21" s="28" t="s">
        <v>530</v>
      </c>
      <c r="K21" s="28" t="s">
        <v>531</v>
      </c>
      <c r="L21" s="28" t="s">
        <v>532</v>
      </c>
      <c r="M21" s="28" t="s">
        <v>533</v>
      </c>
      <c r="N21" s="29" t="s">
        <v>534</v>
      </c>
    </row>
    <row r="22" spans="2:14" ht="20.100000000000001" customHeight="1" x14ac:dyDescent="0.25">
      <c r="B22" s="36" t="s">
        <v>538</v>
      </c>
      <c r="C22" s="31">
        <f>C16</f>
        <v>22897</v>
      </c>
      <c r="D22" s="31">
        <f t="shared" ref="D22:N22" si="4">D16</f>
        <v>31755</v>
      </c>
      <c r="E22" s="31">
        <f t="shared" si="4"/>
        <v>18601</v>
      </c>
      <c r="F22" s="31">
        <f t="shared" si="4"/>
        <v>22939</v>
      </c>
      <c r="G22" s="31">
        <f t="shared" si="4"/>
        <v>22602</v>
      </c>
      <c r="H22" s="31">
        <f t="shared" si="4"/>
        <v>11865</v>
      </c>
      <c r="I22" s="31">
        <f t="shared" si="4"/>
        <v>0</v>
      </c>
      <c r="J22" s="31">
        <f t="shared" si="4"/>
        <v>0</v>
      </c>
      <c r="K22" s="31">
        <f t="shared" si="4"/>
        <v>0</v>
      </c>
      <c r="L22" s="31">
        <f t="shared" si="4"/>
        <v>0</v>
      </c>
      <c r="M22" s="31">
        <f t="shared" si="4"/>
        <v>0</v>
      </c>
      <c r="N22" s="32">
        <f t="shared" si="4"/>
        <v>0</v>
      </c>
    </row>
    <row r="23" spans="2:14" ht="20.100000000000001" customHeight="1" x14ac:dyDescent="0.25">
      <c r="B23" s="36" t="s">
        <v>539</v>
      </c>
      <c r="C23" s="31">
        <f>C17</f>
        <v>30580</v>
      </c>
      <c r="D23" s="31">
        <f t="shared" ref="D23:N23" si="5">D17</f>
        <v>26328</v>
      </c>
      <c r="E23" s="31">
        <f t="shared" si="5"/>
        <v>31492</v>
      </c>
      <c r="F23" s="31">
        <f t="shared" si="5"/>
        <v>27111</v>
      </c>
      <c r="G23" s="31">
        <f t="shared" si="5"/>
        <v>37310</v>
      </c>
      <c r="H23" s="31">
        <f t="shared" si="5"/>
        <v>16969</v>
      </c>
      <c r="I23" s="31">
        <f t="shared" si="5"/>
        <v>0</v>
      </c>
      <c r="J23" s="31">
        <f t="shared" si="5"/>
        <v>0</v>
      </c>
      <c r="K23" s="31">
        <f t="shared" si="5"/>
        <v>0</v>
      </c>
      <c r="L23" s="31">
        <f t="shared" si="5"/>
        <v>0</v>
      </c>
      <c r="M23" s="31">
        <f t="shared" si="5"/>
        <v>0</v>
      </c>
      <c r="N23" s="32">
        <f t="shared" si="5"/>
        <v>0</v>
      </c>
    </row>
    <row r="24" spans="2:14" ht="20.100000000000001" customHeight="1" x14ac:dyDescent="0.25">
      <c r="B24" s="37" t="s">
        <v>540</v>
      </c>
      <c r="C24" s="40">
        <f>IF((C22-C23)&gt;0,C22-C23,0)</f>
        <v>0</v>
      </c>
      <c r="D24" s="40">
        <f t="shared" ref="D24:N24" si="6">IF((D22-D23)&gt;0,D22-D23,0)</f>
        <v>5427</v>
      </c>
      <c r="E24" s="40">
        <f t="shared" si="6"/>
        <v>0</v>
      </c>
      <c r="F24" s="40">
        <f t="shared" si="6"/>
        <v>0</v>
      </c>
      <c r="G24" s="40">
        <f t="shared" si="6"/>
        <v>0</v>
      </c>
      <c r="H24" s="40">
        <f t="shared" si="6"/>
        <v>0</v>
      </c>
      <c r="I24" s="40">
        <f t="shared" si="6"/>
        <v>0</v>
      </c>
      <c r="J24" s="40">
        <f t="shared" si="6"/>
        <v>0</v>
      </c>
      <c r="K24" s="40">
        <f t="shared" si="6"/>
        <v>0</v>
      </c>
      <c r="L24" s="40">
        <f t="shared" si="6"/>
        <v>0</v>
      </c>
      <c r="M24" s="40">
        <f t="shared" si="6"/>
        <v>0</v>
      </c>
      <c r="N24" s="42">
        <f t="shared" si="6"/>
        <v>0</v>
      </c>
    </row>
    <row r="25" spans="2:14" ht="20.100000000000001" customHeight="1" x14ac:dyDescent="0.25">
      <c r="B25" s="38" t="s">
        <v>541</v>
      </c>
      <c r="C25" s="41">
        <f>IF((C22-C23)&lt;0,C22-C23,0)</f>
        <v>-7683</v>
      </c>
      <c r="D25" s="41">
        <f t="shared" ref="D25:N25" si="7">IF((D22-D23)&lt;0,D22-D23,0)</f>
        <v>0</v>
      </c>
      <c r="E25" s="41">
        <f t="shared" si="7"/>
        <v>-12891</v>
      </c>
      <c r="F25" s="41">
        <f t="shared" si="7"/>
        <v>-4172</v>
      </c>
      <c r="G25" s="41">
        <f t="shared" si="7"/>
        <v>-14708</v>
      </c>
      <c r="H25" s="41">
        <f t="shared" si="7"/>
        <v>-5104</v>
      </c>
      <c r="I25" s="41">
        <f t="shared" si="7"/>
        <v>0</v>
      </c>
      <c r="J25" s="41">
        <f t="shared" si="7"/>
        <v>0</v>
      </c>
      <c r="K25" s="41">
        <f t="shared" si="7"/>
        <v>0</v>
      </c>
      <c r="L25" s="41">
        <f t="shared" si="7"/>
        <v>0</v>
      </c>
      <c r="M25" s="41">
        <f t="shared" si="7"/>
        <v>0</v>
      </c>
      <c r="N25" s="43">
        <f t="shared" si="7"/>
        <v>0</v>
      </c>
    </row>
    <row r="26" spans="2:14" ht="20.100000000000001" customHeight="1" x14ac:dyDescent="0.25">
      <c r="B26" s="38" t="s">
        <v>542</v>
      </c>
      <c r="C26" s="41">
        <f>C22-C23</f>
        <v>-7683</v>
      </c>
      <c r="D26" s="41">
        <f>D22-D23+C26</f>
        <v>-2256</v>
      </c>
      <c r="E26" s="41">
        <f t="shared" ref="E26:N26" si="8">E22-E23+D26</f>
        <v>-15147</v>
      </c>
      <c r="F26" s="41">
        <f t="shared" si="8"/>
        <v>-19319</v>
      </c>
      <c r="G26" s="41">
        <f t="shared" si="8"/>
        <v>-34027</v>
      </c>
      <c r="H26" s="41">
        <f t="shared" si="8"/>
        <v>-39131</v>
      </c>
      <c r="I26" s="41">
        <f t="shared" si="8"/>
        <v>-39131</v>
      </c>
      <c r="J26" s="41">
        <f t="shared" si="8"/>
        <v>-39131</v>
      </c>
      <c r="K26" s="41">
        <f t="shared" si="8"/>
        <v>-39131</v>
      </c>
      <c r="L26" s="41">
        <f t="shared" si="8"/>
        <v>-39131</v>
      </c>
      <c r="M26" s="41">
        <f t="shared" si="8"/>
        <v>-39131</v>
      </c>
      <c r="N26" s="43">
        <f t="shared" si="8"/>
        <v>-39131</v>
      </c>
    </row>
  </sheetData>
  <mergeCells count="1">
    <mergeCell ref="J1:N1"/>
  </mergeCells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RegistroEntradasCaixa</vt:lpstr>
      <vt:lpstr>RegistroSaídasCaixa</vt:lpstr>
      <vt:lpstr>FluxoCaixaResultadoMensal</vt:lpstr>
      <vt:lpstr>DetalhamentoReceita</vt:lpstr>
      <vt:lpstr>DetalhamentoDespesa</vt:lpstr>
      <vt:lpstr>ContasPagar</vt:lpstr>
      <vt:lpstr>ContasReceber</vt:lpstr>
      <vt:lpstr>ContasReceberVencidas</vt:lpstr>
      <vt:lpstr>DashboardFinanceiroAnual</vt:lpstr>
      <vt:lpstr>DashboardAnualID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Campos</dc:creator>
  <cp:lastModifiedBy>SARAH STEPHANY DA CRUZ SOUZA CAMPOS</cp:lastModifiedBy>
  <dcterms:created xsi:type="dcterms:W3CDTF">2015-06-05T18:19:34Z</dcterms:created>
  <dcterms:modified xsi:type="dcterms:W3CDTF">2025-06-08T22:57:32Z</dcterms:modified>
</cp:coreProperties>
</file>